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Default Extension="emf" ContentType="image/x-emf"/>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Default Extension="wdp" ContentType="image/vnd.ms-photo"/>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comments9.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DieseArbeitsmappe" defaultThemeVersion="124226"/>
  <bookViews>
    <workbookView xWindow="14385" yWindow="45" windowWidth="14415" windowHeight="9060"/>
  </bookViews>
  <sheets>
    <sheet name="Info" sheetId="35" r:id="rId1"/>
    <sheet name="Anleitung" sheetId="33" r:id="rId2"/>
    <sheet name="Allgemeine Angaben" sheetId="16" r:id="rId3"/>
    <sheet name="Objektkenndaten" sheetId="1" r:id="rId4"/>
    <sheet name="Errichtung" sheetId="2" r:id="rId5"/>
    <sheet name="Energie" sheetId="19" r:id="rId6"/>
    <sheet name="Nutzung &amp; Betrieb" sheetId="24" r:id="rId7"/>
    <sheet name="Ergebnisse Errichtung" sheetId="20" r:id="rId8"/>
    <sheet name="Ergebnisse Nutzung &amp; Betrieb" sheetId="28" r:id="rId9"/>
    <sheet name="Ergebnisse Übersicht" sheetId="13" r:id="rId10"/>
    <sheet name="Kennwerte" sheetId="14" r:id="rId11"/>
    <sheet name="Folgekosten" sheetId="11" r:id="rId12"/>
    <sheet name="Schätzfaktoren" sheetId="17" r:id="rId13"/>
    <sheet name="Finanzielle Parameter" sheetId="4" r:id="rId14"/>
    <sheet name="Dienstleistungen" sheetId="8" r:id="rId15"/>
    <sheet name="Gebäudedienste" sheetId="29" r:id="rId16"/>
    <sheet name="Verwaltung &amp; Technik" sheetId="5" r:id="rId17"/>
    <sheet name="Ver- &amp; Entsorgung" sheetId="6" r:id="rId18"/>
    <sheet name="Reinigung" sheetId="7" r:id="rId19"/>
    <sheet name="Instandsetzung" sheetId="9" r:id="rId20"/>
    <sheet name="Abbruch &amp; Entsorgung" sheetId="10" r:id="rId21"/>
    <sheet name="Ökodaten Energie" sheetId="25" r:id="rId22"/>
    <sheet name="Ökodaten Transport" sheetId="34" r:id="rId23"/>
    <sheet name="Ökodaten Konstruktionen" sheetId="22" r:id="rId24"/>
    <sheet name="Hilfsblatt Energie" sheetId="18" state="hidden" r:id="rId25"/>
    <sheet name="Massenbilanz" sheetId="27" state="hidden" r:id="rId26"/>
    <sheet name="Ökodaten Entsorgung" sheetId="32" state="hidden" r:id="rId27"/>
  </sheets>
  <externalReferences>
    <externalReference r:id="rId28"/>
    <externalReference r:id="rId29"/>
  </externalReferences>
  <definedNames>
    <definedName name="_xlnm._FilterDatabase" localSheetId="4" hidden="1">Errichtung!$B$1:$B$208</definedName>
    <definedName name="_xlnm._FilterDatabase" localSheetId="11" hidden="1">Folgekosten!$B$1:$B$198</definedName>
    <definedName name="_ftnref1" localSheetId="17">'Ver- &amp; Entsorgung'!#REF!</definedName>
    <definedName name="Abbruch_Entsorgung" localSheetId="1">'[1]Abbruch&amp;Entsorgung'!$C$2:$G$196</definedName>
    <definedName name="Abbruch_Entsorgung" localSheetId="0">'[1]Abbruch&amp;Entsorgung'!$C$2:$G$196</definedName>
    <definedName name="Abbruch_Entsorgung" localSheetId="22">'[1]Abbruch&amp;Entsorgung'!$C$2:$G$196</definedName>
    <definedName name="Abbruch_Entsorgung">'Abbruch &amp; Entsorgung'!$C$2:$G$196</definedName>
    <definedName name="Allgemeine_Angaben" localSheetId="1">'[1]Allgemeine Angaben'!$C$2:$G$73</definedName>
    <definedName name="Allgemeine_Angaben" localSheetId="0">'[1]Allgemeine Angaben'!$C$2:$G$73</definedName>
    <definedName name="Allgemeine_Angaben" localSheetId="22">'[1]Allgemeine Angaben'!$C$2:$G$73</definedName>
    <definedName name="Allgemeine_Angaben">'Allgemeine Angaben'!$C$2:$G$79</definedName>
    <definedName name="BruttoNetto" localSheetId="1">'[1]Hilfsblatt Energie'!$C$2:$C$4</definedName>
    <definedName name="BruttoNetto" localSheetId="0">'[1]Hilfsblatt Energie'!$C$2:$C$4</definedName>
    <definedName name="BruttoNetto" localSheetId="22">'[1]Hilfsblatt Energie'!$C$2:$C$4</definedName>
    <definedName name="BruttoNetto">'Hilfsblatt Energie'!$C$2:$C$4</definedName>
    <definedName name="Dienstleistungen" localSheetId="1">[1]Dienstleistungen!$C$3:$H$52</definedName>
    <definedName name="Dienstleistungen" localSheetId="0">[1]Dienstleistungen!$C$3:$H$52</definedName>
    <definedName name="Dienstleistungen" localSheetId="22">[1]Dienstleistungen!$C$3:$H$52</definedName>
    <definedName name="Dienstleistungen">Dienstleistungen!$C$3:$H$49</definedName>
    <definedName name="Diesel">'Ökodaten Transport'!$B$24:$B$26</definedName>
    <definedName name="_xlnm.Print_Area" localSheetId="20">'Abbruch &amp; Entsorgung'!$A$1:$J$45</definedName>
    <definedName name="_xlnm.Print_Area" localSheetId="2">'Allgemeine Angaben'!$A$1:$K$27</definedName>
    <definedName name="_xlnm.Print_Area" localSheetId="14">Dienstleistungen!$A$1:$J$63</definedName>
    <definedName name="_xlnm.Print_Area" localSheetId="5">Energie!$A$1:$O$98</definedName>
    <definedName name="_xlnm.Print_Area" localSheetId="8">'Ergebnisse Nutzung &amp; Betrieb'!$A$1:$AN$246</definedName>
    <definedName name="_xlnm.Print_Area" localSheetId="9">'Ergebnisse Übersicht'!$A$1:$P$31</definedName>
    <definedName name="_xlnm.Print_Area" localSheetId="4">Errichtung!$A$1:$S$208</definedName>
    <definedName name="_xlnm.Print_Area" localSheetId="13">'Finanzielle Parameter'!$C$1:$J$15,'Finanzielle Parameter'!$C$55:$J$63</definedName>
    <definedName name="_xlnm.Print_Area" localSheetId="11">Folgekosten!$A$1:$P$198</definedName>
    <definedName name="_xlnm.Print_Area" localSheetId="15">Gebäudedienste!$A$1:$Y$35</definedName>
    <definedName name="_xlnm.Print_Area" localSheetId="0">Info!$A$1:$O$39</definedName>
    <definedName name="_xlnm.Print_Area" localSheetId="19">Instandsetzung!$C$1:$J$9,Instandsetzung!$C$60:$J$199</definedName>
    <definedName name="_xlnm.Print_Area" localSheetId="3">Objektkenndaten!$A$1:$M$61</definedName>
    <definedName name="_xlnm.Print_Area" localSheetId="21">'Ökodaten Energie'!$A$1:$N$41</definedName>
    <definedName name="_xlnm.Print_Area" localSheetId="23">'Ökodaten Konstruktionen'!$A$1:$BI$280</definedName>
    <definedName name="_xlnm.Print_Area" localSheetId="18">Reinigung!$A$1:$J$66</definedName>
    <definedName name="_xlnm.Print_Area" localSheetId="12">Schätzfaktoren!$D$1:$J$38,Schätzfaktoren!$D$56:$J$72,Schätzfaktoren!$D$108:$J$111</definedName>
    <definedName name="_xlnm.Print_Area" localSheetId="17">'Ver- &amp; Entsorgung'!$D$1:$J$14,'Ver- &amp; Entsorgung'!$D$94:$J$106</definedName>
    <definedName name="_xlnm.Print_Area" localSheetId="16">'Verwaltung &amp; Technik'!$A$1:$J$82</definedName>
    <definedName name="_xlnm.Print_Titles" localSheetId="20">'Abbruch &amp; Entsorgung'!$1:$1</definedName>
    <definedName name="_xlnm.Print_Titles" localSheetId="2">'Allgemeine Angaben'!$1:$1</definedName>
    <definedName name="_xlnm.Print_Titles" localSheetId="14">Dienstleistungen!$1:$1</definedName>
    <definedName name="_xlnm.Print_Titles" localSheetId="5">Energie!$1:$1</definedName>
    <definedName name="_xlnm.Print_Titles" localSheetId="7">'Ergebnisse Errichtung'!$1:$1</definedName>
    <definedName name="_xlnm.Print_Titles" localSheetId="8">'Ergebnisse Nutzung &amp; Betrieb'!$A:$E,'Ergebnisse Nutzung &amp; Betrieb'!$1:$2</definedName>
    <definedName name="_xlnm.Print_Titles" localSheetId="9">'Ergebnisse Übersicht'!$1:$2</definedName>
    <definedName name="_xlnm.Print_Titles" localSheetId="4">Errichtung!$1:$2</definedName>
    <definedName name="_xlnm.Print_Titles" localSheetId="13">'Finanzielle Parameter'!$1:$1</definedName>
    <definedName name="_xlnm.Print_Titles" localSheetId="11">Folgekosten!$1:$2</definedName>
    <definedName name="_xlnm.Print_Titles" localSheetId="15">Gebäudedienste!$1:$2</definedName>
    <definedName name="_xlnm.Print_Titles" localSheetId="19">Instandsetzung!$1:$1</definedName>
    <definedName name="_xlnm.Print_Titles" localSheetId="10">Kennwerte!#REF!</definedName>
    <definedName name="_xlnm.Print_Titles" localSheetId="6">'Nutzung &amp; Betrieb'!$1:$1</definedName>
    <definedName name="_xlnm.Print_Titles" localSheetId="3">Objektkenndaten!$1:$1</definedName>
    <definedName name="_xlnm.Print_Titles" localSheetId="21">'Ökodaten Energie'!$1:$2</definedName>
    <definedName name="_xlnm.Print_Titles" localSheetId="23">'Ökodaten Konstruktionen'!$1:$3</definedName>
    <definedName name="_xlnm.Print_Titles" localSheetId="22">'Ökodaten Transport'!$1:$2</definedName>
    <definedName name="_xlnm.Print_Titles" localSheetId="18">Reinigung!$1:$1</definedName>
    <definedName name="_xlnm.Print_Titles" localSheetId="12">Schätzfaktoren!$1:$1</definedName>
    <definedName name="_xlnm.Print_Titles" localSheetId="17">'Ver- &amp; Entsorgung'!$1:$1</definedName>
    <definedName name="_xlnm.Print_Titles" localSheetId="16">'Verwaltung &amp; Technik'!$1:$1</definedName>
    <definedName name="E2C03a" localSheetId="1">'[1]Ökodaten Konstruktionen'!$A$10:$A$15</definedName>
    <definedName name="E2C03a" localSheetId="0">'[1]Ökodaten Konstruktionen'!$A$10:$A$15</definedName>
    <definedName name="E2C03a" localSheetId="22">'[1]Ökodaten Konstruktionen'!$A$10:$A$15</definedName>
    <definedName name="E2C03a">'Ökodaten Konstruktionen'!$A$11:$A$16</definedName>
    <definedName name="E2C03b" localSheetId="1">'[1]Ökodaten Konstruktionen'!$A$20:$A$28</definedName>
    <definedName name="E2C03b" localSheetId="0">'[1]Ökodaten Konstruktionen'!$A$20:$A$28</definedName>
    <definedName name="E2C03b" localSheetId="22">'[1]Ökodaten Konstruktionen'!$A$20:$A$28</definedName>
    <definedName name="E2C03b">'Ökodaten Konstruktionen'!$A$21:$A$29</definedName>
    <definedName name="E2C03c" localSheetId="1">'[1]Ökodaten Konstruktionen'!$A$29:$A$32</definedName>
    <definedName name="E2C03c" localSheetId="0">'[1]Ökodaten Konstruktionen'!$A$29:$A$32</definedName>
    <definedName name="E2C03c" localSheetId="22">'[1]Ökodaten Konstruktionen'!$A$29:$A$32</definedName>
    <definedName name="E2C03c">'Ökodaten Konstruktionen'!$A$30:$A$33</definedName>
    <definedName name="E2C05" localSheetId="1">'[1]Ökodaten Konstruktionen'!$A$16:$A$19</definedName>
    <definedName name="E2C05" localSheetId="0">'[1]Ökodaten Konstruktionen'!$A$16:$A$19</definedName>
    <definedName name="E2C05" localSheetId="22">'[1]Ökodaten Konstruktionen'!$A$16:$A$19</definedName>
    <definedName name="E2C05">'Ökodaten Konstruktionen'!$A$17:$A$20</definedName>
    <definedName name="E2D01ADaemm" localSheetId="1">'[1]Ökodaten Konstruktionen'!$A$54:$A$60</definedName>
    <definedName name="E2D01ADaemm" localSheetId="0">'[1]Ökodaten Konstruktionen'!$A$54:$A$60</definedName>
    <definedName name="E2D01ADaemm" localSheetId="22">'[1]Ökodaten Konstruktionen'!$A$54:$A$60</definedName>
    <definedName name="E2D01ADaemm">'Ökodaten Konstruktionen'!$A$57:$A$63</definedName>
    <definedName name="E2D01Decke" localSheetId="1">'[1]Ökodaten Konstruktionen'!$A$33:$A$44</definedName>
    <definedName name="E2D01Decke" localSheetId="0">'[1]Ökodaten Konstruktionen'!$A$33:$A$44</definedName>
    <definedName name="E2D01Decke" localSheetId="22">'[1]Ökodaten Konstruktionen'!$A$33:$A$44</definedName>
    <definedName name="E2D01Decke">'Ökodaten Konstruktionen'!$A$35:$A$47</definedName>
    <definedName name="E2D01Estrich" localSheetId="1">'[1]Ökodaten Konstruktionen'!$A$61:$A$67</definedName>
    <definedName name="E2D01Estrich" localSheetId="0">'[1]Ökodaten Konstruktionen'!$A$61:$A$67</definedName>
    <definedName name="E2D01Estrich" localSheetId="22">'[1]Ökodaten Konstruktionen'!$A$61:$A$67</definedName>
    <definedName name="E2D01Estrich">'Ökodaten Konstruktionen'!$A$64:$A$70</definedName>
    <definedName name="E2D01KDaemm" localSheetId="1">'[1]Ökodaten Konstruktionen'!$A$45:$A$53</definedName>
    <definedName name="E2D01KDaemm" localSheetId="0">'[1]Ökodaten Konstruktionen'!$A$45:$A$53</definedName>
    <definedName name="E2D01KDaemm" localSheetId="22">'[1]Ökodaten Konstruktionen'!$A$45:$A$53</definedName>
    <definedName name="E2D01KDaemm">'Ökodaten Konstruktionen'!$A$48:$A$56</definedName>
    <definedName name="E2D02" localSheetId="1">'[1]Ökodaten Konstruktionen'!$A$68:$A$70</definedName>
    <definedName name="E2D02" localSheetId="0">'[1]Ökodaten Konstruktionen'!$A$68:$A$70</definedName>
    <definedName name="E2D02" localSheetId="22">'[1]Ökodaten Konstruktionen'!$A$68:$A$70</definedName>
    <definedName name="E2D02">'Ökodaten Konstruktionen'!$A$71:$A$73</definedName>
    <definedName name="E2D03a" localSheetId="1">'[1]Ökodaten Konstruktionen'!$A$71:$A$76</definedName>
    <definedName name="E2D03a" localSheetId="0">'[1]Ökodaten Konstruktionen'!$A$71:$A$76</definedName>
    <definedName name="E2D03a" localSheetId="22">'[1]Ökodaten Konstruktionen'!$A$71:$A$76</definedName>
    <definedName name="E2D03a">'Ökodaten Konstruktionen'!$A$74:$A$80</definedName>
    <definedName name="E2D03a1" localSheetId="1">'[1]Ökodaten Konstruktionen'!$A$77:$A$89</definedName>
    <definedName name="E2D03a1" localSheetId="0">'[1]Ökodaten Konstruktionen'!$A$77:$A$89</definedName>
    <definedName name="E2D03a1" localSheetId="22">'[1]Ökodaten Konstruktionen'!$A$77:$A$89</definedName>
    <definedName name="E2D03a1">'Ökodaten Konstruktionen'!$A$81:$A$93</definedName>
    <definedName name="E2D03a2" localSheetId="1">'[1]Ökodaten Konstruktionen'!$A$90:$A$94</definedName>
    <definedName name="E2D03a2" localSheetId="0">'[1]Ökodaten Konstruktionen'!$A$90:$A$94</definedName>
    <definedName name="E2D03a2" localSheetId="22">'[1]Ökodaten Konstruktionen'!$A$90:$A$94</definedName>
    <definedName name="E2D03a2">'Ökodaten Konstruktionen'!$A$94:$A$98</definedName>
    <definedName name="E2D03a3" localSheetId="1">'[1]Ökodaten Konstruktionen'!$A$95:$A$100</definedName>
    <definedName name="E2D03a3" localSheetId="0">'[1]Ökodaten Konstruktionen'!$A$95:$A$100</definedName>
    <definedName name="E2D03a3" localSheetId="22">'[1]Ökodaten Konstruktionen'!$A$95:$A$100</definedName>
    <definedName name="E2D03a3">'Ökodaten Konstruktionen'!$A$99:$A$104</definedName>
    <definedName name="E2E01a" localSheetId="1">'[1]Ökodaten Konstruktionen'!$A$106:$A$117</definedName>
    <definedName name="E2E01a" localSheetId="0">'[1]Ökodaten Konstruktionen'!$A$106:$A$117</definedName>
    <definedName name="E2E01a" localSheetId="22">'[1]Ökodaten Konstruktionen'!$A$106:$A$117</definedName>
    <definedName name="E2E01a">'Ökodaten Konstruktionen'!$A$111:$A$121</definedName>
    <definedName name="E2E01d" localSheetId="1">'[1]Ökodaten Konstruktionen'!$A$126:$A$130</definedName>
    <definedName name="E2E01d" localSheetId="0">'[1]Ökodaten Konstruktionen'!$A$126:$A$130</definedName>
    <definedName name="E2E01d" localSheetId="22">'[1]Ökodaten Konstruktionen'!$A$126:$A$130</definedName>
    <definedName name="E2E01d">'Ökodaten Konstruktionen'!$A$129:$A$133</definedName>
    <definedName name="E2E01ds" localSheetId="1">'[1]Ökodaten Konstruktionen'!$A$118:$A$125</definedName>
    <definedName name="E2E01ds" localSheetId="0">'[1]Ökodaten Konstruktionen'!$A$118:$A$125</definedName>
    <definedName name="E2E01ds" localSheetId="22">'[1]Ökodaten Konstruktionen'!$A$118:$A$125</definedName>
    <definedName name="E2E01ds">'Ökodaten Konstruktionen'!$A$122:$A$128</definedName>
    <definedName name="E2E01f" localSheetId="1">'[1]Ökodaten Konstruktionen'!$A$101:$A$105</definedName>
    <definedName name="E2E01f" localSheetId="0">'[1]Ökodaten Konstruktionen'!$A$101:$A$105</definedName>
    <definedName name="E2E01f" localSheetId="22">'[1]Ökodaten Konstruktionen'!$A$101:$A$105</definedName>
    <definedName name="E2E01f">'Ökodaten Konstruktionen'!$A$106:$A$110</definedName>
    <definedName name="E2E02" localSheetId="1">'[1]Ökodaten Konstruktionen'!$A$131:$A$147</definedName>
    <definedName name="E2E02" localSheetId="0">'[1]Ökodaten Konstruktionen'!$A$131:$A$147</definedName>
    <definedName name="E2E02" localSheetId="22">'[1]Ökodaten Konstruktionen'!$A$131:$A$147</definedName>
    <definedName name="E2E02">'Ökodaten Konstruktionen'!$A$134:$A$150</definedName>
    <definedName name="E2E03" localSheetId="1">'[1]Ökodaten Konstruktionen'!$A$148:$A$153</definedName>
    <definedName name="E2E03" localSheetId="0">'[1]Ökodaten Konstruktionen'!$A$148:$A$153</definedName>
    <definedName name="E2E03" localSheetId="22">'[1]Ökodaten Konstruktionen'!$A$148:$A$153</definedName>
    <definedName name="E2E03">'Ökodaten Konstruktionen'!$A$151:$A$156</definedName>
    <definedName name="E3C01a" localSheetId="1">'[1]Ökodaten Konstruktionen'!$A$154:$A$159</definedName>
    <definedName name="E3C01a" localSheetId="0">'[1]Ökodaten Konstruktionen'!$A$154:$A$159</definedName>
    <definedName name="E3C01a" localSheetId="22">'[1]Ökodaten Konstruktionen'!$A$154:$A$159</definedName>
    <definedName name="E3C01a">'Ökodaten Konstruktionen'!$A$158:$A$160</definedName>
    <definedName name="E3C01b" localSheetId="1">'[1]Ökodaten Konstruktionen'!$A$160:$A$162</definedName>
    <definedName name="E3C01b" localSheetId="0">'[1]Ökodaten Konstruktionen'!$A$160:$A$162</definedName>
    <definedName name="E3C01b" localSheetId="22">'[1]Ökodaten Konstruktionen'!$A$160:$A$162</definedName>
    <definedName name="E3C01b">'Ökodaten Konstruktionen'!$A$161:$A$163</definedName>
    <definedName name="E3F02a" localSheetId="1">'[1]Ökodaten Konstruktionen'!$A$163:$A$170</definedName>
    <definedName name="E3F02a" localSheetId="0">'[1]Ökodaten Konstruktionen'!$A$163:$A$170</definedName>
    <definedName name="E3F02a" localSheetId="22">'[1]Ökodaten Konstruktionen'!$A$163:$A$170</definedName>
    <definedName name="E3F02a">'Ökodaten Konstruktionen'!$A$164:$A$168</definedName>
    <definedName name="E3F02b" localSheetId="1">'[1]Ökodaten Konstruktionen'!$A$171:$A$173</definedName>
    <definedName name="E3F02b" localSheetId="0">'[1]Ökodaten Konstruktionen'!$A$171:$A$173</definedName>
    <definedName name="E3F02b" localSheetId="22">'[1]Ökodaten Konstruktionen'!$A$171:$A$173</definedName>
    <definedName name="E3F02b">'Ökodaten Konstruktionen'!$A$169:$A$173</definedName>
    <definedName name="E4B01" localSheetId="1">'[1]Ökodaten Konstruktionen'!$A$174:$A$181</definedName>
    <definedName name="E4B01" localSheetId="0">'[1]Ökodaten Konstruktionen'!$A$174:$A$181</definedName>
    <definedName name="E4B01" localSheetId="22">'[1]Ökodaten Konstruktionen'!$A$174:$A$181</definedName>
    <definedName name="E4B01">'Ökodaten Konstruktionen'!$A$175:$A$182</definedName>
    <definedName name="E4B02a" localSheetId="1">'[1]Ökodaten Konstruktionen'!$A$182:$A$187</definedName>
    <definedName name="E4B02a" localSheetId="0">'[1]Ökodaten Konstruktionen'!$A$182:$A$187</definedName>
    <definedName name="E4B02a" localSheetId="22">'[1]Ökodaten Konstruktionen'!$A$182:$A$187</definedName>
    <definedName name="E4B02a">'Ökodaten Konstruktionen'!$A$184:$A$189</definedName>
    <definedName name="E4B02b" localSheetId="1">'[1]Ökodaten Konstruktionen'!$A$188:$A$196</definedName>
    <definedName name="E4B02b" localSheetId="0">'[1]Ökodaten Konstruktionen'!$A$188:$A$196</definedName>
    <definedName name="E4B02b" localSheetId="22">'[1]Ökodaten Konstruktionen'!$A$188:$A$196</definedName>
    <definedName name="E4B02b">'Ökodaten Konstruktionen'!$A$190:$A$198</definedName>
    <definedName name="E4C01a" localSheetId="1">'[1]Ökodaten Konstruktionen'!$A$197:$A$202</definedName>
    <definedName name="E4C01a" localSheetId="0">'[1]Ökodaten Konstruktionen'!$A$197:$A$202</definedName>
    <definedName name="E4C01a" localSheetId="22">'[1]Ökodaten Konstruktionen'!$A$197:$A$202</definedName>
    <definedName name="E4C01a">'Ökodaten Konstruktionen'!$A$199:$A$204</definedName>
    <definedName name="E4C01b1" localSheetId="1">'[1]Ökodaten Konstruktionen'!$A$203:$A$208</definedName>
    <definedName name="E4C01b1" localSheetId="0">'[1]Ökodaten Konstruktionen'!$A$203:$A$208</definedName>
    <definedName name="E4C01b1" localSheetId="22">'[1]Ökodaten Konstruktionen'!$A$203:$A$208</definedName>
    <definedName name="E4C01b1">'Ökodaten Konstruktionen'!$A$205:$A$210</definedName>
    <definedName name="E4C01b2" localSheetId="1">'[1]Ökodaten Konstruktionen'!$A$209:$A$222</definedName>
    <definedName name="E4C01b2" localSheetId="0">'[1]Ökodaten Konstruktionen'!$A$209:$A$222</definedName>
    <definedName name="E4C01b2" localSheetId="22">'[1]Ökodaten Konstruktionen'!$A$209:$A$222</definedName>
    <definedName name="E4C01b2">'Ökodaten Konstruktionen'!$A$211:$A$224</definedName>
    <definedName name="E4C02b">'Ökodaten Konstruktionen'!$A$225:$A$229</definedName>
    <definedName name="E4C04a" localSheetId="1">'[1]Ökodaten Konstruktionen'!$A$223:$A$225</definedName>
    <definedName name="E4C04a" localSheetId="0">'[1]Ökodaten Konstruktionen'!$A$223:$A$225</definedName>
    <definedName name="E4C04a" localSheetId="22">'[1]Ökodaten Konstruktionen'!$A$223:$A$225</definedName>
    <definedName name="E4C04a">'Ökodaten Konstruktionen'!$A$230:$A$232</definedName>
    <definedName name="E4C04b" localSheetId="1">'[1]Ökodaten Konstruktionen'!$A$226:$A$228</definedName>
    <definedName name="E4C04b" localSheetId="0">'[1]Ökodaten Konstruktionen'!$A$226:$A$228</definedName>
    <definedName name="E4C04b" localSheetId="22">'[1]Ökodaten Konstruktionen'!$A$226:$A$228</definedName>
    <definedName name="E4C04b">'Ökodaten Konstruktionen'!$A$233:$A$235</definedName>
    <definedName name="E4D01" localSheetId="1">'[1]Ökodaten Konstruktionen'!$A$229:$A$240</definedName>
    <definedName name="E4D01" localSheetId="0">'[1]Ökodaten Konstruktionen'!$A$229:$A$240</definedName>
    <definedName name="E4D01" localSheetId="22">'[1]Ökodaten Konstruktionen'!$A$229:$A$240</definedName>
    <definedName name="E4D01">'Ökodaten Konstruktionen'!$A$237:$A$248</definedName>
    <definedName name="E4D02" localSheetId="1">'[1]Ökodaten Konstruktionen'!$A$241:$A$248</definedName>
    <definedName name="E4D02" localSheetId="0">'[1]Ökodaten Konstruktionen'!$A$241:$A$248</definedName>
    <definedName name="E4D02" localSheetId="22">'[1]Ökodaten Konstruktionen'!$A$241:$A$248</definedName>
    <definedName name="E4D02">'Ökodaten Konstruktionen'!$A$249:$A$256</definedName>
    <definedName name="E4D03" localSheetId="1">'[1]Ökodaten Konstruktionen'!$A$249:$A$258</definedName>
    <definedName name="E4D03" localSheetId="0">'[1]Ökodaten Konstruktionen'!$A$249:$A$258</definedName>
    <definedName name="E4D03" localSheetId="22">'[1]Ökodaten Konstruktionen'!$A$249:$A$258</definedName>
    <definedName name="E4D03">'Ökodaten Konstruktionen'!$A$257:$A$266</definedName>
    <definedName name="E4D04a">'Ökodaten Konstruktionen'!$A$267:$A$269</definedName>
    <definedName name="E4D04b">'Ökodaten Konstruktionen'!$A$270:$A$273</definedName>
    <definedName name="E4D05" localSheetId="1">'[1]Ökodaten Konstruktionen'!$A$259:$A$264</definedName>
    <definedName name="E4D05" localSheetId="0">'[1]Ökodaten Konstruktionen'!$A$259:$A$264</definedName>
    <definedName name="E4D05" localSheetId="22">'[1]Ökodaten Konstruktionen'!$A$259:$A$264</definedName>
    <definedName name="E4D05">'Ökodaten Konstruktionen'!$A$274:$A$279</definedName>
    <definedName name="Eigenstromversorgung">'Ökodaten Konstruktionen'!$A$165:$A$167</definedName>
    <definedName name="Energie" localSheetId="1">[1]Energie!$C$2:$J$342</definedName>
    <definedName name="Energie" localSheetId="0">[1]Energie!$C$2:$J$342</definedName>
    <definedName name="Energie" localSheetId="22">[1]Energie!$C$2:$J$342</definedName>
    <definedName name="Energie">Energie!$C$1:$J$341</definedName>
    <definedName name="Energieniveau" localSheetId="1">'[1]Hilfsblatt Energie'!$D$2:$D$6</definedName>
    <definedName name="Energieniveau" localSheetId="0">'[1]Hilfsblatt Energie'!$D$2:$D$6</definedName>
    <definedName name="Energieniveau" localSheetId="22">'[1]Hilfsblatt Energie'!$D$2:$D$6</definedName>
    <definedName name="Energieniveau">'Hilfsblatt Energie'!$D$2:$D$6</definedName>
    <definedName name="Energieproduktion" localSheetId="1">'[1]Hilfsblatt Energie'!$E$2:$E$6</definedName>
    <definedName name="Energieproduktion" localSheetId="0">'[1]Hilfsblatt Energie'!$E$2:$E$6</definedName>
    <definedName name="Energieproduktion" localSheetId="22">'[1]Hilfsblatt Energie'!$E$2:$E$6</definedName>
    <definedName name="Energieproduktion">'Hilfsblatt Energie'!$E$2:$E$6</definedName>
    <definedName name="EnergieproduktionkWh" localSheetId="1">'[1]Hilfsblatt Energie'!$A$107:$C$110</definedName>
    <definedName name="EnergieproduktionkWh" localSheetId="0">'[1]Hilfsblatt Energie'!$A$107:$C$110</definedName>
    <definedName name="EnergieproduktionkWh" localSheetId="22">'[1]Hilfsblatt Energie'!$A$107:$C$110</definedName>
    <definedName name="EnergieproduktionkWh">'Hilfsblatt Energie'!$A$109:$C$112</definedName>
    <definedName name="Energietraeger" localSheetId="1">'[1]Hilfsblatt Energie'!$B$9:$L$52</definedName>
    <definedName name="Energietraeger" localSheetId="0">'[1]Hilfsblatt Energie'!$B$9:$L$52</definedName>
    <definedName name="Energietraeger" localSheetId="22">'[1]Hilfsblatt Energie'!$B$9:$L$52</definedName>
    <definedName name="Energietraeger">'Hilfsblatt Energie'!$B$9:$L$54</definedName>
    <definedName name="Ergebnisse_Errichtung" localSheetId="1">'[1]Ergebnisse Errichtung'!$C$3:$P$206</definedName>
    <definedName name="Ergebnisse_Errichtung" localSheetId="0">'[1]Ergebnisse Errichtung'!$C$3:$P$206</definedName>
    <definedName name="Ergebnisse_Errichtung" localSheetId="22">'[1]Ergebnisse Errichtung'!$C$3:$P$206</definedName>
    <definedName name="Ergebnisse_Errichtung">'Ergebnisse Errichtung'!$C$3:$P$203</definedName>
    <definedName name="Ergebnisse_Nutzung" localSheetId="1">'[1]Ergebnisse Nutzung und Betrieb'!$C$3:$AF$246</definedName>
    <definedName name="Ergebnisse_Nutzung" localSheetId="0">'[1]Ergebnisse Nutzung und Betrieb'!$C$3:$AF$246</definedName>
    <definedName name="Ergebnisse_Nutzung" localSheetId="22">'[1]Ergebnisse Nutzung und Betrieb'!$C$3:$AF$246</definedName>
    <definedName name="Ergebnisse_Nutzung">'Ergebnisse Nutzung &amp; Betrieb'!$C$3:$AF$246</definedName>
    <definedName name="Errichtungskosten" localSheetId="1">[1]Errichtung!$C$3:$P$272</definedName>
    <definedName name="Errichtungskosten" localSheetId="0">[1]Errichtung!$C$3:$P$272</definedName>
    <definedName name="Errichtungskosten" localSheetId="22">[1]Errichtung!$C$3:$P$272</definedName>
    <definedName name="Errichtungskosten">Errichtung!$C$3:$P$274</definedName>
    <definedName name="Finanzielle_Parameter" localSheetId="1">'[1]Finanzielle Parameter'!$C$3:$H$38</definedName>
    <definedName name="Finanzielle_Parameter" localSheetId="0">'[1]Finanzielle Parameter'!$C$3:$H$38</definedName>
    <definedName name="Finanzielle_Parameter" localSheetId="22">'[1]Finanzielle Parameter'!$C$3:$H$38</definedName>
    <definedName name="Finanzielle_Parameter">'Finanzielle Parameter'!$C$3:$H$43</definedName>
    <definedName name="Folgekosten" localSheetId="1">[1]Folgekosten!$C$3:$DM$204</definedName>
    <definedName name="Folgekosten" localSheetId="0">[1]Folgekosten!$C$3:$DM$204</definedName>
    <definedName name="Folgekosten" localSheetId="22">[1]Folgekosten!$C$3:$DM$204</definedName>
    <definedName name="Folgekosten">Folgekosten!$C$3:$DM$208</definedName>
    <definedName name="Gebäudedienste" localSheetId="1">[1]Gebäudedienste!$A$1:$Y$34</definedName>
    <definedName name="Gebäudedienste" localSheetId="0">[1]Gebäudedienste!$A$1:$Y$34</definedName>
    <definedName name="Gebäudedienste" localSheetId="22">[1]Gebäudedienste!$A$1:$Y$34</definedName>
    <definedName name="Gebäudedienste">Gebäudedienste!$A$1:$Y$33</definedName>
    <definedName name="Heizung" localSheetId="1">'[1]Hilfsblatt Energie'!$B$15:$B$30</definedName>
    <definedName name="Heizung" localSheetId="0">'[1]Hilfsblatt Energie'!$B$15:$B$30</definedName>
    <definedName name="Heizung" localSheetId="22">'[1]Hilfsblatt Energie'!$B$15:$B$30</definedName>
    <definedName name="Heizung">'Hilfsblatt Energie'!$B$15:$B$31</definedName>
    <definedName name="Hilfsstrom" localSheetId="1">'[1]Hilfsblatt Energie'!$H$15:$K$50</definedName>
    <definedName name="Hilfsstrom" localSheetId="0">'[1]Hilfsblatt Energie'!$H$15:$K$50</definedName>
    <definedName name="Hilfsstrom" localSheetId="22">'[1]Hilfsblatt Energie'!$H$15:$K$50</definedName>
    <definedName name="Hilfsstrom">'Hilfsblatt Energie'!$H$15:$K$52</definedName>
    <definedName name="Instandsetzung" localSheetId="1">[1]Instandsetzung!$C$2:$H$84</definedName>
    <definedName name="Instandsetzung" localSheetId="0">[1]Instandsetzung!$C$2:$H$84</definedName>
    <definedName name="Instandsetzung" localSheetId="22">[1]Instandsetzung!$C$2:$H$84</definedName>
    <definedName name="Instandsetzung">Instandsetzung!$C$2:$H$83</definedName>
    <definedName name="JaNein" localSheetId="1">'[1]Hilfsblatt Energie'!$F$2:$F$4</definedName>
    <definedName name="JaNein" localSheetId="0">'[1]Hilfsblatt Energie'!$F$2:$F$4</definedName>
    <definedName name="JaNein" localSheetId="22">'[1]Hilfsblatt Energie'!$F$2:$F$4</definedName>
    <definedName name="JaNein">'Hilfsblatt Energie'!$F$2:$F$4</definedName>
    <definedName name="Kennwerte">Kennwerte!$C$2:$F$40</definedName>
    <definedName name="Konstruktionsdaten">[2]Konstruktionsdaten!$C$4:$K$9</definedName>
    <definedName name="Kuehlung" localSheetId="1">'[1]Hilfsblatt Energie'!$B$39:$B$50</definedName>
    <definedName name="Kuehlung" localSheetId="0">'[1]Hilfsblatt Energie'!$B$39:$B$50</definedName>
    <definedName name="Kuehlung" localSheetId="22">'[1]Hilfsblatt Energie'!$B$39:$B$50</definedName>
    <definedName name="Kuehlung">'Hilfsblatt Energie'!$B$40:$B$52</definedName>
    <definedName name="Lueftung" localSheetId="1">'[1]Hilfsblatt Energie'!$G$2:$G$5</definedName>
    <definedName name="Lueftung" localSheetId="0">'[1]Hilfsblatt Energie'!$G$2:$G$5</definedName>
    <definedName name="Lueftung" localSheetId="22">'[1]Hilfsblatt Energie'!$G$2:$G$5</definedName>
    <definedName name="Lueftung">'Hilfsblatt Energie'!$G$2:$G$5</definedName>
    <definedName name="Massenbilanz" localSheetId="1">[1]Massenbilanz!$C$4:$R$99</definedName>
    <definedName name="Massenbilanz" localSheetId="0">[1]Massenbilanz!$C$4:$R$99</definedName>
    <definedName name="Massenbilanz" localSheetId="22">[1]Massenbilanz!$C$4:$R$99</definedName>
    <definedName name="Massenbilanz">Massenbilanz!$C$4:$S$107</definedName>
    <definedName name="Mix_ÖPNVPKW">'Ökodaten Transport'!$B$20:$B$22</definedName>
    <definedName name="Nutzung_Betrieb">'Nutzung &amp; Betrieb'!$C$3:$F$48</definedName>
    <definedName name="Nutzungsdauern" localSheetId="1">[1]Instandsetzung!$C$60:$J$220</definedName>
    <definedName name="Nutzungsdauern" localSheetId="0">[1]Instandsetzung!$C$60:$J$220</definedName>
    <definedName name="Nutzungsdauern" localSheetId="22">[1]Instandsetzung!$C$60:$J$220</definedName>
    <definedName name="Nutzungsdauern">Instandsetzung!$C$60:$J$216</definedName>
    <definedName name="Objektkenndaten" localSheetId="1">[1]Objektkenndaten!$C$2:$G$182</definedName>
    <definedName name="Objektkenndaten" localSheetId="0">[1]Objektkenndaten!$C$2:$G$182</definedName>
    <definedName name="Objektkenndaten" localSheetId="22">[1]Objektkenndaten!$C$2:$G$182</definedName>
    <definedName name="Objektkenndaten">Objektkenndaten!$C$2:$G$182</definedName>
    <definedName name="Ökodaten_Energie" localSheetId="1">'[1]Ökodaten Energie'!$B$3:$N$79</definedName>
    <definedName name="Ökodaten_Energie" localSheetId="0">'[1]Ökodaten Energie'!$B$3:$N$79</definedName>
    <definedName name="Ökodaten_Energie" localSheetId="22">'[1]Ökodaten Energie'!$B$3:$N$79</definedName>
    <definedName name="Ökodaten_Energie">'Ökodaten Energie'!$B$4:$N$82</definedName>
    <definedName name="Ökodaten_Entsorgung">'Ökodaten Entsorgung'!$A$1:$I$13</definedName>
    <definedName name="Ökodaten_Transport">'Ökodaten Transport'!$B$5:$H$51</definedName>
    <definedName name="ÖkodatenKonstruktionen" localSheetId="1">'[1]Ökodaten Konstruktionen'!$A$4:$BI$312</definedName>
    <definedName name="ÖkodatenKonstruktionen" localSheetId="0">'[1]Ökodaten Konstruktionen'!$A$4:$BI$312</definedName>
    <definedName name="ÖkodatenKonstruktionen" localSheetId="22">'[1]Ökodaten Konstruktionen'!$A$4:$BI$312</definedName>
    <definedName name="ÖkodatenKonstruktionen">'Ökodaten Konstruktionen'!$A$4:$BI$325</definedName>
    <definedName name="Ökokenndaten">[2]Öko_Faktoren!$C$3:$S$100</definedName>
    <definedName name="ÖPNV">'Ökodaten Transport'!$B$12:$B$18</definedName>
    <definedName name="PKW">'Ökodaten Transport'!$B$3:$B$10</definedName>
    <definedName name="Preissteigerung" localSheetId="1">'[1]Finanzielle Parameter'!$C$3:$C$7</definedName>
    <definedName name="Preissteigerung" localSheetId="0">'[1]Finanzielle Parameter'!$C$3:$C$7</definedName>
    <definedName name="Preissteigerung" localSheetId="22">'[1]Finanzielle Parameter'!$C$3:$C$7</definedName>
    <definedName name="Preissteigerung">'Finanzielle Parameter'!$C$3:$C$12</definedName>
    <definedName name="Projektart" localSheetId="1">'[1]Hilfsblatt Energie'!$B$2:$B$5</definedName>
    <definedName name="Projektart" localSheetId="0">'[1]Hilfsblatt Energie'!$B$2:$B$5</definedName>
    <definedName name="Projektart" localSheetId="22">'[1]Hilfsblatt Energie'!$B$2:$B$5</definedName>
    <definedName name="Projektart">'Hilfsblatt Energie'!$B$2:$B$5</definedName>
    <definedName name="PTRANSP" localSheetId="1">[1]Gebäudedienste!$A$39:$C$43</definedName>
    <definedName name="PTRANSP" localSheetId="0">[1]Gebäudedienste!$A$39:$C$43</definedName>
    <definedName name="PTRANSP" localSheetId="22">[1]Gebäudedienste!$A$39:$C$43</definedName>
    <definedName name="PTRANSP">Gebäudedienste!$A$38:$C$42</definedName>
    <definedName name="PTRANSP_Liste" localSheetId="1">[1]Gebäudedienste!$A$39:$A$43</definedName>
    <definedName name="PTRANSP_Liste" localSheetId="0">[1]Gebäudedienste!$A$39:$A$43</definedName>
    <definedName name="PTRANSP_Liste" localSheetId="22">[1]Gebäudedienste!$A$39:$A$43</definedName>
    <definedName name="PTRANSP_Liste">Gebäudedienste!$A$38:$A$42</definedName>
    <definedName name="PV_Steildach" localSheetId="0">'Ökodaten Konstruktionen'!#REF!</definedName>
    <definedName name="PV_Steildach">'Ökodaten Konstruktionen'!#REF!</definedName>
    <definedName name="Reinigung" localSheetId="1">[1]Reinigung!$C$2:$I$204</definedName>
    <definedName name="Reinigung" localSheetId="0">[1]Reinigung!$C$2:$I$204</definedName>
    <definedName name="Reinigung" localSheetId="22">[1]Reinigung!$C$2:$I$204</definedName>
    <definedName name="Reinigung">Reinigung!$C$2:$I$204</definedName>
    <definedName name="Schätzfaktoren" localSheetId="1">[1]Schätzfaktoren!$C$2:$I$204</definedName>
    <definedName name="Schätzfaktoren" localSheetId="0">[1]Schätzfaktoren!$C$2:$I$204</definedName>
    <definedName name="Schätzfaktoren" localSheetId="22">[1]Schätzfaktoren!$C$2:$I$204</definedName>
    <definedName name="Schätzfaktoren">Schätzfaktoren!$C$2:$I$204</definedName>
    <definedName name="Solar_Fassade">'Ökodaten Konstruktionen'!$A$162:$A$163</definedName>
    <definedName name="SPZ">[2]Faktoren!$G$15</definedName>
    <definedName name="Strom" localSheetId="1">'[1]Hilfsblatt Energie'!$B$8:$B$13</definedName>
    <definedName name="Strom" localSheetId="0">'[1]Hilfsblatt Energie'!$B$8:$B$13</definedName>
    <definedName name="Strom" localSheetId="22">'[1]Hilfsblatt Energie'!$B$8:$B$13</definedName>
    <definedName name="Strom">'Hilfsblatt Energie'!$B$8:$B$13</definedName>
    <definedName name="Stundensatz_Liste" localSheetId="1">[1]Dienstleistungen!$C$8:$C$14</definedName>
    <definedName name="Stundensatz_Liste" localSheetId="0">[1]Dienstleistungen!$C$8:$C$14</definedName>
    <definedName name="Stundensatz_Liste" localSheetId="22">[1]Dienstleistungen!$C$8:$C$14</definedName>
    <definedName name="Stundensatz_Liste">Dienstleistungen!$C$8:$C$14</definedName>
    <definedName name="Umsatzsteuersaetze" localSheetId="1">'[1]Finanzielle Parameter'!$C$50:$I$71</definedName>
    <definedName name="Umsatzsteuersaetze" localSheetId="0">'[1]Finanzielle Parameter'!$C$50:$I$71</definedName>
    <definedName name="Umsatzsteuersaetze" localSheetId="22">'[1]Finanzielle Parameter'!$C$50:$I$71</definedName>
    <definedName name="Umsatzsteuersaetze">'Finanzielle Parameter'!$C$55:$I$77</definedName>
    <definedName name="Ver_Entsorgung" localSheetId="1">'[1]Ver- &amp; Entsorgung'!$C$3:$I$274</definedName>
    <definedName name="Ver_Entsorgung" localSheetId="0">'[1]Ver- &amp; Entsorgung'!$C$3:$I$274</definedName>
    <definedName name="Ver_Entsorgung" localSheetId="22">'[1]Ver- &amp; Entsorgung'!$C$3:$I$274</definedName>
    <definedName name="Ver_Entsorgung">'Ver- &amp; Entsorgung'!$C$3:$I$274</definedName>
    <definedName name="Verwaltung_Technik" localSheetId="1">'[1]Verwaltung &amp; Technik'!$C$2:$H$200</definedName>
    <definedName name="Verwaltung_Technik" localSheetId="0">'[1]Verwaltung &amp; Technik'!$C$2:$H$200</definedName>
    <definedName name="Verwaltung_Technik" localSheetId="22">'[1]Verwaltung &amp; Technik'!$C$2:$H$200</definedName>
    <definedName name="Verwaltung_Technik">'Verwaltung &amp; Technik'!$C$2:$H$200</definedName>
    <definedName name="Waermeerzeugung">'Ökodaten Konstruktionen'!$A$159:$A$159</definedName>
    <definedName name="Warmwasser" localSheetId="1">'[1]Hilfsblatt Energie'!$B$32:$B$37</definedName>
    <definedName name="Warmwasser" localSheetId="0">'[1]Hilfsblatt Energie'!$B$32:$B$37</definedName>
    <definedName name="Warmwasser" localSheetId="22">'[1]Hilfsblatt Energie'!$B$32:$B$37</definedName>
    <definedName name="Warmwasser">'Hilfsblatt Energie'!$B$33:$B$38</definedName>
    <definedName name="Zirkulation" localSheetId="1">'[1]Hilfsblatt Energie'!$B$32:$D$32</definedName>
    <definedName name="Zirkulation" localSheetId="0">'[1]Hilfsblatt Energie'!$B$32:$D$32</definedName>
    <definedName name="Zirkulation" localSheetId="22">'[1]Hilfsblatt Energie'!$B$32:$D$32</definedName>
    <definedName name="Zirkulation">'Hilfsblatt Energie'!$H$2:$H$4</definedName>
  </definedNames>
  <calcPr calcId="125725"/>
</workbook>
</file>

<file path=xl/calcChain.xml><?xml version="1.0" encoding="utf-8"?>
<calcChain xmlns="http://schemas.openxmlformats.org/spreadsheetml/2006/main">
  <c r="R8" i="22"/>
  <c r="Q8"/>
  <c r="P8"/>
  <c r="O8"/>
  <c r="N8"/>
  <c r="M8"/>
  <c r="J8"/>
  <c r="F8"/>
  <c r="G186" i="9"/>
  <c r="G182"/>
  <c r="G181"/>
  <c r="G177"/>
  <c r="G176"/>
  <c r="G173"/>
  <c r="G169"/>
  <c r="G164"/>
  <c r="G155"/>
  <c r="G154"/>
  <c r="G148"/>
  <c r="G111"/>
  <c r="G110"/>
  <c r="G109"/>
  <c r="G79"/>
  <c r="G40" i="8" l="1"/>
  <c r="H34" i="25"/>
  <c r="H32"/>
  <c r="F34"/>
  <c r="F32"/>
  <c r="G59" i="4"/>
  <c r="E19" i="18"/>
  <c r="E20"/>
  <c r="D20"/>
  <c r="D19"/>
  <c r="E42"/>
  <c r="G173" i="20"/>
  <c r="G174"/>
  <c r="J180" i="2"/>
  <c r="H184" i="9"/>
  <c r="J179" i="2"/>
  <c r="F180"/>
  <c r="L92" i="27"/>
  <c r="F179" i="2"/>
  <c r="O173" i="20"/>
  <c r="K174"/>
  <c r="AI220" i="28" s="1"/>
  <c r="O174" i="20"/>
  <c r="AM220" i="28" s="1"/>
  <c r="R174" i="20"/>
  <c r="G91" i="27"/>
  <c r="G92"/>
  <c r="I92"/>
  <c r="K92"/>
  <c r="I174" i="20"/>
  <c r="AG220" i="28" s="1"/>
  <c r="M174" i="20"/>
  <c r="AK220" i="28" s="1"/>
  <c r="R173" i="20"/>
  <c r="H92" i="27"/>
  <c r="J92"/>
  <c r="F156" i="2"/>
  <c r="J156"/>
  <c r="O150" i="20"/>
  <c r="AM195" i="28" s="1"/>
  <c r="M24" i="13"/>
  <c r="M3"/>
  <c r="K3"/>
  <c r="G13" i="16"/>
  <c r="M2" i="13"/>
  <c r="K2"/>
  <c r="I20" i="14"/>
  <c r="I10"/>
  <c r="I5"/>
  <c r="L15" i="34"/>
  <c r="K114" i="11"/>
  <c r="K163"/>
  <c r="N138" i="2"/>
  <c r="N27"/>
  <c r="N23"/>
  <c r="G11" i="4"/>
  <c r="G10"/>
  <c r="G9"/>
  <c r="G8"/>
  <c r="G12" i="6"/>
  <c r="H13"/>
  <c r="G13" s="1"/>
  <c r="G7" i="4"/>
  <c r="G17" i="8"/>
  <c r="O3" i="13"/>
  <c r="I3"/>
  <c r="M57" i="11"/>
  <c r="M63"/>
  <c r="M60"/>
  <c r="G30" i="8"/>
  <c r="G29"/>
  <c r="G28"/>
  <c r="G27"/>
  <c r="L16" i="34"/>
  <c r="K16"/>
  <c r="K15"/>
  <c r="K14"/>
  <c r="K13"/>
  <c r="K9"/>
  <c r="L17" s="1"/>
  <c r="K17"/>
  <c r="K8"/>
  <c r="K7"/>
  <c r="K6"/>
  <c r="K5"/>
  <c r="F9" s="1"/>
  <c r="B41" i="29" s="1"/>
  <c r="H9" i="34"/>
  <c r="J64" i="19"/>
  <c r="E46" i="18"/>
  <c r="E45"/>
  <c r="AA242" i="28"/>
  <c r="K33" i="19"/>
  <c r="J33" s="1"/>
  <c r="H45" i="1"/>
  <c r="H44"/>
  <c r="G44" s="1"/>
  <c r="H43"/>
  <c r="G43" s="1"/>
  <c r="H42"/>
  <c r="G42" s="1"/>
  <c r="H41"/>
  <c r="H40"/>
  <c r="H35"/>
  <c r="G35" s="1"/>
  <c r="H34"/>
  <c r="G34" s="1"/>
  <c r="H33"/>
  <c r="H32"/>
  <c r="H29"/>
  <c r="G29" s="1"/>
  <c r="H28"/>
  <c r="G28" s="1"/>
  <c r="G157" i="2" s="1"/>
  <c r="F157" s="1"/>
  <c r="H27" i="1"/>
  <c r="H26"/>
  <c r="G37" i="8"/>
  <c r="G43"/>
  <c r="G36"/>
  <c r="G42"/>
  <c r="G41"/>
  <c r="K171" i="11"/>
  <c r="K168"/>
  <c r="K165"/>
  <c r="AE2" i="28"/>
  <c r="AC2"/>
  <c r="AA2"/>
  <c r="Y2"/>
  <c r="O2" i="13"/>
  <c r="I2"/>
  <c r="G2"/>
  <c r="L52" i="18"/>
  <c r="G52"/>
  <c r="E52"/>
  <c r="G38"/>
  <c r="G31"/>
  <c r="D38"/>
  <c r="E38"/>
  <c r="E31"/>
  <c r="D31"/>
  <c r="K55" i="19"/>
  <c r="J55" s="1"/>
  <c r="E44" i="18"/>
  <c r="E43"/>
  <c r="L38"/>
  <c r="L31"/>
  <c r="G57" i="17"/>
  <c r="G3"/>
  <c r="O64" i="2" s="1"/>
  <c r="G109" i="17"/>
  <c r="H55" i="1"/>
  <c r="G55" s="1"/>
  <c r="G83" i="2" s="1"/>
  <c r="F83" s="1"/>
  <c r="H52" i="1"/>
  <c r="G52" s="1"/>
  <c r="G136" i="2" s="1"/>
  <c r="F136" s="1"/>
  <c r="G8" i="6"/>
  <c r="L42" i="18" s="1"/>
  <c r="G43" i="7"/>
  <c r="G42"/>
  <c r="G41"/>
  <c r="G40"/>
  <c r="G54" i="1"/>
  <c r="J30" i="2"/>
  <c r="J29"/>
  <c r="J28"/>
  <c r="N145"/>
  <c r="N106"/>
  <c r="G105" i="20"/>
  <c r="J181" i="2"/>
  <c r="H185" i="9"/>
  <c r="G185" s="1"/>
  <c r="M93" i="27" s="1"/>
  <c r="P93" s="1"/>
  <c r="J177" i="2"/>
  <c r="H180" i="9"/>
  <c r="G180" s="1"/>
  <c r="I217" i="28" s="1"/>
  <c r="J176" i="2"/>
  <c r="H179" i="9"/>
  <c r="G179" s="1"/>
  <c r="M88" i="27" s="1"/>
  <c r="J175" i="2"/>
  <c r="H178" i="9"/>
  <c r="G178" s="1"/>
  <c r="I215" i="28" s="1"/>
  <c r="J173" i="2"/>
  <c r="H175" i="9"/>
  <c r="G175" s="1"/>
  <c r="J172" i="2"/>
  <c r="H174" i="9"/>
  <c r="G174" s="1"/>
  <c r="J170" i="2"/>
  <c r="H172" i="9"/>
  <c r="G172" s="1"/>
  <c r="M82" i="27" s="1"/>
  <c r="J169" i="2"/>
  <c r="H171" i="9"/>
  <c r="G171" s="1"/>
  <c r="J168" i="2"/>
  <c r="H170" i="9"/>
  <c r="G170" s="1"/>
  <c r="I204" i="28" s="1"/>
  <c r="J164" i="2"/>
  <c r="H167" i="9"/>
  <c r="G167" s="1"/>
  <c r="J163" i="2"/>
  <c r="H166" i="9"/>
  <c r="G166" s="1"/>
  <c r="I199" i="28" s="1"/>
  <c r="J159" i="2"/>
  <c r="J155"/>
  <c r="J158"/>
  <c r="H163" i="9"/>
  <c r="J154" i="2"/>
  <c r="H161" i="9" s="1"/>
  <c r="G161" s="1"/>
  <c r="J149" i="2"/>
  <c r="J148"/>
  <c r="H159" i="9"/>
  <c r="G159" s="1"/>
  <c r="J145" i="2"/>
  <c r="H158" i="9"/>
  <c r="G158" s="1"/>
  <c r="J140" i="2"/>
  <c r="J139"/>
  <c r="H153" i="9" s="1"/>
  <c r="G153" s="1"/>
  <c r="N72" i="2"/>
  <c r="G70" i="20"/>
  <c r="J72" i="2"/>
  <c r="H107" i="9"/>
  <c r="G107" s="1"/>
  <c r="M51" i="27" s="1"/>
  <c r="J73" i="2"/>
  <c r="H108" i="9" s="1"/>
  <c r="G108" s="1"/>
  <c r="I141" i="28" s="1"/>
  <c r="J71" i="2"/>
  <c r="H106" i="9"/>
  <c r="G106" s="1"/>
  <c r="J70" i="2"/>
  <c r="H105" i="9"/>
  <c r="G105" s="1"/>
  <c r="M49" i="27" s="1"/>
  <c r="J68" i="2"/>
  <c r="H103" i="9"/>
  <c r="G103" s="1"/>
  <c r="J67" i="2"/>
  <c r="J66"/>
  <c r="H102" i="9" s="1"/>
  <c r="G102" s="1"/>
  <c r="M46" i="27" s="1"/>
  <c r="J64" i="2"/>
  <c r="H100" i="9" s="1"/>
  <c r="G100" s="1"/>
  <c r="J65" i="2"/>
  <c r="H101" i="9"/>
  <c r="G101" s="1"/>
  <c r="M45" i="27" s="1"/>
  <c r="O45" s="1"/>
  <c r="J59" i="2"/>
  <c r="J55"/>
  <c r="J58"/>
  <c r="J54"/>
  <c r="H92" i="9" s="1"/>
  <c r="G92" s="1"/>
  <c r="M35" i="27" s="1"/>
  <c r="Q35" s="1"/>
  <c r="J56" i="2"/>
  <c r="J57"/>
  <c r="J53"/>
  <c r="J52"/>
  <c r="J48"/>
  <c r="J44"/>
  <c r="J42"/>
  <c r="J46"/>
  <c r="J40"/>
  <c r="J31"/>
  <c r="J26"/>
  <c r="J24"/>
  <c r="J135"/>
  <c r="H152" i="9" s="1"/>
  <c r="G152" s="1"/>
  <c r="J134" i="2"/>
  <c r="H151" i="9" s="1"/>
  <c r="G151" s="1"/>
  <c r="K158" i="11" s="1"/>
  <c r="J84" i="2"/>
  <c r="J83"/>
  <c r="J105"/>
  <c r="J104"/>
  <c r="I240" i="28"/>
  <c r="I239"/>
  <c r="I238"/>
  <c r="I236"/>
  <c r="I234"/>
  <c r="I214"/>
  <c r="I203"/>
  <c r="I198"/>
  <c r="I193"/>
  <c r="I190"/>
  <c r="I189"/>
  <c r="I137"/>
  <c r="I144"/>
  <c r="K118" i="11"/>
  <c r="G171" i="20"/>
  <c r="G170"/>
  <c r="G169"/>
  <c r="G167"/>
  <c r="G166"/>
  <c r="G164"/>
  <c r="G163"/>
  <c r="G162"/>
  <c r="G158"/>
  <c r="G157"/>
  <c r="G142"/>
  <c r="I218" i="28"/>
  <c r="K172" i="11"/>
  <c r="G64" i="9"/>
  <c r="K103" i="11"/>
  <c r="N135" i="2"/>
  <c r="G134" i="20" s="1"/>
  <c r="G44" i="11"/>
  <c r="G44" i="28"/>
  <c r="G188" i="11"/>
  <c r="G236" i="28"/>
  <c r="G186" i="11"/>
  <c r="G234" i="28"/>
  <c r="G95" i="11"/>
  <c r="G89" i="28"/>
  <c r="G94" i="11"/>
  <c r="G88" i="28"/>
  <c r="G93" i="11"/>
  <c r="G87" i="28"/>
  <c r="G91" i="11"/>
  <c r="G85" i="28"/>
  <c r="G90" i="11"/>
  <c r="G84" i="28"/>
  <c r="G88" i="11"/>
  <c r="G82" i="28"/>
  <c r="G69" i="11"/>
  <c r="G63" i="28"/>
  <c r="G11" i="11"/>
  <c r="G11" i="28"/>
  <c r="N160" i="2"/>
  <c r="G154" i="20" s="1"/>
  <c r="N165" i="2"/>
  <c r="G159" i="20" s="1"/>
  <c r="N162" i="2"/>
  <c r="G156" i="20" s="1"/>
  <c r="N161" i="2"/>
  <c r="G155" i="20" s="1"/>
  <c r="N157" i="2"/>
  <c r="G151" i="20" s="1"/>
  <c r="N156" i="2"/>
  <c r="G150" i="20" s="1"/>
  <c r="N153" i="2"/>
  <c r="N142"/>
  <c r="G27" i="17"/>
  <c r="O105" i="2"/>
  <c r="N105" s="1"/>
  <c r="G104" i="20" s="1"/>
  <c r="G26" i="17"/>
  <c r="O104" i="2"/>
  <c r="N104" s="1"/>
  <c r="G139" i="20"/>
  <c r="G33" i="17"/>
  <c r="G34"/>
  <c r="G35"/>
  <c r="G36"/>
  <c r="G37"/>
  <c r="G21" i="1"/>
  <c r="G46" i="2" s="1"/>
  <c r="F46" s="1"/>
  <c r="G20" i="1"/>
  <c r="G19"/>
  <c r="D29" i="18"/>
  <c r="D28"/>
  <c r="D27"/>
  <c r="D26"/>
  <c r="D25"/>
  <c r="D24"/>
  <c r="D23"/>
  <c r="D21"/>
  <c r="D18"/>
  <c r="D17"/>
  <c r="D16"/>
  <c r="J6" i="19"/>
  <c r="G48" i="2"/>
  <c r="F48" s="1"/>
  <c r="G44"/>
  <c r="F44" s="1"/>
  <c r="H26" i="27" s="1"/>
  <c r="G40" i="2"/>
  <c r="L41" i="18"/>
  <c r="G20" i="16"/>
  <c r="G26"/>
  <c r="G27"/>
  <c r="J87" i="19"/>
  <c r="F158" i="2"/>
  <c r="F159" s="1"/>
  <c r="J39"/>
  <c r="H66" i="9"/>
  <c r="G66" s="1"/>
  <c r="I97" i="28" s="1"/>
  <c r="H31" i="25"/>
  <c r="F31"/>
  <c r="G19" i="16"/>
  <c r="G5"/>
  <c r="G22" s="1"/>
  <c r="K82" i="19" s="1"/>
  <c r="J82" s="1"/>
  <c r="G16" i="16"/>
  <c r="H98" i="6"/>
  <c r="G61" i="4"/>
  <c r="H104" i="6" s="1"/>
  <c r="G60" i="4"/>
  <c r="H97" i="6" s="1"/>
  <c r="G33" i="8"/>
  <c r="G34"/>
  <c r="G26"/>
  <c r="G25"/>
  <c r="H21"/>
  <c r="G21"/>
  <c r="H22" s="1"/>
  <c r="G22" s="1"/>
  <c r="G20"/>
  <c r="G35"/>
  <c r="K174" i="11"/>
  <c r="K170"/>
  <c r="K167"/>
  <c r="I201" i="28"/>
  <c r="I197"/>
  <c r="H162" i="9"/>
  <c r="K162" i="11"/>
  <c r="K155"/>
  <c r="K116"/>
  <c r="I142" i="28"/>
  <c r="I181"/>
  <c r="I188"/>
  <c r="I208"/>
  <c r="I213"/>
  <c r="I222"/>
  <c r="G145" i="9"/>
  <c r="G146"/>
  <c r="I179" i="28" s="1"/>
  <c r="G123" i="9"/>
  <c r="G122"/>
  <c r="I155" i="28" s="1"/>
  <c r="G63" i="9"/>
  <c r="K100" i="11"/>
  <c r="G62" i="9"/>
  <c r="K99" i="11"/>
  <c r="I156" i="28"/>
  <c r="K130" i="11"/>
  <c r="K153"/>
  <c r="I178" i="28"/>
  <c r="K152" i="11"/>
  <c r="I93" i="28"/>
  <c r="I94"/>
  <c r="A35" i="18"/>
  <c r="G45" i="2"/>
  <c r="F45" s="1"/>
  <c r="H27" i="27" s="1"/>
  <c r="G43" i="2"/>
  <c r="F43" s="1"/>
  <c r="G39"/>
  <c r="G6" i="11"/>
  <c r="G6" i="28"/>
  <c r="G7" i="11"/>
  <c r="G7" i="28"/>
  <c r="G8" i="11"/>
  <c r="G8" i="28"/>
  <c r="F146" i="2"/>
  <c r="F20"/>
  <c r="G57" i="1"/>
  <c r="G197" i="9"/>
  <c r="K185" i="11" s="1"/>
  <c r="G196" i="9"/>
  <c r="K184" i="11" s="1"/>
  <c r="G195" i="9"/>
  <c r="K183" i="11" s="1"/>
  <c r="G194" i="9"/>
  <c r="K182" i="11" s="1"/>
  <c r="G193" i="9"/>
  <c r="K181" i="11" s="1"/>
  <c r="G191" i="9"/>
  <c r="K179" i="11" s="1"/>
  <c r="G190" i="9"/>
  <c r="K178" i="11" s="1"/>
  <c r="G189" i="9"/>
  <c r="K177" i="11" s="1"/>
  <c r="G188" i="9"/>
  <c r="K176" i="11" s="1"/>
  <c r="G135" i="20"/>
  <c r="I224" i="28"/>
  <c r="I226"/>
  <c r="I229"/>
  <c r="I231"/>
  <c r="I233"/>
  <c r="F154" i="2"/>
  <c r="F155" s="1"/>
  <c r="F139"/>
  <c r="F140"/>
  <c r="F67"/>
  <c r="K173" i="11"/>
  <c r="F163" i="2"/>
  <c r="F164"/>
  <c r="I216" i="28"/>
  <c r="Q93" i="27"/>
  <c r="J59" i="19"/>
  <c r="J60"/>
  <c r="J94"/>
  <c r="B74" i="18"/>
  <c r="B70"/>
  <c r="B69"/>
  <c r="B68"/>
  <c r="E50"/>
  <c r="E49"/>
  <c r="E41"/>
  <c r="F57" i="2"/>
  <c r="F53"/>
  <c r="H93" i="9"/>
  <c r="H91"/>
  <c r="G91" s="1"/>
  <c r="I123" i="28" s="1"/>
  <c r="H95" i="9"/>
  <c r="H96"/>
  <c r="J17" i="19"/>
  <c r="A22" i="18"/>
  <c r="E29"/>
  <c r="E28"/>
  <c r="E27"/>
  <c r="E26"/>
  <c r="E25"/>
  <c r="E24"/>
  <c r="E23"/>
  <c r="E21"/>
  <c r="E18"/>
  <c r="E17"/>
  <c r="E16"/>
  <c r="F14"/>
  <c r="K75" i="19"/>
  <c r="J75" s="1"/>
  <c r="K76" s="1"/>
  <c r="J76" s="1"/>
  <c r="K4"/>
  <c r="J4" s="1"/>
  <c r="K5" s="1"/>
  <c r="J5" s="1"/>
  <c r="J7" s="1"/>
  <c r="K19"/>
  <c r="J19" s="1"/>
  <c r="K31"/>
  <c r="J31" s="1"/>
  <c r="K41"/>
  <c r="J41" s="1"/>
  <c r="K53"/>
  <c r="J53" s="1"/>
  <c r="F173" i="2"/>
  <c r="L85" i="27"/>
  <c r="K85"/>
  <c r="J85"/>
  <c r="I85"/>
  <c r="H85"/>
  <c r="G85"/>
  <c r="R167" i="20"/>
  <c r="O167"/>
  <c r="M167"/>
  <c r="AK211" i="28" s="1"/>
  <c r="K167" i="20"/>
  <c r="AI211" i="28" s="1"/>
  <c r="I167" i="20"/>
  <c r="AG211" i="28" s="1"/>
  <c r="G130" i="9"/>
  <c r="G131"/>
  <c r="I164" i="28" s="1"/>
  <c r="G132" i="9"/>
  <c r="G133"/>
  <c r="I166" i="28" s="1"/>
  <c r="G135" i="9"/>
  <c r="G144"/>
  <c r="I177" i="28" s="1"/>
  <c r="G143" i="9"/>
  <c r="G142"/>
  <c r="I175" i="28" s="1"/>
  <c r="G141" i="9"/>
  <c r="G140"/>
  <c r="I173" i="28" s="1"/>
  <c r="G139" i="9"/>
  <c r="G138"/>
  <c r="I171" i="28" s="1"/>
  <c r="G137" i="9"/>
  <c r="G134"/>
  <c r="I167" i="28" s="1"/>
  <c r="G128" i="9"/>
  <c r="G127"/>
  <c r="I160" i="28" s="1"/>
  <c r="G126" i="9"/>
  <c r="G125"/>
  <c r="I158" i="28" s="1"/>
  <c r="G124" i="9"/>
  <c r="G119"/>
  <c r="I152" i="28" s="1"/>
  <c r="G118" i="9"/>
  <c r="G117"/>
  <c r="I150" i="28" s="1"/>
  <c r="G116" i="9"/>
  <c r="G114"/>
  <c r="I147" i="28" s="1"/>
  <c r="G113" i="9"/>
  <c r="H77"/>
  <c r="G77" s="1"/>
  <c r="I108" i="28" s="1"/>
  <c r="H76" i="9"/>
  <c r="G76" s="1"/>
  <c r="H75"/>
  <c r="G75" s="1"/>
  <c r="M17" i="27" s="1"/>
  <c r="I146" i="28"/>
  <c r="K120" i="11"/>
  <c r="I151" i="28"/>
  <c r="K125" i="11"/>
  <c r="I159" i="28"/>
  <c r="K133" i="11"/>
  <c r="I170" i="28"/>
  <c r="K144" i="11"/>
  <c r="I174" i="28"/>
  <c r="K148" i="11"/>
  <c r="I168" i="28"/>
  <c r="K142" i="11"/>
  <c r="I163" i="28"/>
  <c r="K137" i="11"/>
  <c r="K121"/>
  <c r="K134"/>
  <c r="K149"/>
  <c r="I149" i="28"/>
  <c r="K123" i="11"/>
  <c r="I157" i="28"/>
  <c r="K131" i="11"/>
  <c r="I161" i="28"/>
  <c r="K135" i="11"/>
  <c r="I172" i="28"/>
  <c r="K146" i="11"/>
  <c r="I176" i="28"/>
  <c r="K150" i="11"/>
  <c r="I165" i="28"/>
  <c r="K139" i="11"/>
  <c r="K124"/>
  <c r="K141"/>
  <c r="K151"/>
  <c r="H97" i="9"/>
  <c r="G6" i="10"/>
  <c r="G5"/>
  <c r="G4"/>
  <c r="G3"/>
  <c r="G31"/>
  <c r="G14"/>
  <c r="H40" s="1"/>
  <c r="G40" s="1"/>
  <c r="G19"/>
  <c r="G20"/>
  <c r="G21"/>
  <c r="G22"/>
  <c r="G23"/>
  <c r="G24"/>
  <c r="G18"/>
  <c r="G17"/>
  <c r="G16"/>
  <c r="G19" i="20"/>
  <c r="F25" i="2"/>
  <c r="F29"/>
  <c r="G23" i="20"/>
  <c r="F181" i="2"/>
  <c r="F175"/>
  <c r="L87" i="27"/>
  <c r="K87"/>
  <c r="J87"/>
  <c r="I87"/>
  <c r="H87"/>
  <c r="G87"/>
  <c r="R169" i="20"/>
  <c r="O169"/>
  <c r="AM215" i="28" s="1"/>
  <c r="M169" i="20"/>
  <c r="AK215" i="28" s="1"/>
  <c r="K169" i="20"/>
  <c r="AI215" i="28" s="1"/>
  <c r="I169" i="20"/>
  <c r="AG215" i="28" s="1"/>
  <c r="K93" i="27"/>
  <c r="I93"/>
  <c r="G93"/>
  <c r="O175" i="20"/>
  <c r="AM221" i="28" s="1"/>
  <c r="M175" i="20"/>
  <c r="AK221" i="28" s="1"/>
  <c r="K175" i="20"/>
  <c r="AI221" i="28" s="1"/>
  <c r="I175" i="20"/>
  <c r="AG221" i="28" s="1"/>
  <c r="F149" i="2"/>
  <c r="N70"/>
  <c r="N69" s="1"/>
  <c r="N71"/>
  <c r="G69" i="20"/>
  <c r="N68" i="2"/>
  <c r="G66" i="20"/>
  <c r="N66" i="2"/>
  <c r="G65" i="20"/>
  <c r="F68" i="2"/>
  <c r="G68" i="20"/>
  <c r="L47" i="27"/>
  <c r="K47"/>
  <c r="J47"/>
  <c r="I47"/>
  <c r="H47"/>
  <c r="G47"/>
  <c r="R66" i="20"/>
  <c r="O66"/>
  <c r="AM136" i="28" s="1"/>
  <c r="M66" i="20"/>
  <c r="AK136" i="28" s="1"/>
  <c r="K66" i="20"/>
  <c r="AI136" i="28" s="1"/>
  <c r="I66" i="20"/>
  <c r="AG136" i="28" s="1"/>
  <c r="H94" i="9"/>
  <c r="G94" s="1"/>
  <c r="I127" i="28" s="1"/>
  <c r="H90" i="9"/>
  <c r="G90" s="1"/>
  <c r="K106" i="11" s="1"/>
  <c r="I139" i="28"/>
  <c r="G67" i="20"/>
  <c r="G4" i="4"/>
  <c r="G5"/>
  <c r="M66" i="11" s="1"/>
  <c r="G6" i="4"/>
  <c r="G12"/>
  <c r="M82" i="11" s="1"/>
  <c r="G13" i="4"/>
  <c r="G3"/>
  <c r="N113" i="11" s="1"/>
  <c r="N63"/>
  <c r="N60"/>
  <c r="N57"/>
  <c r="M62"/>
  <c r="M59"/>
  <c r="M56"/>
  <c r="N59"/>
  <c r="N62"/>
  <c r="N56"/>
  <c r="N82"/>
  <c r="M64"/>
  <c r="N51"/>
  <c r="M51"/>
  <c r="N50"/>
  <c r="M52"/>
  <c r="N49"/>
  <c r="N48"/>
  <c r="N64"/>
  <c r="M48"/>
  <c r="N52"/>
  <c r="M49"/>
  <c r="M50"/>
  <c r="I121" i="28"/>
  <c r="I126"/>
  <c r="M50" i="27"/>
  <c r="N66" i="11"/>
  <c r="I136" i="28"/>
  <c r="G111" i="17"/>
  <c r="G110"/>
  <c r="G23" i="1"/>
  <c r="G31" i="2"/>
  <c r="F31" s="1"/>
  <c r="G15" i="1"/>
  <c r="G16"/>
  <c r="G70" i="2"/>
  <c r="F70" s="1"/>
  <c r="G49" i="27" s="1"/>
  <c r="G17" i="1"/>
  <c r="F51" i="2"/>
  <c r="G52" s="1"/>
  <c r="F52" s="1"/>
  <c r="O51" i="20" s="1"/>
  <c r="AM123" i="28" s="1"/>
  <c r="G22" i="1"/>
  <c r="O16" i="20"/>
  <c r="M16"/>
  <c r="K16"/>
  <c r="I16"/>
  <c r="J49" i="27"/>
  <c r="K15"/>
  <c r="F177" i="2"/>
  <c r="F176"/>
  <c r="G133"/>
  <c r="F133" s="1"/>
  <c r="G23"/>
  <c r="F23" s="1"/>
  <c r="L88" i="27"/>
  <c r="J88"/>
  <c r="H88"/>
  <c r="L89"/>
  <c r="K89"/>
  <c r="J89"/>
  <c r="I89"/>
  <c r="H89"/>
  <c r="G89"/>
  <c r="R170" i="20"/>
  <c r="M170"/>
  <c r="AK216" i="28" s="1"/>
  <c r="K170" i="20"/>
  <c r="I170"/>
  <c r="AG216" i="28" s="1"/>
  <c r="Y216" s="1"/>
  <c r="R171" i="20"/>
  <c r="O171"/>
  <c r="AM217" i="28" s="1"/>
  <c r="M171" i="20"/>
  <c r="AK217" i="28" s="1"/>
  <c r="K171" i="20"/>
  <c r="AI217" i="28" s="1"/>
  <c r="I171" i="20"/>
  <c r="AG217" i="28" s="1"/>
  <c r="G4" i="8"/>
  <c r="G10" i="5"/>
  <c r="G11"/>
  <c r="G13"/>
  <c r="G14"/>
  <c r="G15"/>
  <c r="G16"/>
  <c r="G17"/>
  <c r="G18"/>
  <c r="G19"/>
  <c r="G20"/>
  <c r="G22"/>
  <c r="G23"/>
  <c r="G24"/>
  <c r="G25"/>
  <c r="G26"/>
  <c r="G27"/>
  <c r="G28"/>
  <c r="G29"/>
  <c r="G30"/>
  <c r="G31"/>
  <c r="G32"/>
  <c r="G33"/>
  <c r="G34"/>
  <c r="G35"/>
  <c r="G36"/>
  <c r="G38"/>
  <c r="G39"/>
  <c r="G40"/>
  <c r="G41"/>
  <c r="G42"/>
  <c r="G43"/>
  <c r="G44"/>
  <c r="G45"/>
  <c r="G46"/>
  <c r="G47"/>
  <c r="G49"/>
  <c r="G50"/>
  <c r="G52"/>
  <c r="G53"/>
  <c r="G55"/>
  <c r="G56"/>
  <c r="G58"/>
  <c r="G59"/>
  <c r="G61"/>
  <c r="G62"/>
  <c r="G64"/>
  <c r="G65"/>
  <c r="H38" i="11" s="1"/>
  <c r="G38" s="1"/>
  <c r="G67" i="5"/>
  <c r="G68"/>
  <c r="G70"/>
  <c r="G71"/>
  <c r="G73"/>
  <c r="G74"/>
  <c r="G76"/>
  <c r="G77"/>
  <c r="G79"/>
  <c r="G80"/>
  <c r="G5" i="9"/>
  <c r="G3"/>
  <c r="H84"/>
  <c r="G84" s="1"/>
  <c r="M26" i="27" s="1"/>
  <c r="O26" s="1"/>
  <c r="H86" i="9"/>
  <c r="G86" s="1"/>
  <c r="M28" i="27" s="1"/>
  <c r="N28" s="1"/>
  <c r="H87" i="9"/>
  <c r="G87" s="1"/>
  <c r="F47" i="2"/>
  <c r="F41"/>
  <c r="H23" i="27" s="1"/>
  <c r="H82" i="9"/>
  <c r="G82" s="1"/>
  <c r="I113" i="28" s="1"/>
  <c r="H81" i="9"/>
  <c r="G81" s="1"/>
  <c r="I112" i="28" s="1"/>
  <c r="N39" i="2"/>
  <c r="G35" i="20"/>
  <c r="N43" i="2"/>
  <c r="G39" i="20"/>
  <c r="N45" i="2"/>
  <c r="G42" i="20"/>
  <c r="F40" i="2"/>
  <c r="F39"/>
  <c r="F34"/>
  <c r="F35"/>
  <c r="F36"/>
  <c r="H70" i="9"/>
  <c r="G70" s="1"/>
  <c r="H71"/>
  <c r="G71" s="1"/>
  <c r="H72"/>
  <c r="G72" s="1"/>
  <c r="F73" i="2"/>
  <c r="F65"/>
  <c r="F14"/>
  <c r="O11" i="20" s="1"/>
  <c r="O7" s="1"/>
  <c r="O4" i="13" s="1"/>
  <c r="F13" i="2"/>
  <c r="N7"/>
  <c r="G6" i="20" s="1"/>
  <c r="F162" i="2"/>
  <c r="K45" i="27"/>
  <c r="I45"/>
  <c r="G45"/>
  <c r="O64" i="20"/>
  <c r="AM134" i="28" s="1"/>
  <c r="M64" i="20"/>
  <c r="AK134" i="28" s="1"/>
  <c r="L52" i="27"/>
  <c r="K52"/>
  <c r="J52"/>
  <c r="I52"/>
  <c r="H52"/>
  <c r="G52"/>
  <c r="R71" i="20"/>
  <c r="O71"/>
  <c r="AM141" i="28" s="1"/>
  <c r="M71" i="20"/>
  <c r="AK141" i="28" s="1"/>
  <c r="K71" i="20"/>
  <c r="AI141" i="28" s="1"/>
  <c r="I71" i="20"/>
  <c r="AG141" i="28" s="1"/>
  <c r="K18" i="27"/>
  <c r="I18"/>
  <c r="G18"/>
  <c r="O31" i="20"/>
  <c r="M31"/>
  <c r="AK107" i="28" s="1"/>
  <c r="K31" i="20"/>
  <c r="AI107" i="28" s="1"/>
  <c r="I31" i="20"/>
  <c r="AG107" i="28" s="1"/>
  <c r="L17" i="27"/>
  <c r="K17"/>
  <c r="J17"/>
  <c r="I17"/>
  <c r="H17"/>
  <c r="G17"/>
  <c r="R30" i="20"/>
  <c r="O30"/>
  <c r="AM106" i="28" s="1"/>
  <c r="M30" i="20"/>
  <c r="K30"/>
  <c r="I30"/>
  <c r="L19" i="27"/>
  <c r="K19"/>
  <c r="J19"/>
  <c r="I19"/>
  <c r="H19"/>
  <c r="G19"/>
  <c r="R32" i="20"/>
  <c r="O32"/>
  <c r="AM108" i="28" s="1"/>
  <c r="M32" i="20"/>
  <c r="AK108" i="28" s="1"/>
  <c r="K32" i="20"/>
  <c r="AI108" i="28" s="1"/>
  <c r="AA108" s="1"/>
  <c r="I32" i="20"/>
  <c r="AG108" i="28" s="1"/>
  <c r="F66" i="2"/>
  <c r="J50"/>
  <c r="H88" i="9"/>
  <c r="G88" s="1"/>
  <c r="M30" i="27" s="1"/>
  <c r="Q30" s="1"/>
  <c r="G76"/>
  <c r="G77"/>
  <c r="L77"/>
  <c r="K77"/>
  <c r="J77"/>
  <c r="I77"/>
  <c r="H77"/>
  <c r="L76"/>
  <c r="K76"/>
  <c r="J76"/>
  <c r="I76"/>
  <c r="H76"/>
  <c r="R158" i="20"/>
  <c r="O158"/>
  <c r="AM200" i="28" s="1"/>
  <c r="M158" i="20"/>
  <c r="AK200" i="28" s="1"/>
  <c r="K158" i="20"/>
  <c r="AI200" i="28" s="1"/>
  <c r="I158" i="20"/>
  <c r="AG200" i="28" s="1"/>
  <c r="R157" i="20"/>
  <c r="O157"/>
  <c r="AM199" i="28" s="1"/>
  <c r="M157" i="20"/>
  <c r="AK199" i="28" s="1"/>
  <c r="K157" i="20"/>
  <c r="AI199" i="28" s="1"/>
  <c r="I157" i="20"/>
  <c r="AG199" i="28" s="1"/>
  <c r="Y199" s="1"/>
  <c r="L46" i="27"/>
  <c r="K46"/>
  <c r="J46"/>
  <c r="I46"/>
  <c r="H46"/>
  <c r="G46"/>
  <c r="R65" i="20"/>
  <c r="O65"/>
  <c r="AM135" i="28" s="1"/>
  <c r="M65" i="20"/>
  <c r="AK135" i="28" s="1"/>
  <c r="K65" i="20"/>
  <c r="AI135" i="28" s="1"/>
  <c r="I65" i="20"/>
  <c r="AG135" i="28" s="1"/>
  <c r="I115"/>
  <c r="I117"/>
  <c r="K104" i="11"/>
  <c r="J25" i="2"/>
  <c r="H67" i="9" s="1"/>
  <c r="G67" s="1"/>
  <c r="I119" i="28"/>
  <c r="M24" i="27"/>
  <c r="N24" s="1"/>
  <c r="H80" i="9"/>
  <c r="G80" s="1"/>
  <c r="I111" i="28" s="1"/>
  <c r="J43" i="2"/>
  <c r="H83" i="9" s="1"/>
  <c r="G83" s="1"/>
  <c r="M25" i="27" s="1"/>
  <c r="N25" s="1"/>
  <c r="J45" i="2"/>
  <c r="H68" i="9"/>
  <c r="G68" s="1"/>
  <c r="I99" i="28" s="1"/>
  <c r="H85" i="9"/>
  <c r="G85" s="1"/>
  <c r="I116" i="28" s="1"/>
  <c r="H73" i="9"/>
  <c r="G73" s="1"/>
  <c r="I104" i="28" s="1"/>
  <c r="O1" i="27"/>
  <c r="O2" s="1"/>
  <c r="K186" i="11"/>
  <c r="K192"/>
  <c r="K190"/>
  <c r="K191"/>
  <c r="K188"/>
  <c r="M2" i="28"/>
  <c r="K32" i="19"/>
  <c r="J32" s="1"/>
  <c r="K58"/>
  <c r="J58" s="1"/>
  <c r="R88" i="27"/>
  <c r="AE108" i="28"/>
  <c r="J39" i="19"/>
  <c r="H59"/>
  <c r="G59" s="1"/>
  <c r="G58"/>
  <c r="G60" s="1"/>
  <c r="G59" i="17"/>
  <c r="G60"/>
  <c r="G61"/>
  <c r="G62"/>
  <c r="G63"/>
  <c r="G64"/>
  <c r="G65"/>
  <c r="G66"/>
  <c r="G67"/>
  <c r="G68"/>
  <c r="G69"/>
  <c r="G70"/>
  <c r="G71"/>
  <c r="G58"/>
  <c r="O19" i="2"/>
  <c r="N19" s="1"/>
  <c r="G16" i="20" s="1"/>
  <c r="O32" i="2"/>
  <c r="N32" s="1"/>
  <c r="G7" i="17"/>
  <c r="G8"/>
  <c r="G9"/>
  <c r="O171" i="2"/>
  <c r="N171" s="1"/>
  <c r="G165" i="20" s="1"/>
  <c r="G11" i="17"/>
  <c r="G12"/>
  <c r="G13"/>
  <c r="G15"/>
  <c r="G16"/>
  <c r="G18"/>
  <c r="G19"/>
  <c r="G3" i="7"/>
  <c r="G4"/>
  <c r="G8"/>
  <c r="G9"/>
  <c r="G11"/>
  <c r="G12"/>
  <c r="G16"/>
  <c r="G17"/>
  <c r="G19"/>
  <c r="G20"/>
  <c r="G24"/>
  <c r="G25"/>
  <c r="G27"/>
  <c r="G28"/>
  <c r="G33"/>
  <c r="G37"/>
  <c r="G48"/>
  <c r="G53"/>
  <c r="G60"/>
  <c r="G61"/>
  <c r="G97" i="6"/>
  <c r="G101"/>
  <c r="H102"/>
  <c r="G102" s="1"/>
  <c r="G104"/>
  <c r="G98"/>
  <c r="H99" s="1"/>
  <c r="G99" s="1"/>
  <c r="H100" s="1"/>
  <c r="G100" s="1"/>
  <c r="O73" i="2"/>
  <c r="O147"/>
  <c r="N147" s="1"/>
  <c r="O134"/>
  <c r="N134" s="1"/>
  <c r="O52"/>
  <c r="N52" s="1"/>
  <c r="N73"/>
  <c r="G71" i="20" s="1"/>
  <c r="N65" i="2"/>
  <c r="G64" i="20"/>
  <c r="N22" i="2"/>
  <c r="G18" i="20"/>
  <c r="N31" i="2"/>
  <c r="G27" i="20"/>
  <c r="N50" i="2"/>
  <c r="G47" i="20"/>
  <c r="N56" i="2"/>
  <c r="G54" i="20"/>
  <c r="N60" i="2"/>
  <c r="G59" i="20"/>
  <c r="N61" i="2"/>
  <c r="G60" i="20"/>
  <c r="N64" i="2"/>
  <c r="N74"/>
  <c r="G72" i="20"/>
  <c r="N75" i="2"/>
  <c r="G73" i="20"/>
  <c r="N76" i="2"/>
  <c r="G74" i="20"/>
  <c r="N79" i="2"/>
  <c r="G78" i="20"/>
  <c r="N80" i="2"/>
  <c r="G79" i="20"/>
  <c r="N82" i="2"/>
  <c r="G81" i="20"/>
  <c r="N85" i="2"/>
  <c r="G84" i="20"/>
  <c r="N86" i="2"/>
  <c r="G85" i="20"/>
  <c r="N89" i="2"/>
  <c r="G88" i="20"/>
  <c r="N90" i="2"/>
  <c r="G89" i="20"/>
  <c r="N91" i="2"/>
  <c r="G90" i="20"/>
  <c r="N92" i="2"/>
  <c r="G91" i="20"/>
  <c r="N93" i="2"/>
  <c r="G92" i="20"/>
  <c r="N96" i="2"/>
  <c r="G95" i="20"/>
  <c r="N97" i="2"/>
  <c r="G96" i="20"/>
  <c r="N98" i="2"/>
  <c r="G97" i="20"/>
  <c r="N99" i="2"/>
  <c r="G98" i="20"/>
  <c r="N102" i="2"/>
  <c r="N107"/>
  <c r="G106" i="20" s="1"/>
  <c r="N108" i="2"/>
  <c r="G107" i="20" s="1"/>
  <c r="N109" i="2"/>
  <c r="G108" i="20" s="1"/>
  <c r="N110" i="2"/>
  <c r="G109" i="20" s="1"/>
  <c r="N113" i="2"/>
  <c r="G112" i="20" s="1"/>
  <c r="N114" i="2"/>
  <c r="G113" i="20" s="1"/>
  <c r="N115" i="2"/>
  <c r="G114" i="20" s="1"/>
  <c r="N116" i="2"/>
  <c r="G115" i="20" s="1"/>
  <c r="N117" i="2"/>
  <c r="G116" i="20" s="1"/>
  <c r="N118" i="2"/>
  <c r="G117" i="20" s="1"/>
  <c r="N119" i="2"/>
  <c r="G118" i="20" s="1"/>
  <c r="N122" i="2"/>
  <c r="G121" i="20" s="1"/>
  <c r="N125" i="2"/>
  <c r="G124" i="20" s="1"/>
  <c r="N126" i="2"/>
  <c r="G125" i="20" s="1"/>
  <c r="N127" i="2"/>
  <c r="G126" i="20" s="1"/>
  <c r="N131" i="2"/>
  <c r="G130" i="20" s="1"/>
  <c r="N141" i="2"/>
  <c r="G138" i="20" s="1"/>
  <c r="N178" i="2"/>
  <c r="G172" i="20" s="1"/>
  <c r="N181" i="2"/>
  <c r="G175" i="20" s="1"/>
  <c r="N182" i="2"/>
  <c r="G176" i="20" s="1"/>
  <c r="N184" i="2"/>
  <c r="G179" i="20" s="1"/>
  <c r="N185" i="2"/>
  <c r="G180" i="20" s="1"/>
  <c r="N186" i="2"/>
  <c r="G181" i="20" s="1"/>
  <c r="N189" i="2"/>
  <c r="G184" i="20" s="1"/>
  <c r="N190" i="2"/>
  <c r="G185" i="20"/>
  <c r="N191" i="2"/>
  <c r="G186" i="20"/>
  <c r="N192" i="2"/>
  <c r="G187" i="20"/>
  <c r="N195" i="2"/>
  <c r="G190" i="20"/>
  <c r="N198" i="2"/>
  <c r="G193" i="20"/>
  <c r="N201" i="2"/>
  <c r="G196" i="20"/>
  <c r="N202" i="2"/>
  <c r="G197" i="20"/>
  <c r="N18" i="2"/>
  <c r="G15" i="20"/>
  <c r="N16" i="2"/>
  <c r="G13" i="20"/>
  <c r="N15" i="2"/>
  <c r="G12" i="20"/>
  <c r="N12" i="2"/>
  <c r="G11" i="20"/>
  <c r="N11" i="2"/>
  <c r="G10" i="20"/>
  <c r="N10" i="2"/>
  <c r="G9" i="20"/>
  <c r="N9" i="2"/>
  <c r="G8" i="20"/>
  <c r="N6" i="2"/>
  <c r="G5" i="20"/>
  <c r="N5" i="2"/>
  <c r="G4" i="20"/>
  <c r="G101"/>
  <c r="H29" i="11"/>
  <c r="G29" s="1"/>
  <c r="H13"/>
  <c r="G13" s="1"/>
  <c r="H43"/>
  <c r="G43" s="1"/>
  <c r="H27"/>
  <c r="G27" s="1"/>
  <c r="H41"/>
  <c r="G41" s="1"/>
  <c r="H25"/>
  <c r="G25" s="1"/>
  <c r="H42"/>
  <c r="G42" s="1"/>
  <c r="H26"/>
  <c r="G26" s="1"/>
  <c r="H40"/>
  <c r="G40" s="1"/>
  <c r="G40" i="28" s="1"/>
  <c r="H24" i="11"/>
  <c r="G24" s="1"/>
  <c r="N8" i="2"/>
  <c r="G7" i="20" s="1"/>
  <c r="N124" i="2"/>
  <c r="G123" i="20" s="1"/>
  <c r="N4" i="2"/>
  <c r="G3" i="20" s="1"/>
  <c r="G3" i="13"/>
  <c r="G4"/>
  <c r="H36" i="11"/>
  <c r="G36" s="1"/>
  <c r="G61" i="1"/>
  <c r="K77" i="19"/>
  <c r="J77" s="1"/>
  <c r="G60" i="1"/>
  <c r="G27"/>
  <c r="G30"/>
  <c r="G138" i="2"/>
  <c r="F138" s="1"/>
  <c r="G31" i="1"/>
  <c r="G32"/>
  <c r="G33"/>
  <c r="G37"/>
  <c r="G38"/>
  <c r="G40"/>
  <c r="G41"/>
  <c r="G50" i="2" s="1"/>
  <c r="F50" s="1"/>
  <c r="G48" i="1"/>
  <c r="G26"/>
  <c r="G3"/>
  <c r="G4"/>
  <c r="G5"/>
  <c r="H7" i="10" s="1"/>
  <c r="G7" s="1"/>
  <c r="G6" i="1"/>
  <c r="G7"/>
  <c r="H39" s="1"/>
  <c r="G39" s="1"/>
  <c r="G8"/>
  <c r="G11"/>
  <c r="G12"/>
  <c r="F172" i="2"/>
  <c r="O123"/>
  <c r="N123" s="1"/>
  <c r="O129"/>
  <c r="N129" s="1"/>
  <c r="O111"/>
  <c r="N111" s="1"/>
  <c r="G110" i="20" s="1"/>
  <c r="O94" i="2"/>
  <c r="N94" s="1"/>
  <c r="O100"/>
  <c r="N100" s="1"/>
  <c r="H16" i="11" s="1"/>
  <c r="G16" s="1"/>
  <c r="O77" i="2"/>
  <c r="N77" s="1"/>
  <c r="G75" i="20" s="1"/>
  <c r="O87" i="2"/>
  <c r="N87" s="1"/>
  <c r="O120"/>
  <c r="N120" s="1"/>
  <c r="G153"/>
  <c r="F153" s="1"/>
  <c r="H49" i="1"/>
  <c r="G49" s="1"/>
  <c r="H36"/>
  <c r="G36" s="1"/>
  <c r="G167" i="2"/>
  <c r="F167" s="1"/>
  <c r="H9" i="1"/>
  <c r="G9" s="1"/>
  <c r="L84" i="27"/>
  <c r="K84"/>
  <c r="J84"/>
  <c r="I84"/>
  <c r="H84"/>
  <c r="G84"/>
  <c r="R166" i="20"/>
  <c r="O166"/>
  <c r="AM210" i="28" s="1"/>
  <c r="M166" i="20"/>
  <c r="K166"/>
  <c r="I166"/>
  <c r="L10" i="27"/>
  <c r="J10"/>
  <c r="H10"/>
  <c r="H9"/>
  <c r="G9"/>
  <c r="I8"/>
  <c r="R22" i="20"/>
  <c r="I22"/>
  <c r="AG99" i="28" s="1"/>
  <c r="O21" i="20"/>
  <c r="AM98" i="28" s="1"/>
  <c r="O20" i="20"/>
  <c r="AM97" i="28" s="1"/>
  <c r="I20" i="20"/>
  <c r="AG97" i="28" s="1"/>
  <c r="G27" i="2"/>
  <c r="F27" s="1"/>
  <c r="K14" i="27" s="1"/>
  <c r="O167" i="2"/>
  <c r="N167" s="1"/>
  <c r="G161" i="20" s="1"/>
  <c r="O49" i="2"/>
  <c r="N49" s="1"/>
  <c r="O174"/>
  <c r="N174" s="1"/>
  <c r="O24" i="20"/>
  <c r="AM101" i="28" s="1"/>
  <c r="G45" i="1"/>
  <c r="O2" i="11"/>
  <c r="BF2"/>
  <c r="DA2"/>
  <c r="DA29" s="1"/>
  <c r="DM2"/>
  <c r="DL2"/>
  <c r="DK2"/>
  <c r="DJ2"/>
  <c r="DJ29" s="1"/>
  <c r="DI2"/>
  <c r="DH2"/>
  <c r="DH29" s="1"/>
  <c r="DG2"/>
  <c r="DF2"/>
  <c r="DF41" s="1"/>
  <c r="DE2"/>
  <c r="DD2"/>
  <c r="DC2"/>
  <c r="DB2"/>
  <c r="DB29" s="1"/>
  <c r="CZ2"/>
  <c r="CY2"/>
  <c r="CX2"/>
  <c r="CW2"/>
  <c r="CW29" s="1"/>
  <c r="CV2"/>
  <c r="CU2"/>
  <c r="CT2"/>
  <c r="CS2"/>
  <c r="CR2"/>
  <c r="CQ2"/>
  <c r="CP2"/>
  <c r="CO2"/>
  <c r="CO93" s="1"/>
  <c r="CN2"/>
  <c r="CM2"/>
  <c r="CL2"/>
  <c r="CK2"/>
  <c r="CJ2"/>
  <c r="CI2"/>
  <c r="CH2"/>
  <c r="CG2"/>
  <c r="CG95" s="1"/>
  <c r="CF2"/>
  <c r="CE2"/>
  <c r="CD2"/>
  <c r="CC2"/>
  <c r="CB2"/>
  <c r="CA2"/>
  <c r="BZ2"/>
  <c r="BY2"/>
  <c r="BX2"/>
  <c r="BW2"/>
  <c r="BV2"/>
  <c r="BU2"/>
  <c r="BU11" s="1"/>
  <c r="BT2"/>
  <c r="BS2"/>
  <c r="BR2"/>
  <c r="BQ2"/>
  <c r="BQ91" s="1"/>
  <c r="BP2"/>
  <c r="BO2"/>
  <c r="BN2"/>
  <c r="BM2"/>
  <c r="BM29" s="1"/>
  <c r="BL2"/>
  <c r="BK2"/>
  <c r="BK16" s="1"/>
  <c r="BJ2"/>
  <c r="BI2"/>
  <c r="BI6" s="1"/>
  <c r="BH2"/>
  <c r="BG2"/>
  <c r="BE2"/>
  <c r="BD2"/>
  <c r="BC2"/>
  <c r="BB2"/>
  <c r="BA2"/>
  <c r="AZ2"/>
  <c r="AZ24" s="1"/>
  <c r="AY2"/>
  <c r="AX2"/>
  <c r="AW2"/>
  <c r="AV2"/>
  <c r="AV24" s="1"/>
  <c r="AU2"/>
  <c r="AT2"/>
  <c r="AS2"/>
  <c r="AR2"/>
  <c r="AQ2"/>
  <c r="AP2"/>
  <c r="AO2"/>
  <c r="AN2"/>
  <c r="AN95" s="1"/>
  <c r="AM2"/>
  <c r="AL2"/>
  <c r="AK2"/>
  <c r="AJ2"/>
  <c r="AI2"/>
  <c r="AH2"/>
  <c r="AH29" s="1"/>
  <c r="AG2"/>
  <c r="AF2"/>
  <c r="AF41" s="1"/>
  <c r="AE2"/>
  <c r="AD2"/>
  <c r="AC2"/>
  <c r="AB2"/>
  <c r="AA2"/>
  <c r="Z2"/>
  <c r="Y2"/>
  <c r="X2"/>
  <c r="W2"/>
  <c r="V2"/>
  <c r="U2"/>
  <c r="T2"/>
  <c r="S2"/>
  <c r="R2"/>
  <c r="Q2"/>
  <c r="N188"/>
  <c r="CU188" s="1"/>
  <c r="N192"/>
  <c r="N191"/>
  <c r="N190"/>
  <c r="N186"/>
  <c r="CS186" s="1"/>
  <c r="N185"/>
  <c r="N184"/>
  <c r="N183"/>
  <c r="N182"/>
  <c r="N181"/>
  <c r="N179"/>
  <c r="N178"/>
  <c r="N177"/>
  <c r="N176"/>
  <c r="N174"/>
  <c r="N173"/>
  <c r="N172"/>
  <c r="N171"/>
  <c r="N170"/>
  <c r="N168"/>
  <c r="N167"/>
  <c r="N165"/>
  <c r="N163"/>
  <c r="N162"/>
  <c r="N161"/>
  <c r="N160"/>
  <c r="N159"/>
  <c r="N158"/>
  <c r="N155"/>
  <c r="N153"/>
  <c r="N152"/>
  <c r="N151"/>
  <c r="N150"/>
  <c r="N149"/>
  <c r="N148"/>
  <c r="N147"/>
  <c r="N146"/>
  <c r="N145"/>
  <c r="N144"/>
  <c r="N142"/>
  <c r="N141"/>
  <c r="N140"/>
  <c r="N139"/>
  <c r="N138"/>
  <c r="N137"/>
  <c r="N135"/>
  <c r="N134"/>
  <c r="N133"/>
  <c r="N132"/>
  <c r="N131"/>
  <c r="N130"/>
  <c r="N129"/>
  <c r="N126"/>
  <c r="N125"/>
  <c r="N124"/>
  <c r="N123"/>
  <c r="N121"/>
  <c r="N120"/>
  <c r="N118"/>
  <c r="N117"/>
  <c r="N116"/>
  <c r="N115"/>
  <c r="N114"/>
  <c r="N112"/>
  <c r="N111"/>
  <c r="N110"/>
  <c r="N107"/>
  <c r="N106"/>
  <c r="N104"/>
  <c r="N103"/>
  <c r="N101"/>
  <c r="N100"/>
  <c r="N99"/>
  <c r="N95"/>
  <c r="N94"/>
  <c r="BL94" s="1"/>
  <c r="N93"/>
  <c r="N92"/>
  <c r="N91"/>
  <c r="N90"/>
  <c r="BL90" s="1"/>
  <c r="N88"/>
  <c r="N87"/>
  <c r="N85"/>
  <c r="N84"/>
  <c r="N83"/>
  <c r="N81"/>
  <c r="N79"/>
  <c r="N78"/>
  <c r="N77"/>
  <c r="N75"/>
  <c r="N74"/>
  <c r="N73"/>
  <c r="N72"/>
  <c r="N69"/>
  <c r="CU69" s="1"/>
  <c r="N68"/>
  <c r="N54"/>
  <c r="N53"/>
  <c r="N44"/>
  <c r="AI44" s="1"/>
  <c r="N43"/>
  <c r="N42"/>
  <c r="CC42" s="1"/>
  <c r="N41"/>
  <c r="N40"/>
  <c r="AN40" s="1"/>
  <c r="N39"/>
  <c r="N38"/>
  <c r="AT38" s="1"/>
  <c r="N37"/>
  <c r="N36"/>
  <c r="BX36" s="1"/>
  <c r="N35"/>
  <c r="N34"/>
  <c r="N33"/>
  <c r="N32"/>
  <c r="N31"/>
  <c r="N30"/>
  <c r="N29"/>
  <c r="DE29" s="1"/>
  <c r="N27"/>
  <c r="N26"/>
  <c r="N25"/>
  <c r="Q25" s="1"/>
  <c r="N24"/>
  <c r="AK24" s="1"/>
  <c r="N23"/>
  <c r="N22"/>
  <c r="N21"/>
  <c r="N20"/>
  <c r="N19"/>
  <c r="N18"/>
  <c r="N17"/>
  <c r="N16"/>
  <c r="N15"/>
  <c r="N14"/>
  <c r="N13"/>
  <c r="DJ13" s="1"/>
  <c r="N11"/>
  <c r="N10"/>
  <c r="N6"/>
  <c r="N7"/>
  <c r="AE7" s="1"/>
  <c r="N8"/>
  <c r="N5"/>
  <c r="M192"/>
  <c r="M191"/>
  <c r="M190"/>
  <c r="M188"/>
  <c r="M186"/>
  <c r="M185"/>
  <c r="M184"/>
  <c r="M183"/>
  <c r="M182"/>
  <c r="M181"/>
  <c r="M179"/>
  <c r="M178"/>
  <c r="M177"/>
  <c r="M176"/>
  <c r="M174"/>
  <c r="M173"/>
  <c r="M172"/>
  <c r="M171"/>
  <c r="M170"/>
  <c r="M168"/>
  <c r="M167"/>
  <c r="M165"/>
  <c r="M163"/>
  <c r="M162"/>
  <c r="M161"/>
  <c r="M160"/>
  <c r="M159"/>
  <c r="M158"/>
  <c r="M155"/>
  <c r="M153"/>
  <c r="M152"/>
  <c r="M151"/>
  <c r="M150"/>
  <c r="M149"/>
  <c r="M148"/>
  <c r="M147"/>
  <c r="M146"/>
  <c r="M145"/>
  <c r="M144"/>
  <c r="M142"/>
  <c r="M141"/>
  <c r="M140"/>
  <c r="M139"/>
  <c r="M138"/>
  <c r="M137"/>
  <c r="M135"/>
  <c r="M134"/>
  <c r="M133"/>
  <c r="M132"/>
  <c r="M131"/>
  <c r="M130"/>
  <c r="M129"/>
  <c r="M126"/>
  <c r="M125"/>
  <c r="M124"/>
  <c r="M123"/>
  <c r="M121"/>
  <c r="M120"/>
  <c r="M118"/>
  <c r="M117"/>
  <c r="M116"/>
  <c r="M115"/>
  <c r="M114"/>
  <c r="M112"/>
  <c r="M111"/>
  <c r="M110"/>
  <c r="M107"/>
  <c r="M106"/>
  <c r="M104"/>
  <c r="M103"/>
  <c r="M101"/>
  <c r="M100"/>
  <c r="M99"/>
  <c r="M95"/>
  <c r="M94"/>
  <c r="M93"/>
  <c r="M92"/>
  <c r="M91"/>
  <c r="M90"/>
  <c r="M88"/>
  <c r="M87"/>
  <c r="M85"/>
  <c r="M84"/>
  <c r="M83"/>
  <c r="M81"/>
  <c r="M79"/>
  <c r="M78"/>
  <c r="M77"/>
  <c r="M75"/>
  <c r="M74"/>
  <c r="M73"/>
  <c r="M72"/>
  <c r="M69"/>
  <c r="M68"/>
  <c r="M54"/>
  <c r="M53"/>
  <c r="M44"/>
  <c r="M43"/>
  <c r="M42"/>
  <c r="M41"/>
  <c r="M40"/>
  <c r="M39"/>
  <c r="M38"/>
  <c r="M37"/>
  <c r="M36"/>
  <c r="M35"/>
  <c r="M34"/>
  <c r="M33"/>
  <c r="M32"/>
  <c r="M31"/>
  <c r="M30"/>
  <c r="M29"/>
  <c r="M27"/>
  <c r="M26"/>
  <c r="M25"/>
  <c r="M24"/>
  <c r="M23"/>
  <c r="M22"/>
  <c r="M21"/>
  <c r="M20"/>
  <c r="M19"/>
  <c r="M18"/>
  <c r="M17"/>
  <c r="M16"/>
  <c r="M15"/>
  <c r="M14"/>
  <c r="M13"/>
  <c r="M11"/>
  <c r="M10"/>
  <c r="M8"/>
  <c r="M7"/>
  <c r="M6"/>
  <c r="M5"/>
  <c r="BU8"/>
  <c r="CF8"/>
  <c r="AJ8"/>
  <c r="AM8"/>
  <c r="BV8"/>
  <c r="CZ11"/>
  <c r="BH11"/>
  <c r="CE11"/>
  <c r="S11"/>
  <c r="DJ88"/>
  <c r="DI88"/>
  <c r="BI88"/>
  <c r="CN88"/>
  <c r="AZ88"/>
  <c r="AU88"/>
  <c r="CT93"/>
  <c r="AC93"/>
  <c r="BP93"/>
  <c r="X93"/>
  <c r="AI93"/>
  <c r="CI7"/>
  <c r="DJ7"/>
  <c r="BR7"/>
  <c r="CW7"/>
  <c r="CG7"/>
  <c r="BU7"/>
  <c r="AC7"/>
  <c r="AZ7"/>
  <c r="AN7"/>
  <c r="X7"/>
  <c r="CR90"/>
  <c r="AZ90"/>
  <c r="AN90"/>
  <c r="X90"/>
  <c r="BK90"/>
  <c r="DJ90"/>
  <c r="DB90"/>
  <c r="AD90"/>
  <c r="DA90"/>
  <c r="CK90"/>
  <c r="BU90"/>
  <c r="BI90"/>
  <c r="CR94"/>
  <c r="BD94"/>
  <c r="AN94"/>
  <c r="X94"/>
  <c r="AA94"/>
  <c r="CH94"/>
  <c r="CO94"/>
  <c r="BY94"/>
  <c r="BM94"/>
  <c r="DE6"/>
  <c r="U6"/>
  <c r="CB6"/>
  <c r="AV6"/>
  <c r="DG6"/>
  <c r="AI6"/>
  <c r="CT6"/>
  <c r="AP6"/>
  <c r="BZ91"/>
  <c r="DE91"/>
  <c r="U91"/>
  <c r="CB91"/>
  <c r="AR91"/>
  <c r="DC91"/>
  <c r="AE91"/>
  <c r="CT95"/>
  <c r="BF95"/>
  <c r="AK95"/>
  <c r="CV95"/>
  <c r="BP95"/>
  <c r="DI95"/>
  <c r="AY95"/>
  <c r="AI95"/>
  <c r="S95"/>
  <c r="AY44"/>
  <c r="S44"/>
  <c r="DB44"/>
  <c r="BJ44"/>
  <c r="CW44"/>
  <c r="CO44"/>
  <c r="CC44"/>
  <c r="BQ44"/>
  <c r="BI44"/>
  <c r="AK44"/>
  <c r="CN44"/>
  <c r="BH44"/>
  <c r="AZ44"/>
  <c r="AN44"/>
  <c r="AB44"/>
  <c r="T44"/>
  <c r="BG69"/>
  <c r="AI69"/>
  <c r="DJ69"/>
  <c r="DB69"/>
  <c r="BZ69"/>
  <c r="AT69"/>
  <c r="CW69"/>
  <c r="CO69"/>
  <c r="CC69"/>
  <c r="BQ69"/>
  <c r="BI69"/>
  <c r="Q69"/>
  <c r="BX69"/>
  <c r="BD69"/>
  <c r="AV69"/>
  <c r="AJ69"/>
  <c r="X69"/>
  <c r="CW186"/>
  <c r="CG186"/>
  <c r="BM186"/>
  <c r="AS186"/>
  <c r="CF186"/>
  <c r="AZ186"/>
  <c r="AB186"/>
  <c r="CM186"/>
  <c r="AU186"/>
  <c r="CD186"/>
  <c r="BB186"/>
  <c r="DC188"/>
  <c r="DJ188"/>
  <c r="CE188"/>
  <c r="AI188"/>
  <c r="CS188"/>
  <c r="BN188"/>
  <c r="Z188"/>
  <c r="CW188"/>
  <c r="CG188"/>
  <c r="BU188"/>
  <c r="BM188"/>
  <c r="AK188"/>
  <c r="DF188"/>
  <c r="CK188"/>
  <c r="BD188"/>
  <c r="AV188"/>
  <c r="AJ188"/>
  <c r="X188"/>
  <c r="G187"/>
  <c r="G235" i="28"/>
  <c r="DK40" i="11"/>
  <c r="N82" i="27"/>
  <c r="Q82"/>
  <c r="O82"/>
  <c r="CW41" i="11"/>
  <c r="BX41"/>
  <c r="S41"/>
  <c r="AG41"/>
  <c r="DG41"/>
  <c r="DE41"/>
  <c r="CF41"/>
  <c r="DA41"/>
  <c r="W41"/>
  <c r="BD40"/>
  <c r="AW40"/>
  <c r="CC40"/>
  <c r="DI40"/>
  <c r="BF40"/>
  <c r="BC40"/>
  <c r="AS43"/>
  <c r="BH42"/>
  <c r="BH40"/>
  <c r="BQ40"/>
  <c r="BZ40"/>
  <c r="AQ40"/>
  <c r="CB40"/>
  <c r="BE40"/>
  <c r="DA40"/>
  <c r="BN40"/>
  <c r="AU40"/>
  <c r="DG40"/>
  <c r="AJ40"/>
  <c r="AC40"/>
  <c r="BY40"/>
  <c r="V40"/>
  <c r="CX40"/>
  <c r="O196" i="2"/>
  <c r="O199"/>
  <c r="N199" s="1"/>
  <c r="O203"/>
  <c r="N203" s="1"/>
  <c r="O193"/>
  <c r="N193" s="1"/>
  <c r="O187"/>
  <c r="N187" s="1"/>
  <c r="CD13" i="11"/>
  <c r="BG13"/>
  <c r="CW13"/>
  <c r="AR13"/>
  <c r="BD13"/>
  <c r="BQ24"/>
  <c r="CH24"/>
  <c r="CJ24"/>
  <c r="CT24"/>
  <c r="BY24"/>
  <c r="AA24"/>
  <c r="AM24"/>
  <c r="BF24"/>
  <c r="CO29"/>
  <c r="AS29"/>
  <c r="CV29"/>
  <c r="BP29"/>
  <c r="T29"/>
  <c r="AQ29"/>
  <c r="CP29"/>
  <c r="BE29"/>
  <c r="CB29"/>
  <c r="AM29"/>
  <c r="BF29"/>
  <c r="AK29"/>
  <c r="CN29"/>
  <c r="BH29"/>
  <c r="DK29"/>
  <c r="AI29"/>
  <c r="CH29"/>
  <c r="AL29"/>
  <c r="Q29"/>
  <c r="CJ29"/>
  <c r="AN29"/>
  <c r="BN29"/>
  <c r="DI25"/>
  <c r="BD25"/>
  <c r="CE25"/>
  <c r="DE25"/>
  <c r="T25"/>
  <c r="BN25"/>
  <c r="CR25"/>
  <c r="AA25"/>
  <c r="U25"/>
  <c r="BS26"/>
  <c r="BB36"/>
  <c r="CC36"/>
  <c r="BU38"/>
  <c r="DI38"/>
  <c r="DL38"/>
  <c r="N196" i="2"/>
  <c r="G191" i="20" s="1"/>
  <c r="X21" i="29"/>
  <c r="AM76" i="28" s="1"/>
  <c r="X12" i="29"/>
  <c r="AM66" i="28" s="1"/>
  <c r="X5" i="29"/>
  <c r="AM7" i="28" s="1"/>
  <c r="X14" i="29"/>
  <c r="AM68" i="28" s="1"/>
  <c r="X25" i="29"/>
  <c r="AM79" i="28" s="1"/>
  <c r="X7" i="29"/>
  <c r="AM10" i="28" s="1"/>
  <c r="X20" i="29"/>
  <c r="AM75" i="28" s="1"/>
  <c r="X32" i="29"/>
  <c r="AM86" i="28" s="1"/>
  <c r="X13" i="29"/>
  <c r="AM67" i="28" s="1"/>
  <c r="X24" i="29"/>
  <c r="AM78" i="28" s="1"/>
  <c r="X4" i="29"/>
  <c r="AM5" i="28" s="1"/>
  <c r="X8" i="29"/>
  <c r="AM11" i="28" s="1"/>
  <c r="X17" i="29"/>
  <c r="AM71" i="28" s="1"/>
  <c r="X23" i="29"/>
  <c r="AM77" i="28" s="1"/>
  <c r="X10" i="29"/>
  <c r="AM28" i="28" s="1"/>
  <c r="X19" i="29"/>
  <c r="AM73" i="28" s="1"/>
  <c r="X31" i="29"/>
  <c r="AM85" i="28" s="1"/>
  <c r="X15" i="29"/>
  <c r="AM69" i="28" s="1"/>
  <c r="X27" i="29"/>
  <c r="AM81" i="28" s="1"/>
  <c r="X9" i="29"/>
  <c r="AM12" i="28" s="1"/>
  <c r="X18" i="29"/>
  <c r="AM72" i="28" s="1"/>
  <c r="X30" i="29"/>
  <c r="AM84" i="28" s="1"/>
  <c r="X33" i="29"/>
  <c r="AM87" i="28" s="1"/>
  <c r="X28" i="29"/>
  <c r="AM82" i="28" s="1"/>
  <c r="Q21" i="29"/>
  <c r="AK76" i="28" s="1"/>
  <c r="Q33" i="29"/>
  <c r="AG87" i="28" s="1"/>
  <c r="Y87" s="1"/>
  <c r="Q28" i="29"/>
  <c r="AG82" i="28" s="1"/>
  <c r="Y82" s="1"/>
  <c r="Q23" i="29"/>
  <c r="AG77" i="28" s="1"/>
  <c r="Y77" s="1"/>
  <c r="Q12" i="29"/>
  <c r="AK66" i="28" s="1"/>
  <c r="Q32" i="29"/>
  <c r="AK86" i="28" s="1"/>
  <c r="Q27" i="29"/>
  <c r="AG81" i="28" s="1"/>
  <c r="Q20" i="29"/>
  <c r="AG75" i="28" s="1"/>
  <c r="Y75" s="1"/>
  <c r="Q15" i="29"/>
  <c r="AK69" i="28" s="1"/>
  <c r="Q7" i="29"/>
  <c r="AG10" i="28" s="1"/>
  <c r="Q31" i="29"/>
  <c r="AK85" i="28" s="1"/>
  <c r="Q25" i="29"/>
  <c r="AG79" i="28" s="1"/>
  <c r="Y79" s="1"/>
  <c r="Q19" i="29"/>
  <c r="AK73" i="28" s="1"/>
  <c r="Q14" i="29"/>
  <c r="AG68" i="28" s="1"/>
  <c r="Y68" s="1"/>
  <c r="Q10" i="29"/>
  <c r="AG28" i="28" s="1"/>
  <c r="Y28" s="1"/>
  <c r="Q5" i="29"/>
  <c r="AG7" i="28" s="1"/>
  <c r="Y7" s="1"/>
  <c r="Q30" i="29"/>
  <c r="AG84" i="28" s="1"/>
  <c r="Q24" i="29"/>
  <c r="AG78" i="28" s="1"/>
  <c r="Y78" s="1"/>
  <c r="Q18" i="29"/>
  <c r="AG72" i="28" s="1"/>
  <c r="Y72" s="1"/>
  <c r="Q13" i="29"/>
  <c r="AG67" i="28" s="1"/>
  <c r="Q9" i="29"/>
  <c r="AK12" i="28" s="1"/>
  <c r="Q4" i="29"/>
  <c r="AG5" i="28" s="1"/>
  <c r="Q17" i="29"/>
  <c r="AG71" i="28" s="1"/>
  <c r="Q8" i="29"/>
  <c r="AG11" i="28" s="1"/>
  <c r="Y11" s="1"/>
  <c r="J70" i="19" l="1"/>
  <c r="J68"/>
  <c r="J69"/>
  <c r="AJ38" i="11"/>
  <c r="BO38"/>
  <c r="BI36"/>
  <c r="BH25"/>
  <c r="CW25"/>
  <c r="AF25"/>
  <c r="DA25"/>
  <c r="AU25"/>
  <c r="AZ25"/>
  <c r="CX25"/>
  <c r="AN25"/>
  <c r="AF29"/>
  <c r="BR13"/>
  <c r="DI13"/>
  <c r="BQ13"/>
  <c r="AA13"/>
  <c r="CR13"/>
  <c r="AI40"/>
  <c r="BR40"/>
  <c r="DE40"/>
  <c r="BI40"/>
  <c r="CF40"/>
  <c r="T40"/>
  <c r="BK40"/>
  <c r="CT40"/>
  <c r="AH40"/>
  <c r="CK40"/>
  <c r="Y40"/>
  <c r="AF40"/>
  <c r="DF40"/>
  <c r="CW40"/>
  <c r="AK40"/>
  <c r="AB40"/>
  <c r="BS40"/>
  <c r="DB40"/>
  <c r="AP40"/>
  <c r="CS40"/>
  <c r="BM40"/>
  <c r="CJ40"/>
  <c r="T188"/>
  <c r="AF188"/>
  <c r="AN188"/>
  <c r="AZ188"/>
  <c r="BT188"/>
  <c r="DA188"/>
  <c r="U188"/>
  <c r="BA188"/>
  <c r="BQ188"/>
  <c r="CC188"/>
  <c r="CR188"/>
  <c r="DB188"/>
  <c r="AD188"/>
  <c r="CD188"/>
  <c r="S188"/>
  <c r="AY188"/>
  <c r="CO188"/>
  <c r="AD186"/>
  <c r="BJ186"/>
  <c r="DB186"/>
  <c r="BO186"/>
  <c r="T186"/>
  <c r="AN186"/>
  <c r="BD186"/>
  <c r="Q186"/>
  <c r="BI186"/>
  <c r="BY186"/>
  <c r="T69"/>
  <c r="AF69"/>
  <c r="AN69"/>
  <c r="AZ69"/>
  <c r="BH69"/>
  <c r="CN69"/>
  <c r="AK69"/>
  <c r="BM69"/>
  <c r="BY69"/>
  <c r="CG69"/>
  <c r="CS69"/>
  <c r="Z69"/>
  <c r="BF69"/>
  <c r="CX69"/>
  <c r="DF69"/>
  <c r="S69"/>
  <c r="AY69"/>
  <c r="X44"/>
  <c r="AJ44"/>
  <c r="AR44"/>
  <c r="BD44"/>
  <c r="BX44"/>
  <c r="Q44"/>
  <c r="BE44"/>
  <c r="BM44"/>
  <c r="BY44"/>
  <c r="CG44"/>
  <c r="CS44"/>
  <c r="DE44"/>
  <c r="CD44"/>
  <c r="DF44"/>
  <c r="AW94"/>
  <c r="BQ94"/>
  <c r="CG94"/>
  <c r="CS94"/>
  <c r="DJ94"/>
  <c r="DG94"/>
  <c r="AF94"/>
  <c r="AR94"/>
  <c r="BA90"/>
  <c r="BQ90"/>
  <c r="CG90"/>
  <c r="CO90"/>
  <c r="DI90"/>
  <c r="AH90"/>
  <c r="DF90"/>
  <c r="AU90"/>
  <c r="T90"/>
  <c r="AF90"/>
  <c r="AV90"/>
  <c r="T7"/>
  <c r="AB7"/>
  <c r="AR7"/>
  <c r="CB7"/>
  <c r="BI7"/>
  <c r="BY7"/>
  <c r="CO7"/>
  <c r="DA7"/>
  <c r="DB7"/>
  <c r="DB16"/>
  <c r="DF26"/>
  <c r="Y188"/>
  <c r="BF44"/>
  <c r="I37" i="20"/>
  <c r="AG112" i="28" s="1"/>
  <c r="R37" i="20"/>
  <c r="DI6" i="11"/>
  <c r="DA6"/>
  <c r="CK6"/>
  <c r="BY6"/>
  <c r="BM6"/>
  <c r="BE6"/>
  <c r="AW6"/>
  <c r="AK6"/>
  <c r="Y6"/>
  <c r="Q6"/>
  <c r="CV6"/>
  <c r="CN6"/>
  <c r="CF6"/>
  <c r="BX6"/>
  <c r="BP6"/>
  <c r="BH6"/>
  <c r="AZ6"/>
  <c r="AN6"/>
  <c r="AF6"/>
  <c r="T6"/>
  <c r="DK6"/>
  <c r="CY6"/>
  <c r="BC6"/>
  <c r="AU6"/>
  <c r="AM6"/>
  <c r="AE6"/>
  <c r="W6"/>
  <c r="DJ6"/>
  <c r="CX6"/>
  <c r="CL6"/>
  <c r="CD6"/>
  <c r="BR6"/>
  <c r="BF6"/>
  <c r="DM6"/>
  <c r="CS6"/>
  <c r="BQ6"/>
  <c r="BA6"/>
  <c r="AG6"/>
  <c r="CZ6"/>
  <c r="CJ6"/>
  <c r="BT6"/>
  <c r="BD6"/>
  <c r="AJ6"/>
  <c r="O6"/>
  <c r="M6" i="28" s="1"/>
  <c r="CU6" i="11"/>
  <c r="AQ6"/>
  <c r="AA6"/>
  <c r="DB6"/>
  <c r="CH6"/>
  <c r="BN6"/>
  <c r="BQ41"/>
  <c r="CN41"/>
  <c r="AB41"/>
  <c r="AY41"/>
  <c r="CX41"/>
  <c r="BM41"/>
  <c r="CZ41"/>
  <c r="BD41"/>
  <c r="AE41"/>
  <c r="CD41"/>
  <c r="BI41"/>
  <c r="AC41"/>
  <c r="BP41"/>
  <c r="BG41"/>
  <c r="CP41"/>
  <c r="AD41"/>
  <c r="AO41"/>
  <c r="CR41"/>
  <c r="O41"/>
  <c r="M41" i="28" s="1"/>
  <c r="BC41" i="11"/>
  <c r="CL41"/>
  <c r="DJ91"/>
  <c r="DB91"/>
  <c r="CP91"/>
  <c r="CH91"/>
  <c r="BV91"/>
  <c r="BJ91"/>
  <c r="Z91"/>
  <c r="DI91"/>
  <c r="DA91"/>
  <c r="CO91"/>
  <c r="CG91"/>
  <c r="BU91"/>
  <c r="BI91"/>
  <c r="AW91"/>
  <c r="AK91"/>
  <c r="AC91"/>
  <c r="Q91"/>
  <c r="CV91"/>
  <c r="CN91"/>
  <c r="CF91"/>
  <c r="BX91"/>
  <c r="BP91"/>
  <c r="BH91"/>
  <c r="AZ91"/>
  <c r="AN91"/>
  <c r="AB91"/>
  <c r="T91"/>
  <c r="DG91"/>
  <c r="CU91"/>
  <c r="AY91"/>
  <c r="AQ91"/>
  <c r="AI91"/>
  <c r="AA91"/>
  <c r="S91"/>
  <c r="DF91"/>
  <c r="CL91"/>
  <c r="BR91"/>
  <c r="DM91"/>
  <c r="CW91"/>
  <c r="BY91"/>
  <c r="BA91"/>
  <c r="AG91"/>
  <c r="CZ91"/>
  <c r="CJ91"/>
  <c r="BT91"/>
  <c r="BD91"/>
  <c r="AJ91"/>
  <c r="DK91"/>
  <c r="BC91"/>
  <c r="AM91"/>
  <c r="W91"/>
  <c r="DB95"/>
  <c r="DC95"/>
  <c r="CP95"/>
  <c r="CD95"/>
  <c r="BV95"/>
  <c r="BJ95"/>
  <c r="AP95"/>
  <c r="DG95"/>
  <c r="CW95"/>
  <c r="CK95"/>
  <c r="CC95"/>
  <c r="BQ95"/>
  <c r="BA95"/>
  <c r="AS95"/>
  <c r="AG95"/>
  <c r="U95"/>
  <c r="DK95"/>
  <c r="CZ95"/>
  <c r="CR95"/>
  <c r="CJ95"/>
  <c r="CB95"/>
  <c r="BT95"/>
  <c r="BL95"/>
  <c r="BD95"/>
  <c r="DM95"/>
  <c r="CL95"/>
  <c r="BN95"/>
  <c r="DL95"/>
  <c r="CS95"/>
  <c r="BU95"/>
  <c r="AW95"/>
  <c r="AC95"/>
  <c r="DE95"/>
  <c r="CN95"/>
  <c r="BX95"/>
  <c r="BH95"/>
  <c r="AR95"/>
  <c r="AF95"/>
  <c r="X95"/>
  <c r="CM95"/>
  <c r="BC95"/>
  <c r="AU95"/>
  <c r="AM95"/>
  <c r="AE95"/>
  <c r="W95"/>
  <c r="Q7"/>
  <c r="Q90"/>
  <c r="Q94"/>
  <c r="Q188"/>
  <c r="U7"/>
  <c r="U44"/>
  <c r="U69"/>
  <c r="U186"/>
  <c r="U40"/>
  <c r="W88"/>
  <c r="W94"/>
  <c r="W7"/>
  <c r="W90"/>
  <c r="W44"/>
  <c r="W69"/>
  <c r="W186"/>
  <c r="W188"/>
  <c r="AA11"/>
  <c r="AA7"/>
  <c r="AA90"/>
  <c r="AA186"/>
  <c r="AA40"/>
  <c r="AE94"/>
  <c r="AE44"/>
  <c r="AE69"/>
  <c r="AE188"/>
  <c r="AI8"/>
  <c r="AI7"/>
  <c r="AI90"/>
  <c r="AI94"/>
  <c r="AI186"/>
  <c r="AM88"/>
  <c r="AM94"/>
  <c r="AM7"/>
  <c r="AM90"/>
  <c r="AM44"/>
  <c r="AM69"/>
  <c r="AM188"/>
  <c r="AM40"/>
  <c r="AO8"/>
  <c r="AO90"/>
  <c r="AO94"/>
  <c r="AO44"/>
  <c r="AO188"/>
  <c r="AQ11"/>
  <c r="AQ7"/>
  <c r="AQ90"/>
  <c r="AS7"/>
  <c r="AS94"/>
  <c r="AS69"/>
  <c r="AU94"/>
  <c r="AU44"/>
  <c r="AU69"/>
  <c r="AU188"/>
  <c r="AW90"/>
  <c r="AW7"/>
  <c r="AW188"/>
  <c r="AY8"/>
  <c r="AY7"/>
  <c r="AY90"/>
  <c r="AY94"/>
  <c r="AY186"/>
  <c r="AY42"/>
  <c r="BC88"/>
  <c r="BC94"/>
  <c r="BC7"/>
  <c r="BC90"/>
  <c r="BC44"/>
  <c r="BC69"/>
  <c r="BC188"/>
  <c r="BE90"/>
  <c r="BE188"/>
  <c r="BH7"/>
  <c r="BH90"/>
  <c r="BH94"/>
  <c r="BH186"/>
  <c r="BH188"/>
  <c r="BJ8"/>
  <c r="BJ7"/>
  <c r="BJ90"/>
  <c r="BJ69"/>
  <c r="BJ188"/>
  <c r="BJ40"/>
  <c r="BL88"/>
  <c r="BL44"/>
  <c r="BL69"/>
  <c r="BL40"/>
  <c r="BN90"/>
  <c r="BN94"/>
  <c r="BN44"/>
  <c r="BN186"/>
  <c r="BP11"/>
  <c r="BP7"/>
  <c r="BP90"/>
  <c r="BP94"/>
  <c r="BP188"/>
  <c r="BR94"/>
  <c r="BR188"/>
  <c r="BT7"/>
  <c r="BT90"/>
  <c r="BT94"/>
  <c r="BT44"/>
  <c r="BT69"/>
  <c r="BT40"/>
  <c r="BV7"/>
  <c r="BV94"/>
  <c r="BV69"/>
  <c r="BV40"/>
  <c r="BX7"/>
  <c r="BX90"/>
  <c r="BX94"/>
  <c r="BX186"/>
  <c r="BX188"/>
  <c r="BX40"/>
  <c r="BZ44"/>
  <c r="BZ186"/>
  <c r="BZ188"/>
  <c r="CB88"/>
  <c r="CB44"/>
  <c r="CB69"/>
  <c r="CD93"/>
  <c r="CD90"/>
  <c r="CD94"/>
  <c r="CF11"/>
  <c r="CF7"/>
  <c r="CF90"/>
  <c r="CF94"/>
  <c r="CF188"/>
  <c r="CH11"/>
  <c r="CH7"/>
  <c r="CH69"/>
  <c r="CH186"/>
  <c r="CH188"/>
  <c r="CJ7"/>
  <c r="CJ90"/>
  <c r="CJ94"/>
  <c r="CJ44"/>
  <c r="CJ69"/>
  <c r="CJ188"/>
  <c r="CL7"/>
  <c r="CL90"/>
  <c r="CL44"/>
  <c r="CL188"/>
  <c r="CN7"/>
  <c r="CN90"/>
  <c r="CN94"/>
  <c r="CN186"/>
  <c r="CP90"/>
  <c r="CP69"/>
  <c r="CP188"/>
  <c r="CP40"/>
  <c r="CR88"/>
  <c r="CR44"/>
  <c r="CR69"/>
  <c r="CR42"/>
  <c r="CT90"/>
  <c r="CT94"/>
  <c r="CT44"/>
  <c r="CT188"/>
  <c r="CV11"/>
  <c r="CV7"/>
  <c r="CV90"/>
  <c r="CV94"/>
  <c r="CX7"/>
  <c r="CX94"/>
  <c r="CX186"/>
  <c r="CZ7"/>
  <c r="CZ90"/>
  <c r="CZ94"/>
  <c r="CZ44"/>
  <c r="CZ69"/>
  <c r="CZ186"/>
  <c r="CZ40"/>
  <c r="DC7"/>
  <c r="DC40"/>
  <c r="DE11"/>
  <c r="DE90"/>
  <c r="DE94"/>
  <c r="DE69"/>
  <c r="DE188"/>
  <c r="DG11"/>
  <c r="DG90"/>
  <c r="DG44"/>
  <c r="DG188"/>
  <c r="DI7"/>
  <c r="DI94"/>
  <c r="DI44"/>
  <c r="DI188"/>
  <c r="DK7"/>
  <c r="DK94"/>
  <c r="DK69"/>
  <c r="DK186"/>
  <c r="DM90"/>
  <c r="DM94"/>
  <c r="DM7"/>
  <c r="DM69"/>
  <c r="DM186"/>
  <c r="DM188"/>
  <c r="DM8"/>
  <c r="DA8"/>
  <c r="CO8"/>
  <c r="BY8"/>
  <c r="BI8"/>
  <c r="AK8"/>
  <c r="CV8"/>
  <c r="CN8"/>
  <c r="CB8"/>
  <c r="BP8"/>
  <c r="BH8"/>
  <c r="AV8"/>
  <c r="AF8"/>
  <c r="DG8"/>
  <c r="BC8"/>
  <c r="AQ8"/>
  <c r="AE8"/>
  <c r="W8"/>
  <c r="DB8"/>
  <c r="CD8"/>
  <c r="BN8"/>
  <c r="DE8"/>
  <c r="CC8"/>
  <c r="AS8"/>
  <c r="CR8"/>
  <c r="BX8"/>
  <c r="AZ8"/>
  <c r="AB8"/>
  <c r="AU8"/>
  <c r="AA8"/>
  <c r="CP8"/>
  <c r="DI11"/>
  <c r="CS11"/>
  <c r="CC11"/>
  <c r="BQ11"/>
  <c r="BA11"/>
  <c r="AG11"/>
  <c r="Q11"/>
  <c r="CR11"/>
  <c r="CJ11"/>
  <c r="BX11"/>
  <c r="BL11"/>
  <c r="AZ11"/>
  <c r="AN11"/>
  <c r="X11"/>
  <c r="DK11"/>
  <c r="BC11"/>
  <c r="AU11"/>
  <c r="AI11"/>
  <c r="W11"/>
  <c r="DJ11"/>
  <c r="CL11"/>
  <c r="BR11"/>
  <c r="AL11"/>
  <c r="DM11"/>
  <c r="CK11"/>
  <c r="BE11"/>
  <c r="U11"/>
  <c r="CN11"/>
  <c r="BT11"/>
  <c r="AV11"/>
  <c r="T11"/>
  <c r="AY11"/>
  <c r="AE11"/>
  <c r="CX11"/>
  <c r="BN11"/>
  <c r="DB43"/>
  <c r="AW43"/>
  <c r="CX88"/>
  <c r="CH88"/>
  <c r="BJ88"/>
  <c r="DM88"/>
  <c r="DE88"/>
  <c r="CS88"/>
  <c r="CC88"/>
  <c r="BM88"/>
  <c r="AW88"/>
  <c r="AG88"/>
  <c r="DL88"/>
  <c r="CV88"/>
  <c r="CJ88"/>
  <c r="BX88"/>
  <c r="BP88"/>
  <c r="BD88"/>
  <c r="AN88"/>
  <c r="AF88"/>
  <c r="DK88"/>
  <c r="AY88"/>
  <c r="AQ88"/>
  <c r="AE88"/>
  <c r="S88"/>
  <c r="CL88"/>
  <c r="BF88"/>
  <c r="CW88"/>
  <c r="BY88"/>
  <c r="AK88"/>
  <c r="CZ88"/>
  <c r="CF88"/>
  <c r="BH88"/>
  <c r="AJ88"/>
  <c r="CE88"/>
  <c r="AI88"/>
  <c r="CX93"/>
  <c r="CP93"/>
  <c r="BR93"/>
  <c r="DM93"/>
  <c r="CW93"/>
  <c r="CG93"/>
  <c r="BQ93"/>
  <c r="BI93"/>
  <c r="AO93"/>
  <c r="U93"/>
  <c r="CR93"/>
  <c r="CF93"/>
  <c r="BX93"/>
  <c r="BL93"/>
  <c r="BD93"/>
  <c r="AR93"/>
  <c r="AB93"/>
  <c r="DC93"/>
  <c r="BC93"/>
  <c r="AU93"/>
  <c r="AM93"/>
  <c r="AE93"/>
  <c r="W93"/>
  <c r="DF93"/>
  <c r="BZ93"/>
  <c r="DE93"/>
  <c r="CC93"/>
  <c r="AS93"/>
  <c r="CV93"/>
  <c r="CB93"/>
  <c r="BH93"/>
  <c r="AF93"/>
  <c r="CE93"/>
  <c r="AQ93"/>
  <c r="AA93"/>
  <c r="S8"/>
  <c r="S7"/>
  <c r="S90"/>
  <c r="S94"/>
  <c r="AC88"/>
  <c r="AC94"/>
  <c r="AG94"/>
  <c r="AG7"/>
  <c r="AG90"/>
  <c r="AG44"/>
  <c r="AG69"/>
  <c r="AG188"/>
  <c r="AG40"/>
  <c r="AK11"/>
  <c r="AK7"/>
  <c r="AK90"/>
  <c r="AK186"/>
  <c r="BA44"/>
  <c r="BA69"/>
  <c r="BA186"/>
  <c r="BA40"/>
  <c r="CL38"/>
  <c r="CR38"/>
  <c r="CP36"/>
  <c r="BL36"/>
  <c r="AB26"/>
  <c r="BX25"/>
  <c r="AK25"/>
  <c r="BJ25"/>
  <c r="CD25"/>
  <c r="AC25"/>
  <c r="BR25"/>
  <c r="AW25"/>
  <c r="CL25"/>
  <c r="AX29"/>
  <c r="CT29"/>
  <c r="AE29"/>
  <c r="BD29"/>
  <c r="CZ29"/>
  <c r="AW29"/>
  <c r="DI29"/>
  <c r="BR29"/>
  <c r="CX29"/>
  <c r="AY29"/>
  <c r="AB29"/>
  <c r="BX29"/>
  <c r="U29"/>
  <c r="BA29"/>
  <c r="DM29"/>
  <c r="BV29"/>
  <c r="W29"/>
  <c r="O29"/>
  <c r="M29" i="28" s="1"/>
  <c r="AV29" i="11"/>
  <c r="CR29"/>
  <c r="AO29"/>
  <c r="BU29"/>
  <c r="BZ29"/>
  <c r="DF29"/>
  <c r="DC29"/>
  <c r="AJ29"/>
  <c r="CF29"/>
  <c r="AC29"/>
  <c r="BI29"/>
  <c r="BV24"/>
  <c r="BC24"/>
  <c r="Y24"/>
  <c r="BW24"/>
  <c r="CF24"/>
  <c r="BN24"/>
  <c r="DG24"/>
  <c r="AG24"/>
  <c r="AS13"/>
  <c r="AI13"/>
  <c r="CJ13"/>
  <c r="BE13"/>
  <c r="AY40"/>
  <c r="S40"/>
  <c r="CH40"/>
  <c r="AS40"/>
  <c r="CV40"/>
  <c r="BP40"/>
  <c r="AE40"/>
  <c r="CD40"/>
  <c r="AO40"/>
  <c r="CR40"/>
  <c r="DM40"/>
  <c r="CN40"/>
  <c r="CV42"/>
  <c r="BH43"/>
  <c r="W40"/>
  <c r="CL40"/>
  <c r="Q40"/>
  <c r="BF41"/>
  <c r="BS41"/>
  <c r="DH41"/>
  <c r="BZ41"/>
  <c r="DC41"/>
  <c r="AS41"/>
  <c r="DJ41"/>
  <c r="BT41"/>
  <c r="CC41"/>
  <c r="DK41"/>
  <c r="BA41"/>
  <c r="BL188"/>
  <c r="CB188"/>
  <c r="CV188"/>
  <c r="AC188"/>
  <c r="AS188"/>
  <c r="BF188"/>
  <c r="BV188"/>
  <c r="CN188"/>
  <c r="CX188"/>
  <c r="AA188"/>
  <c r="AQ188"/>
  <c r="CZ188"/>
  <c r="DK188"/>
  <c r="BR186"/>
  <c r="CP186"/>
  <c r="AE186"/>
  <c r="DG186"/>
  <c r="BT186"/>
  <c r="CV186"/>
  <c r="AG186"/>
  <c r="DE186"/>
  <c r="BP69"/>
  <c r="CF69"/>
  <c r="CV69"/>
  <c r="AC69"/>
  <c r="AW69"/>
  <c r="DI69"/>
  <c r="BR69"/>
  <c r="CL69"/>
  <c r="AA69"/>
  <c r="AQ69"/>
  <c r="DC69"/>
  <c r="BP44"/>
  <c r="CF44"/>
  <c r="CV44"/>
  <c r="Y44"/>
  <c r="AW44"/>
  <c r="DM44"/>
  <c r="BV44"/>
  <c r="CP44"/>
  <c r="AA44"/>
  <c r="AQ44"/>
  <c r="DC44"/>
  <c r="AA95"/>
  <c r="AQ95"/>
  <c r="CI95"/>
  <c r="AB95"/>
  <c r="AV95"/>
  <c r="CF95"/>
  <c r="Q95"/>
  <c r="BM95"/>
  <c r="DA95"/>
  <c r="BZ95"/>
  <c r="DF95"/>
  <c r="AU91"/>
  <c r="X91"/>
  <c r="BL91"/>
  <c r="CR91"/>
  <c r="AS91"/>
  <c r="CK91"/>
  <c r="BF91"/>
  <c r="CX91"/>
  <c r="BV6"/>
  <c r="S6"/>
  <c r="AY6"/>
  <c r="X6"/>
  <c r="BL6"/>
  <c r="CR6"/>
  <c r="AO6"/>
  <c r="CC6"/>
  <c r="Y94"/>
  <c r="BF94"/>
  <c r="AQ94"/>
  <c r="CB94"/>
  <c r="U90"/>
  <c r="BV90"/>
  <c r="AE90"/>
  <c r="CB90"/>
  <c r="BL7"/>
  <c r="CR7"/>
  <c r="BA7"/>
  <c r="DE7"/>
  <c r="CP7"/>
  <c r="AU7"/>
  <c r="S93"/>
  <c r="AY93"/>
  <c r="AV93"/>
  <c r="CN93"/>
  <c r="BM93"/>
  <c r="BJ93"/>
  <c r="AA88"/>
  <c r="T88"/>
  <c r="BT88"/>
  <c r="Q88"/>
  <c r="CG88"/>
  <c r="BR88"/>
  <c r="CD11"/>
  <c r="AM11"/>
  <c r="AF11"/>
  <c r="CB11"/>
  <c r="AO11"/>
  <c r="CW11"/>
  <c r="DF8"/>
  <c r="CA8"/>
  <c r="BL8"/>
  <c r="U8"/>
  <c r="CS8"/>
  <c r="X8"/>
  <c r="AF7"/>
  <c r="AH186"/>
  <c r="AN8"/>
  <c r="AV7"/>
  <c r="BD8"/>
  <c r="BI11"/>
  <c r="BQ8"/>
  <c r="BY11"/>
  <c r="CI69"/>
  <c r="CO11"/>
  <c r="DJ8"/>
  <c r="CL36"/>
  <c r="DE26"/>
  <c r="AE199" i="28"/>
  <c r="CN16" i="11"/>
  <c r="DM16"/>
  <c r="BM16"/>
  <c r="AS16"/>
  <c r="CB16"/>
  <c r="CG16"/>
  <c r="Q16"/>
  <c r="BP16"/>
  <c r="AF16"/>
  <c r="AI16"/>
  <c r="AE82" i="28"/>
  <c r="AE12"/>
  <c r="AE11"/>
  <c r="AE68"/>
  <c r="CP16" i="11"/>
  <c r="DK16"/>
  <c r="BJ16"/>
  <c r="AE73" i="28"/>
  <c r="G38"/>
  <c r="AU38" i="11"/>
  <c r="DC38"/>
  <c r="BX38"/>
  <c r="AG38"/>
  <c r="CO38"/>
  <c r="AA38"/>
  <c r="CI38"/>
  <c r="AN38"/>
  <c r="AX38"/>
  <c r="CH38"/>
  <c r="BA38"/>
  <c r="AP16"/>
  <c r="DJ16"/>
  <c r="R44"/>
  <c r="R43"/>
  <c r="R8"/>
  <c r="V94"/>
  <c r="V69"/>
  <c r="V41"/>
  <c r="Z8"/>
  <c r="Z6"/>
  <c r="Z40"/>
  <c r="AD69"/>
  <c r="AD7"/>
  <c r="AD24"/>
  <c r="AL186"/>
  <c r="AL88"/>
  <c r="AL93"/>
  <c r="AL94"/>
  <c r="AP188"/>
  <c r="AP91"/>
  <c r="AT8"/>
  <c r="AT7"/>
  <c r="AT188"/>
  <c r="AT43"/>
  <c r="AX93"/>
  <c r="AX186"/>
  <c r="AX40"/>
  <c r="AX41"/>
  <c r="BB7"/>
  <c r="BB69"/>
  <c r="BG7"/>
  <c r="BG186"/>
  <c r="BG25"/>
  <c r="BG91"/>
  <c r="BG29"/>
  <c r="BK93"/>
  <c r="BK88"/>
  <c r="BK6"/>
  <c r="BK188"/>
  <c r="BO188"/>
  <c r="BO25"/>
  <c r="BO69"/>
  <c r="BS90"/>
  <c r="BS94"/>
  <c r="BS29"/>
  <c r="BW8"/>
  <c r="BW29"/>
  <c r="CA40"/>
  <c r="CA41"/>
  <c r="CE40"/>
  <c r="CE24"/>
  <c r="CM44"/>
  <c r="CM90"/>
  <c r="CM40"/>
  <c r="CQ91"/>
  <c r="CQ44"/>
  <c r="CQ188"/>
  <c r="CQ41"/>
  <c r="CQ186"/>
  <c r="CQ29"/>
  <c r="CU94"/>
  <c r="CU40"/>
  <c r="CY7"/>
  <c r="CY11"/>
  <c r="CY93"/>
  <c r="DD88"/>
  <c r="DD41"/>
  <c r="DH90"/>
  <c r="DH40"/>
  <c r="DH188"/>
  <c r="DH44"/>
  <c r="DH25"/>
  <c r="DL69"/>
  <c r="DL188"/>
  <c r="O44"/>
  <c r="M44" i="28" s="1"/>
  <c r="O24" i="11"/>
  <c r="M24" i="28" s="1"/>
  <c r="T93" i="11"/>
  <c r="T94"/>
  <c r="K160"/>
  <c r="M59" i="27"/>
  <c r="I192" i="28"/>
  <c r="M66" i="27"/>
  <c r="P66" s="1"/>
  <c r="I211" i="28"/>
  <c r="M85" i="27"/>
  <c r="Q85" s="1"/>
  <c r="P88"/>
  <c r="Q88"/>
  <c r="O88"/>
  <c r="AB11" i="11"/>
  <c r="AB88"/>
  <c r="AB90"/>
  <c r="AJ93"/>
  <c r="AJ94"/>
  <c r="AR11"/>
  <c r="AR88"/>
  <c r="AR90"/>
  <c r="AZ93"/>
  <c r="AZ94"/>
  <c r="BM7"/>
  <c r="BM90"/>
  <c r="BU88"/>
  <c r="BU93"/>
  <c r="BU94"/>
  <c r="CC7"/>
  <c r="CC90"/>
  <c r="CG8"/>
  <c r="CG6"/>
  <c r="CK88"/>
  <c r="CK93"/>
  <c r="CK94"/>
  <c r="CS7"/>
  <c r="CS90"/>
  <c r="CW8"/>
  <c r="CW6"/>
  <c r="DB88"/>
  <c r="DB93"/>
  <c r="DF11"/>
  <c r="DF94"/>
  <c r="DA88"/>
  <c r="DA93"/>
  <c r="DA94"/>
  <c r="AE87" i="28"/>
  <c r="AE28"/>
  <c r="AE5"/>
  <c r="AE7"/>
  <c r="BW36" i="11"/>
  <c r="CZ26"/>
  <c r="CG25"/>
  <c r="BU25"/>
  <c r="CO25"/>
  <c r="DB25"/>
  <c r="X29"/>
  <c r="CC29"/>
  <c r="CG29"/>
  <c r="BI24"/>
  <c r="CO40"/>
  <c r="AZ40"/>
  <c r="DJ40"/>
  <c r="BU40"/>
  <c r="AV40"/>
  <c r="CG40"/>
  <c r="AR40"/>
  <c r="DJ42"/>
  <c r="X40"/>
  <c r="AV41"/>
  <c r="BU41"/>
  <c r="AJ41"/>
  <c r="AB188"/>
  <c r="AR188"/>
  <c r="BI188"/>
  <c r="BY188"/>
  <c r="AJ186"/>
  <c r="CC186"/>
  <c r="AB69"/>
  <c r="AR69"/>
  <c r="BU69"/>
  <c r="CK69"/>
  <c r="DA69"/>
  <c r="AF44"/>
  <c r="AV44"/>
  <c r="BU44"/>
  <c r="CK44"/>
  <c r="DA44"/>
  <c r="DJ44"/>
  <c r="T95"/>
  <c r="AJ95"/>
  <c r="AZ95"/>
  <c r="BI95"/>
  <c r="BY95"/>
  <c r="CO95"/>
  <c r="DJ95"/>
  <c r="AF91"/>
  <c r="AV91"/>
  <c r="BM91"/>
  <c r="CC91"/>
  <c r="CS91"/>
  <c r="DF6"/>
  <c r="AB6"/>
  <c r="AR6"/>
  <c r="BU6"/>
  <c r="CO6"/>
  <c r="BI94"/>
  <c r="CC94"/>
  <c r="CW94"/>
  <c r="DB94"/>
  <c r="AB94"/>
  <c r="AV94"/>
  <c r="BY90"/>
  <c r="CW90"/>
  <c r="AJ90"/>
  <c r="BD90"/>
  <c r="AJ7"/>
  <c r="BD7"/>
  <c r="BQ7"/>
  <c r="CK7"/>
  <c r="DF7"/>
  <c r="AN93"/>
  <c r="BY93"/>
  <c r="CS93"/>
  <c r="DJ93"/>
  <c r="X88"/>
  <c r="AV88"/>
  <c r="BQ88"/>
  <c r="CO88"/>
  <c r="DF88"/>
  <c r="DB11"/>
  <c r="AJ11"/>
  <c r="BD11"/>
  <c r="BM11"/>
  <c r="CG11"/>
  <c r="DA11"/>
  <c r="T8"/>
  <c r="AR8"/>
  <c r="BM8"/>
  <c r="CK8"/>
  <c r="Y8"/>
  <c r="Y93"/>
  <c r="Y90"/>
  <c r="BA88"/>
  <c r="BA93"/>
  <c r="BE8"/>
  <c r="BE94"/>
  <c r="BZ88"/>
  <c r="BZ7"/>
  <c r="BZ90"/>
  <c r="CL93"/>
  <c r="CL8"/>
  <c r="CL94"/>
  <c r="DC88"/>
  <c r="DC90"/>
  <c r="BF11"/>
  <c r="BF7"/>
  <c r="BF90"/>
  <c r="N88" i="27"/>
  <c r="I221" i="28"/>
  <c r="AA221" s="1"/>
  <c r="AC216"/>
  <c r="I102"/>
  <c r="M13" i="27"/>
  <c r="Q13" s="1"/>
  <c r="AC38" i="11"/>
  <c r="CX38"/>
  <c r="BT38"/>
  <c r="Z38"/>
  <c r="CY38"/>
  <c r="CG38"/>
  <c r="BJ38"/>
  <c r="AF38"/>
  <c r="CK38"/>
  <c r="BK38"/>
  <c r="AJ36"/>
  <c r="BK36"/>
  <c r="CZ36"/>
  <c r="BE36"/>
  <c r="AX26"/>
  <c r="CC26"/>
  <c r="U26"/>
  <c r="AV26"/>
  <c r="CM26"/>
  <c r="R88"/>
  <c r="R7"/>
  <c r="R91"/>
  <c r="R69"/>
  <c r="R6"/>
  <c r="R11"/>
  <c r="R90"/>
  <c r="Z93"/>
  <c r="Z90"/>
  <c r="Z94"/>
  <c r="Z95"/>
  <c r="Z44"/>
  <c r="AH88"/>
  <c r="AH8"/>
  <c r="AH11"/>
  <c r="AH7"/>
  <c r="AH91"/>
  <c r="AH69"/>
  <c r="AH93"/>
  <c r="AH94"/>
  <c r="AH6"/>
  <c r="AP93"/>
  <c r="AP8"/>
  <c r="AP7"/>
  <c r="AP11"/>
  <c r="AP88"/>
  <c r="AP90"/>
  <c r="AX88"/>
  <c r="AX7"/>
  <c r="AX91"/>
  <c r="AX69"/>
  <c r="AX11"/>
  <c r="AX95"/>
  <c r="AX44"/>
  <c r="AX94"/>
  <c r="BG11"/>
  <c r="BG93"/>
  <c r="BG94"/>
  <c r="BG6"/>
  <c r="BG90"/>
  <c r="BG95"/>
  <c r="BG8"/>
  <c r="BG44"/>
  <c r="BO8"/>
  <c r="BO88"/>
  <c r="BO90"/>
  <c r="BO44"/>
  <c r="BO11"/>
  <c r="BO94"/>
  <c r="BO91"/>
  <c r="BO93"/>
  <c r="BO6"/>
  <c r="BW11"/>
  <c r="BW93"/>
  <c r="BW94"/>
  <c r="BW6"/>
  <c r="BW7"/>
  <c r="BW88"/>
  <c r="BW90"/>
  <c r="BW95"/>
  <c r="CA11"/>
  <c r="CA7"/>
  <c r="CA95"/>
  <c r="CA69"/>
  <c r="CA88"/>
  <c r="CA90"/>
  <c r="CA44"/>
  <c r="CA188"/>
  <c r="CI88"/>
  <c r="CI8"/>
  <c r="CI91"/>
  <c r="CI94"/>
  <c r="CI44"/>
  <c r="CI11"/>
  <c r="CI93"/>
  <c r="CI6"/>
  <c r="CI188"/>
  <c r="CM11"/>
  <c r="CM88"/>
  <c r="CM93"/>
  <c r="CM94"/>
  <c r="CM6"/>
  <c r="CM91"/>
  <c r="CM8"/>
  <c r="CM7"/>
  <c r="CM69"/>
  <c r="CQ7"/>
  <c r="CQ95"/>
  <c r="CQ69"/>
  <c r="CQ8"/>
  <c r="CQ11"/>
  <c r="CQ93"/>
  <c r="CQ6"/>
  <c r="CQ90"/>
  <c r="CU8"/>
  <c r="CU93"/>
  <c r="CU11"/>
  <c r="CU90"/>
  <c r="CU44"/>
  <c r="CU7"/>
  <c r="CU88"/>
  <c r="CU95"/>
  <c r="CY88"/>
  <c r="CY91"/>
  <c r="CY90"/>
  <c r="CY95"/>
  <c r="CY94"/>
  <c r="CY44"/>
  <c r="CY188"/>
  <c r="DD11"/>
  <c r="DD90"/>
  <c r="DD8"/>
  <c r="DD93"/>
  <c r="DD6"/>
  <c r="DD91"/>
  <c r="DD44"/>
  <c r="DD7"/>
  <c r="DD69"/>
  <c r="DH88"/>
  <c r="DH8"/>
  <c r="DH7"/>
  <c r="DH91"/>
  <c r="DH69"/>
  <c r="DH11"/>
  <c r="DH95"/>
  <c r="DL11"/>
  <c r="DL93"/>
  <c r="DL94"/>
  <c r="DL6"/>
  <c r="DL44"/>
  <c r="DL7"/>
  <c r="DL90"/>
  <c r="O88"/>
  <c r="M82" i="28" s="1"/>
  <c r="O11" i="11"/>
  <c r="M11" i="28" s="1"/>
  <c r="O7" i="11"/>
  <c r="M7" i="28" s="1"/>
  <c r="O91" i="11"/>
  <c r="M85" i="28" s="1"/>
  <c r="O69" i="11"/>
  <c r="M63" i="28" s="1"/>
  <c r="O8" i="11"/>
  <c r="M8" i="28" s="1"/>
  <c r="O93" i="11"/>
  <c r="M87" i="28" s="1"/>
  <c r="O90" i="11"/>
  <c r="M84" i="28" s="1"/>
  <c r="O95" i="11"/>
  <c r="M89" i="28" s="1"/>
  <c r="N38" i="2"/>
  <c r="G46" i="20"/>
  <c r="I101" i="28"/>
  <c r="M12" i="27"/>
  <c r="Q12" s="1"/>
  <c r="M29"/>
  <c r="N29" s="1"/>
  <c r="I118" i="28"/>
  <c r="AC86"/>
  <c r="AE84"/>
  <c r="AE69"/>
  <c r="AE77"/>
  <c r="AE78"/>
  <c r="AE66"/>
  <c r="AE76"/>
  <c r="BP38" i="11"/>
  <c r="BI38"/>
  <c r="AL38"/>
  <c r="S38"/>
  <c r="DK38"/>
  <c r="CJ38"/>
  <c r="BM38"/>
  <c r="BF38"/>
  <c r="AM38"/>
  <c r="AB38"/>
  <c r="U38"/>
  <c r="CW38"/>
  <c r="BZ38"/>
  <c r="BW38"/>
  <c r="AV38"/>
  <c r="Y38"/>
  <c r="R38"/>
  <c r="CT38"/>
  <c r="CA38"/>
  <c r="X36"/>
  <c r="AI36"/>
  <c r="AH36"/>
  <c r="BF36"/>
  <c r="AR36"/>
  <c r="BM36"/>
  <c r="AE26"/>
  <c r="BR26"/>
  <c r="CW26"/>
  <c r="Y26"/>
  <c r="CF26"/>
  <c r="AT25"/>
  <c r="O25"/>
  <c r="M25" i="28" s="1"/>
  <c r="DL25" i="11"/>
  <c r="BS25"/>
  <c r="BK29"/>
  <c r="BO29"/>
  <c r="CI29"/>
  <c r="AD29"/>
  <c r="AT24"/>
  <c r="AP13"/>
  <c r="BB40"/>
  <c r="R40"/>
  <c r="BW40"/>
  <c r="AT40"/>
  <c r="AT42"/>
  <c r="CY40"/>
  <c r="BW41"/>
  <c r="AL41"/>
  <c r="O188"/>
  <c r="R188"/>
  <c r="AH188"/>
  <c r="AX188"/>
  <c r="BS188"/>
  <c r="R186"/>
  <c r="BW186"/>
  <c r="CU186"/>
  <c r="DL186"/>
  <c r="BW69"/>
  <c r="CY69"/>
  <c r="AH44"/>
  <c r="BS44"/>
  <c r="BO95"/>
  <c r="DD95"/>
  <c r="R95"/>
  <c r="BW91"/>
  <c r="AT91"/>
  <c r="AX6"/>
  <c r="CA6"/>
  <c r="AP94"/>
  <c r="CA94"/>
  <c r="DD94"/>
  <c r="AX90"/>
  <c r="BO7"/>
  <c r="DH93"/>
  <c r="CQ88"/>
  <c r="CY8"/>
  <c r="Y217" i="28"/>
  <c r="AZ38" i="11"/>
  <c r="V38"/>
  <c r="CE38"/>
  <c r="AW38"/>
  <c r="W38"/>
  <c r="CN38"/>
  <c r="AQ38"/>
  <c r="DH38"/>
  <c r="CD38"/>
  <c r="BQ36"/>
  <c r="DJ36"/>
  <c r="V8"/>
  <c r="V93"/>
  <c r="V90"/>
  <c r="V95"/>
  <c r="V44"/>
  <c r="V11"/>
  <c r="V88"/>
  <c r="V7"/>
  <c r="AD11"/>
  <c r="AD88"/>
  <c r="AD94"/>
  <c r="AD6"/>
  <c r="AD95"/>
  <c r="AD44"/>
  <c r="AD8"/>
  <c r="AD93"/>
  <c r="AD91"/>
  <c r="AL8"/>
  <c r="AL90"/>
  <c r="AL95"/>
  <c r="AL44"/>
  <c r="AL6"/>
  <c r="AL91"/>
  <c r="AL7"/>
  <c r="AL69"/>
  <c r="AT11"/>
  <c r="AT93"/>
  <c r="AT94"/>
  <c r="AT6"/>
  <c r="AT88"/>
  <c r="AT90"/>
  <c r="AT95"/>
  <c r="AT44"/>
  <c r="BB8"/>
  <c r="BB11"/>
  <c r="BB88"/>
  <c r="BB90"/>
  <c r="BB95"/>
  <c r="BB44"/>
  <c r="BB94"/>
  <c r="BB93"/>
  <c r="BB6"/>
  <c r="BB91"/>
  <c r="BK8"/>
  <c r="BK7"/>
  <c r="BK95"/>
  <c r="BK69"/>
  <c r="BK44"/>
  <c r="BK11"/>
  <c r="BK94"/>
  <c r="BK91"/>
  <c r="BS88"/>
  <c r="BS91"/>
  <c r="BS8"/>
  <c r="BS93"/>
  <c r="BS6"/>
  <c r="BS7"/>
  <c r="BS69"/>
  <c r="CE8"/>
  <c r="CE90"/>
  <c r="CE44"/>
  <c r="CE95"/>
  <c r="CE94"/>
  <c r="CE91"/>
  <c r="AC108" i="28"/>
  <c r="K78" i="19"/>
  <c r="J78" s="1"/>
  <c r="K80"/>
  <c r="J80" s="1"/>
  <c r="K79"/>
  <c r="J79" s="1"/>
  <c r="M40" i="20"/>
  <c r="L25" i="27"/>
  <c r="AC12" i="28"/>
  <c r="AC73"/>
  <c r="AC69"/>
  <c r="AC76"/>
  <c r="AE85"/>
  <c r="AE71"/>
  <c r="AE67"/>
  <c r="AE79"/>
  <c r="CV38" i="11"/>
  <c r="BY38"/>
  <c r="BB38"/>
  <c r="AY38"/>
  <c r="X38"/>
  <c r="CZ38"/>
  <c r="CS38"/>
  <c r="BV38"/>
  <c r="BC38"/>
  <c r="BH38"/>
  <c r="AK38"/>
  <c r="DM38"/>
  <c r="DF38"/>
  <c r="CM38"/>
  <c r="BL38"/>
  <c r="BE38"/>
  <c r="AH38"/>
  <c r="DJ38"/>
  <c r="DG38"/>
  <c r="DB36"/>
  <c r="DE36"/>
  <c r="CN36"/>
  <c r="DK36"/>
  <c r="BC36"/>
  <c r="BA36"/>
  <c r="X26"/>
  <c r="AY26"/>
  <c r="BV26"/>
  <c r="AD26"/>
  <c r="BI26"/>
  <c r="BK25"/>
  <c r="Z25"/>
  <c r="CY25"/>
  <c r="CA29"/>
  <c r="V29"/>
  <c r="CU29"/>
  <c r="AP29"/>
  <c r="CY29"/>
  <c r="AT29"/>
  <c r="DH24"/>
  <c r="CQ24"/>
  <c r="DL13"/>
  <c r="BS13"/>
  <c r="BO40"/>
  <c r="AL40"/>
  <c r="DL40"/>
  <c r="CQ40"/>
  <c r="O40"/>
  <c r="M40" i="28" s="1"/>
  <c r="BG40" i="11"/>
  <c r="AD40"/>
  <c r="DD40"/>
  <c r="CI40"/>
  <c r="AP41"/>
  <c r="R41"/>
  <c r="BB41"/>
  <c r="CE41"/>
  <c r="V188"/>
  <c r="AL188"/>
  <c r="BB188"/>
  <c r="DD188"/>
  <c r="BG188"/>
  <c r="BW188"/>
  <c r="CM188"/>
  <c r="V186"/>
  <c r="AT186"/>
  <c r="CA186"/>
  <c r="AP69"/>
  <c r="CE69"/>
  <c r="AP44"/>
  <c r="BW44"/>
  <c r="BS95"/>
  <c r="AH95"/>
  <c r="CA91"/>
  <c r="DL91"/>
  <c r="V91"/>
  <c r="V6"/>
  <c r="CE6"/>
  <c r="DH6"/>
  <c r="R94"/>
  <c r="CQ94"/>
  <c r="O94"/>
  <c r="M88" i="28" s="1"/>
  <c r="DH94" i="11"/>
  <c r="CI90"/>
  <c r="Z7"/>
  <c r="CE7"/>
  <c r="CA93"/>
  <c r="R93"/>
  <c r="BG88"/>
  <c r="Z88"/>
  <c r="Z11"/>
  <c r="BS11"/>
  <c r="AX8"/>
  <c r="DL8"/>
  <c r="DA186"/>
  <c r="CK186"/>
  <c r="BU186"/>
  <c r="BE186"/>
  <c r="AO186"/>
  <c r="Y186"/>
  <c r="DH186"/>
  <c r="CR186"/>
  <c r="CB186"/>
  <c r="BL186"/>
  <c r="AV186"/>
  <c r="AF186"/>
  <c r="O186"/>
  <c r="M234" i="28" s="1"/>
  <c r="CY186" i="11"/>
  <c r="CI186"/>
  <c r="BS186"/>
  <c r="BC186"/>
  <c r="AM186"/>
  <c r="DJ186"/>
  <c r="CT186"/>
  <c r="DI186"/>
  <c r="CO186"/>
  <c r="BQ186"/>
  <c r="AW186"/>
  <c r="AC186"/>
  <c r="DD186"/>
  <c r="CJ186"/>
  <c r="BP186"/>
  <c r="AR186"/>
  <c r="X186"/>
  <c r="DC186"/>
  <c r="CE186"/>
  <c r="BK186"/>
  <c r="AQ186"/>
  <c r="DF186"/>
  <c r="CL186"/>
  <c r="BV186"/>
  <c r="BF186"/>
  <c r="AP186"/>
  <c r="Z186"/>
  <c r="S186"/>
  <c r="BE24"/>
  <c r="Q8"/>
  <c r="Q93"/>
  <c r="U88"/>
  <c r="U94"/>
  <c r="Y88"/>
  <c r="Y11"/>
  <c r="Y7"/>
  <c r="Y91"/>
  <c r="Y95"/>
  <c r="Y69"/>
  <c r="AC11"/>
  <c r="AC8"/>
  <c r="AC90"/>
  <c r="AC6"/>
  <c r="AC44"/>
  <c r="AG8"/>
  <c r="AG93"/>
  <c r="AK93"/>
  <c r="AK94"/>
  <c r="AO88"/>
  <c r="AO7"/>
  <c r="AO91"/>
  <c r="AO95"/>
  <c r="AO69"/>
  <c r="AS11"/>
  <c r="AS88"/>
  <c r="AS90"/>
  <c r="AS6"/>
  <c r="AS44"/>
  <c r="AW8"/>
  <c r="AW93"/>
  <c r="AW11"/>
  <c r="BA8"/>
  <c r="BA94"/>
  <c r="BE88"/>
  <c r="BE93"/>
  <c r="BE7"/>
  <c r="BE91"/>
  <c r="BE95"/>
  <c r="BE69"/>
  <c r="BJ11"/>
  <c r="BJ94"/>
  <c r="BJ6"/>
  <c r="BN88"/>
  <c r="BN93"/>
  <c r="BN7"/>
  <c r="BN91"/>
  <c r="BN69"/>
  <c r="BR8"/>
  <c r="BR90"/>
  <c r="BR95"/>
  <c r="BR44"/>
  <c r="BV93"/>
  <c r="BV11"/>
  <c r="BV88"/>
  <c r="BZ11"/>
  <c r="BZ8"/>
  <c r="BZ94"/>
  <c r="BZ6"/>
  <c r="CD88"/>
  <c r="CD7"/>
  <c r="CD91"/>
  <c r="CD69"/>
  <c r="CH8"/>
  <c r="CH93"/>
  <c r="CH90"/>
  <c r="CH95"/>
  <c r="CH44"/>
  <c r="CP11"/>
  <c r="CP88"/>
  <c r="CP94"/>
  <c r="CP6"/>
  <c r="CT88"/>
  <c r="CT8"/>
  <c r="CT11"/>
  <c r="CT7"/>
  <c r="CT91"/>
  <c r="CT69"/>
  <c r="CX8"/>
  <c r="CX90"/>
  <c r="CX95"/>
  <c r="CX44"/>
  <c r="DC11"/>
  <c r="DC8"/>
  <c r="DC94"/>
  <c r="DC6"/>
  <c r="DG88"/>
  <c r="DG93"/>
  <c r="DG7"/>
  <c r="DG69"/>
  <c r="DK8"/>
  <c r="DK93"/>
  <c r="DK90"/>
  <c r="DK44"/>
  <c r="BF93"/>
  <c r="BF8"/>
  <c r="G15" i="27"/>
  <c r="I27" i="20"/>
  <c r="AG104" i="28" s="1"/>
  <c r="AE136"/>
  <c r="BT8" i="11"/>
  <c r="BT93"/>
  <c r="CJ8"/>
  <c r="CJ93"/>
  <c r="CZ8"/>
  <c r="CZ93"/>
  <c r="DI8"/>
  <c r="DI93"/>
  <c r="AC199" i="28"/>
  <c r="CS42" i="11"/>
  <c r="Y108" i="28"/>
  <c r="AC43" i="11"/>
  <c r="AJ43"/>
  <c r="DA43"/>
  <c r="CI43"/>
  <c r="BQ43"/>
  <c r="AI43"/>
  <c r="AG43"/>
  <c r="CT43"/>
  <c r="BX42"/>
  <c r="BE42"/>
  <c r="CO42"/>
  <c r="V43"/>
  <c r="BX43"/>
  <c r="AQ43"/>
  <c r="CO43"/>
  <c r="G25" i="28"/>
  <c r="CI25" i="11"/>
  <c r="W25"/>
  <c r="BF25"/>
  <c r="CS25"/>
  <c r="AG25"/>
  <c r="BT25"/>
  <c r="DK25"/>
  <c r="AY25"/>
  <c r="CH25"/>
  <c r="V25"/>
  <c r="BI25"/>
  <c r="CV25"/>
  <c r="AJ25"/>
  <c r="CA25"/>
  <c r="DJ25"/>
  <c r="AX25"/>
  <c r="CK25"/>
  <c r="Y25"/>
  <c r="BL25"/>
  <c r="DC25"/>
  <c r="AQ25"/>
  <c r="BZ25"/>
  <c r="K45" i="20"/>
  <c r="AI118" i="28" s="1"/>
  <c r="G29" i="27"/>
  <c r="Y16" i="11"/>
  <c r="CO16"/>
  <c r="CQ16"/>
  <c r="AL16"/>
  <c r="BH16"/>
  <c r="AB25"/>
  <c r="BA25"/>
  <c r="CP25"/>
  <c r="AV25"/>
  <c r="R25"/>
  <c r="BP25"/>
  <c r="AL25"/>
  <c r="CU25"/>
  <c r="AP25"/>
  <c r="M165" i="20"/>
  <c r="AK209" i="28" s="1"/>
  <c r="AK207" s="1"/>
  <c r="AK210"/>
  <c r="M23" i="27"/>
  <c r="N23" s="1"/>
  <c r="K9"/>
  <c r="H8"/>
  <c r="K21" i="20"/>
  <c r="AI98" i="28" s="1"/>
  <c r="N50" i="27"/>
  <c r="O50"/>
  <c r="BF42" i="11"/>
  <c r="CZ42"/>
  <c r="AI42"/>
  <c r="BI42"/>
  <c r="DG42"/>
  <c r="AH42"/>
  <c r="BL42"/>
  <c r="DF42"/>
  <c r="AK42"/>
  <c r="H25" i="27"/>
  <c r="R40" i="20"/>
  <c r="AA42" i="11"/>
  <c r="AU42"/>
  <c r="DK42"/>
  <c r="DJ43"/>
  <c r="O43"/>
  <c r="M43" i="28" s="1"/>
  <c r="DD24" i="11"/>
  <c r="S24"/>
  <c r="BM24"/>
  <c r="BD24"/>
  <c r="BK24"/>
  <c r="CD24"/>
  <c r="DE24"/>
  <c r="DL24"/>
  <c r="AJ24"/>
  <c r="BG24"/>
  <c r="BJ24"/>
  <c r="BU24"/>
  <c r="CR24"/>
  <c r="AF24"/>
  <c r="BS24"/>
  <c r="DB24"/>
  <c r="AP24"/>
  <c r="CA13"/>
  <c r="AX13"/>
  <c r="Y13"/>
  <c r="CM13"/>
  <c r="BJ13"/>
  <c r="AK13"/>
  <c r="CY13"/>
  <c r="BV13"/>
  <c r="AW13"/>
  <c r="X13"/>
  <c r="CX13"/>
  <c r="BY13"/>
  <c r="AZ13"/>
  <c r="I40" i="20"/>
  <c r="AM16" i="11"/>
  <c r="CM16"/>
  <c r="CN25"/>
  <c r="DM25"/>
  <c r="BW25"/>
  <c r="AO25"/>
  <c r="CT25"/>
  <c r="CQ25"/>
  <c r="AS25"/>
  <c r="S25"/>
  <c r="CJ25"/>
  <c r="BM25"/>
  <c r="AM25"/>
  <c r="CL24"/>
  <c r="CI24"/>
  <c r="BL24"/>
  <c r="CP24"/>
  <c r="CM24"/>
  <c r="CV24"/>
  <c r="R24"/>
  <c r="AE24"/>
  <c r="X24"/>
  <c r="CS24"/>
  <c r="DK24"/>
  <c r="T13"/>
  <c r="DE13"/>
  <c r="BO13"/>
  <c r="Q13"/>
  <c r="DB13"/>
  <c r="BX13"/>
  <c r="AD13"/>
  <c r="AF13"/>
  <c r="CK13"/>
  <c r="AU13"/>
  <c r="BA42"/>
  <c r="CM42"/>
  <c r="BU42"/>
  <c r="T42"/>
  <c r="BB42"/>
  <c r="AN42"/>
  <c r="DB42"/>
  <c r="DG43"/>
  <c r="BB43"/>
  <c r="CG43"/>
  <c r="CR43"/>
  <c r="BG43"/>
  <c r="BS16"/>
  <c r="DA16"/>
  <c r="T16"/>
  <c r="AH16"/>
  <c r="CJ16"/>
  <c r="CH16"/>
  <c r="AR25"/>
  <c r="DD25"/>
  <c r="BQ25"/>
  <c r="AD25"/>
  <c r="DF25"/>
  <c r="CM25"/>
  <c r="CB25"/>
  <c r="BE25"/>
  <c r="AH25"/>
  <c r="AE25"/>
  <c r="DG25"/>
  <c r="CF25"/>
  <c r="BY25"/>
  <c r="BB25"/>
  <c r="AI25"/>
  <c r="X25"/>
  <c r="CZ25"/>
  <c r="CC25"/>
  <c r="BV25"/>
  <c r="BC25"/>
  <c r="Z24"/>
  <c r="W24"/>
  <c r="CY24"/>
  <c r="CB24"/>
  <c r="CK24"/>
  <c r="DF24"/>
  <c r="T24"/>
  <c r="AS24"/>
  <c r="AH24"/>
  <c r="AU24"/>
  <c r="BT24"/>
  <c r="BB24"/>
  <c r="AR24"/>
  <c r="CF13"/>
  <c r="AL13"/>
  <c r="CU13"/>
  <c r="CC13"/>
  <c r="AM13"/>
  <c r="DD13"/>
  <c r="CP13"/>
  <c r="BL13"/>
  <c r="R13"/>
  <c r="DG13"/>
  <c r="DM42"/>
  <c r="DC42"/>
  <c r="AX42"/>
  <c r="CF42"/>
  <c r="BR42"/>
  <c r="Q42"/>
  <c r="CI42"/>
  <c r="AN43"/>
  <c r="CE43"/>
  <c r="BF43"/>
  <c r="DH43"/>
  <c r="BP43"/>
  <c r="J25" i="27"/>
  <c r="AE123" i="28"/>
  <c r="M65" i="27"/>
  <c r="G49" i="20"/>
  <c r="N51" i="2"/>
  <c r="G48" i="20" s="1"/>
  <c r="R59" i="27"/>
  <c r="Q59"/>
  <c r="M57"/>
  <c r="O57" s="1"/>
  <c r="K159" i="11"/>
  <c r="AK36"/>
  <c r="BV36"/>
  <c r="AC36"/>
  <c r="BY36"/>
  <c r="AE36"/>
  <c r="BH36"/>
  <c r="AN36"/>
  <c r="AY36"/>
  <c r="AX36"/>
  <c r="Z36"/>
  <c r="AG36"/>
  <c r="T36"/>
  <c r="BN26"/>
  <c r="AN26"/>
  <c r="DI26"/>
  <c r="BO26"/>
  <c r="AK26"/>
  <c r="BL26"/>
  <c r="I14" i="27"/>
  <c r="G12"/>
  <c r="K26" i="20"/>
  <c r="AI103" i="28" s="1"/>
  <c r="O26" i="20"/>
  <c r="AM103" i="28" s="1"/>
  <c r="G42"/>
  <c r="CY42" i="11"/>
  <c r="AM42"/>
  <c r="BV42"/>
  <c r="BS42"/>
  <c r="CL42"/>
  <c r="DI42"/>
  <c r="AW42"/>
  <c r="CJ42"/>
  <c r="X42"/>
  <c r="BO42"/>
  <c r="CX42"/>
  <c r="AL42"/>
  <c r="BY42"/>
  <c r="DL42"/>
  <c r="AZ42"/>
  <c r="CQ42"/>
  <c r="AE42"/>
  <c r="BN42"/>
  <c r="DA42"/>
  <c r="AO42"/>
  <c r="CB42"/>
  <c r="O42"/>
  <c r="M42" i="28" s="1"/>
  <c r="BG42" i="11"/>
  <c r="CP42"/>
  <c r="AD42"/>
  <c r="BQ42"/>
  <c r="DD42"/>
  <c r="AR42"/>
  <c r="H67"/>
  <c r="G67" s="1"/>
  <c r="G61" i="28" s="1"/>
  <c r="N194" i="2"/>
  <c r="G10" i="13" s="1"/>
  <c r="AA36" i="11"/>
  <c r="CW36"/>
  <c r="BD36"/>
  <c r="AM36"/>
  <c r="DI36"/>
  <c r="BP36"/>
  <c r="BO36"/>
  <c r="AL36"/>
  <c r="CR36"/>
  <c r="CQ36"/>
  <c r="BN36"/>
  <c r="AO36"/>
  <c r="U36"/>
  <c r="CG36"/>
  <c r="W36"/>
  <c r="AZ36"/>
  <c r="V36"/>
  <c r="CA36"/>
  <c r="DD36"/>
  <c r="BT36"/>
  <c r="CE36"/>
  <c r="CD36"/>
  <c r="Q36"/>
  <c r="R36"/>
  <c r="AH26"/>
  <c r="DJ26"/>
  <c r="CQ26"/>
  <c r="CJ26"/>
  <c r="BM26"/>
  <c r="AL26"/>
  <c r="AI26"/>
  <c r="DK26"/>
  <c r="CN26"/>
  <c r="CG26"/>
  <c r="BF26"/>
  <c r="AM26"/>
  <c r="AF26"/>
  <c r="DH26"/>
  <c r="CK26"/>
  <c r="CP26"/>
  <c r="BW26"/>
  <c r="AZ26"/>
  <c r="AS26"/>
  <c r="AB42"/>
  <c r="U42"/>
  <c r="CW42"/>
  <c r="BZ42"/>
  <c r="BW42"/>
  <c r="AV42"/>
  <c r="Y42"/>
  <c r="R42"/>
  <c r="CT42"/>
  <c r="CA42"/>
  <c r="BP42"/>
  <c r="AS42"/>
  <c r="V42"/>
  <c r="S42"/>
  <c r="CU42"/>
  <c r="BT42"/>
  <c r="BM42"/>
  <c r="AP42"/>
  <c r="BC42"/>
  <c r="CD43"/>
  <c r="CA43"/>
  <c r="CJ43"/>
  <c r="DI43"/>
  <c r="S43"/>
  <c r="DK43"/>
  <c r="AK43"/>
  <c r="AP43"/>
  <c r="BC43"/>
  <c r="CB43"/>
  <c r="BU43"/>
  <c r="CP43"/>
  <c r="T43"/>
  <c r="M25" i="20"/>
  <c r="AK102" i="28" s="1"/>
  <c r="AC102" s="1"/>
  <c r="K13" i="27"/>
  <c r="K23"/>
  <c r="G23"/>
  <c r="K37" i="20"/>
  <c r="AI112" i="28" s="1"/>
  <c r="AA112" s="1"/>
  <c r="I23" i="27"/>
  <c r="O37" i="20"/>
  <c r="AM112" i="28" s="1"/>
  <c r="AE112" s="1"/>
  <c r="L23" i="27"/>
  <c r="I138" i="28"/>
  <c r="Y136"/>
  <c r="Q66" i="27"/>
  <c r="G36" i="28"/>
  <c r="CM36" i="11"/>
  <c r="G63" i="20"/>
  <c r="N63" i="2"/>
  <c r="I43" i="20"/>
  <c r="AG116" i="28" s="1"/>
  <c r="Y116" s="1"/>
  <c r="L27" i="27"/>
  <c r="R46"/>
  <c r="O46"/>
  <c r="BJ36" i="11"/>
  <c r="CY36"/>
  <c r="AW36"/>
  <c r="CX36"/>
  <c r="AF36"/>
  <c r="DA36"/>
  <c r="DF36"/>
  <c r="CS36"/>
  <c r="CB36"/>
  <c r="AQ36"/>
  <c r="DH36"/>
  <c r="S36"/>
  <c r="CO36"/>
  <c r="BK26"/>
  <c r="Q26"/>
  <c r="CH26"/>
  <c r="BH26"/>
  <c r="DM26"/>
  <c r="DB26"/>
  <c r="CI26"/>
  <c r="BE26"/>
  <c r="AT26"/>
  <c r="AA26"/>
  <c r="T26"/>
  <c r="CV26"/>
  <c r="BY26"/>
  <c r="G43" i="28"/>
  <c r="BY43" i="11"/>
  <c r="DL43"/>
  <c r="AZ43"/>
  <c r="CM43"/>
  <c r="AA43"/>
  <c r="BJ43"/>
  <c r="CK43"/>
  <c r="Y43"/>
  <c r="BL43"/>
  <c r="CY43"/>
  <c r="AM43"/>
  <c r="BV43"/>
  <c r="DM43"/>
  <c r="BA43"/>
  <c r="CN43"/>
  <c r="AB43"/>
  <c r="BO43"/>
  <c r="CX43"/>
  <c r="AL43"/>
  <c r="CC43"/>
  <c r="Q43"/>
  <c r="BD43"/>
  <c r="CQ43"/>
  <c r="AE43"/>
  <c r="BN43"/>
  <c r="BI43"/>
  <c r="CF43"/>
  <c r="DC43"/>
  <c r="DF43"/>
  <c r="AD43"/>
  <c r="AO43"/>
  <c r="AV43"/>
  <c r="BS43"/>
  <c r="CL43"/>
  <c r="CW43"/>
  <c r="U43"/>
  <c r="AR43"/>
  <c r="AY43"/>
  <c r="BR43"/>
  <c r="CS43"/>
  <c r="CZ43"/>
  <c r="X43"/>
  <c r="AU43"/>
  <c r="AX43"/>
  <c r="AK106" i="28"/>
  <c r="M29" i="20"/>
  <c r="AK105" i="28" s="1"/>
  <c r="AM107"/>
  <c r="O29" i="20"/>
  <c r="AM105" i="28" s="1"/>
  <c r="I22" i="27"/>
  <c r="G22"/>
  <c r="M36" i="20"/>
  <c r="AK111" i="28" s="1"/>
  <c r="AC111" s="1"/>
  <c r="I36" i="20"/>
  <c r="AG111" i="28" s="1"/>
  <c r="Y111" s="1"/>
  <c r="T38" i="11"/>
  <c r="CF38"/>
  <c r="AS38"/>
  <c r="DE38"/>
  <c r="BR38"/>
  <c r="AI38"/>
  <c r="CU38"/>
  <c r="BD38"/>
  <c r="Q38"/>
  <c r="CC38"/>
  <c r="AP38"/>
  <c r="DB38"/>
  <c r="BS38"/>
  <c r="AR38"/>
  <c r="DD38"/>
  <c r="BQ38"/>
  <c r="AD38"/>
  <c r="CP38"/>
  <c r="BG38"/>
  <c r="O38"/>
  <c r="M38" i="28" s="1"/>
  <c r="CB38" i="11"/>
  <c r="AO38"/>
  <c r="DA38"/>
  <c r="BN38"/>
  <c r="AE38"/>
  <c r="CQ38"/>
  <c r="BG36"/>
  <c r="AD36"/>
  <c r="CJ36"/>
  <c r="BS36"/>
  <c r="AP36"/>
  <c r="CV36"/>
  <c r="CU36"/>
  <c r="BR36"/>
  <c r="AS36"/>
  <c r="Y36"/>
  <c r="CT36"/>
  <c r="BU36"/>
  <c r="AB36"/>
  <c r="AT36"/>
  <c r="CI36"/>
  <c r="DL36"/>
  <c r="CH36"/>
  <c r="O36"/>
  <c r="M36" i="28" s="1"/>
  <c r="CK36" i="11"/>
  <c r="DM36"/>
  <c r="CF36"/>
  <c r="DG36"/>
  <c r="BZ36"/>
  <c r="AV36"/>
  <c r="AU36"/>
  <c r="DC36"/>
  <c r="CT26"/>
  <c r="CA26"/>
  <c r="BD26"/>
  <c r="AW26"/>
  <c r="V26"/>
  <c r="CX26"/>
  <c r="CU26"/>
  <c r="BX26"/>
  <c r="BA26"/>
  <c r="AP26"/>
  <c r="W26"/>
  <c r="CY26"/>
  <c r="CR26"/>
  <c r="BU26"/>
  <c r="BJ26"/>
  <c r="BG26"/>
  <c r="AJ26"/>
  <c r="DL26"/>
  <c r="CN42"/>
  <c r="CG42"/>
  <c r="BJ42"/>
  <c r="AQ42"/>
  <c r="AF42"/>
  <c r="DH42"/>
  <c r="CK42"/>
  <c r="CD42"/>
  <c r="BK42"/>
  <c r="AJ42"/>
  <c r="AC42"/>
  <c r="DE42"/>
  <c r="CH42"/>
  <c r="CE42"/>
  <c r="BD42"/>
  <c r="AG42"/>
  <c r="Z42"/>
  <c r="W42"/>
  <c r="AH43"/>
  <c r="BK43"/>
  <c r="BT43"/>
  <c r="BM43"/>
  <c r="CH43"/>
  <c r="CU43"/>
  <c r="DD43"/>
  <c r="Z43"/>
  <c r="W43"/>
  <c r="AF43"/>
  <c r="BE43"/>
  <c r="BZ43"/>
  <c r="BW43"/>
  <c r="CV43"/>
  <c r="DE43"/>
  <c r="I25" i="20"/>
  <c r="AG102" i="28" s="1"/>
  <c r="Y102" s="1"/>
  <c r="H12" i="27"/>
  <c r="I10"/>
  <c r="J9"/>
  <c r="J8"/>
  <c r="M22" i="20"/>
  <c r="AK99" i="28" s="1"/>
  <c r="AC99" s="1"/>
  <c r="M21" i="20"/>
  <c r="AK98" i="28" s="1"/>
  <c r="M20" i="20"/>
  <c r="AK97" i="28" s="1"/>
  <c r="AC97" s="1"/>
  <c r="L9" i="27"/>
  <c r="L8"/>
  <c r="K22" i="20"/>
  <c r="AI99" i="28" s="1"/>
  <c r="AA99" s="1"/>
  <c r="R20" i="20"/>
  <c r="CW24" i="11"/>
  <c r="BX24"/>
  <c r="AY24"/>
  <c r="V24"/>
  <c r="CZ24"/>
  <c r="AN24"/>
  <c r="CA24"/>
  <c r="DJ24"/>
  <c r="AX24"/>
  <c r="CO24"/>
  <c r="AC24"/>
  <c r="BP24"/>
  <c r="DC24"/>
  <c r="AQ24"/>
  <c r="BZ24"/>
  <c r="DA24"/>
  <c r="AO24"/>
  <c r="Q46" i="27"/>
  <c r="M37" i="20"/>
  <c r="AK112" i="28" s="1"/>
  <c r="AC112" s="1"/>
  <c r="J23" i="27"/>
  <c r="R82"/>
  <c r="P82"/>
  <c r="I165" i="20"/>
  <c r="AG209" i="28" s="1"/>
  <c r="AG207" s="1"/>
  <c r="AG210"/>
  <c r="DM41" i="11"/>
  <c r="AK41"/>
  <c r="AR41"/>
  <c r="BO41"/>
  <c r="CH41"/>
  <c r="CS41"/>
  <c r="Q41"/>
  <c r="AN41"/>
  <c r="AU41"/>
  <c r="BN41"/>
  <c r="CO41"/>
  <c r="CV41"/>
  <c r="T41"/>
  <c r="AQ41"/>
  <c r="AT41"/>
  <c r="BE41"/>
  <c r="CB41"/>
  <c r="CI41"/>
  <c r="DB41"/>
  <c r="Z41"/>
  <c r="AA199" i="28"/>
  <c r="Y211"/>
  <c r="I124"/>
  <c r="M80" i="27"/>
  <c r="M76"/>
  <c r="I206" i="28"/>
  <c r="I186"/>
  <c r="G198" i="20"/>
  <c r="N200" i="2"/>
  <c r="G12" i="13" s="1"/>
  <c r="G194" i="20"/>
  <c r="N197" i="2"/>
  <c r="L28" i="27"/>
  <c r="K28"/>
  <c r="R44" i="20"/>
  <c r="I28" i="27"/>
  <c r="G28"/>
  <c r="I200" i="28"/>
  <c r="M77" i="27"/>
  <c r="Y215" i="28"/>
  <c r="AA215"/>
  <c r="AE215"/>
  <c r="AC215"/>
  <c r="AG106"/>
  <c r="I29" i="20"/>
  <c r="AG105" i="28" s="1"/>
  <c r="K26" i="27"/>
  <c r="G26"/>
  <c r="K41" i="20"/>
  <c r="AI115" i="28" s="1"/>
  <c r="AA115" s="1"/>
  <c r="J26" i="27"/>
  <c r="R41" i="20"/>
  <c r="I41"/>
  <c r="AG115" i="28" s="1"/>
  <c r="O41" i="20"/>
  <c r="AM115" i="28" s="1"/>
  <c r="AE115" s="1"/>
  <c r="L26" i="27"/>
  <c r="M41" i="20"/>
  <c r="AK115" i="28" s="1"/>
  <c r="AC115" s="1"/>
  <c r="I26" i="27"/>
  <c r="M44"/>
  <c r="I133" i="28"/>
  <c r="M63" i="27"/>
  <c r="P63" s="1"/>
  <c r="I191" i="28"/>
  <c r="I205"/>
  <c r="M81" i="27"/>
  <c r="M84"/>
  <c r="I210" i="28"/>
  <c r="AE217"/>
  <c r="AA217"/>
  <c r="AC217"/>
  <c r="G182" i="20"/>
  <c r="N183" i="2"/>
  <c r="G34" i="20"/>
  <c r="G104" i="2"/>
  <c r="F104" s="1"/>
  <c r="G16" i="28"/>
  <c r="BQ16" i="11"/>
  <c r="DD16"/>
  <c r="AR16"/>
  <c r="CE16"/>
  <c r="S16"/>
  <c r="BB16"/>
  <c r="CS16"/>
  <c r="AG16"/>
  <c r="BT16"/>
  <c r="DG16"/>
  <c r="AU16"/>
  <c r="CD16"/>
  <c r="R16"/>
  <c r="BI16"/>
  <c r="CV16"/>
  <c r="AJ16"/>
  <c r="BW16"/>
  <c r="DF16"/>
  <c r="AT16"/>
  <c r="BU16"/>
  <c r="DH16"/>
  <c r="AV16"/>
  <c r="CW16"/>
  <c r="U16"/>
  <c r="AB16"/>
  <c r="AY16"/>
  <c r="BR16"/>
  <c r="CC16"/>
  <c r="CZ16"/>
  <c r="X16"/>
  <c r="AE16"/>
  <c r="AX16"/>
  <c r="BY16"/>
  <c r="CF16"/>
  <c r="DC16"/>
  <c r="AA16"/>
  <c r="AD16"/>
  <c r="AO16"/>
  <c r="BL16"/>
  <c r="CI16"/>
  <c r="W16"/>
  <c r="BF16"/>
  <c r="BA16"/>
  <c r="BX16"/>
  <c r="CU16"/>
  <c r="CX16"/>
  <c r="V16"/>
  <c r="AW16"/>
  <c r="BD16"/>
  <c r="CA16"/>
  <c r="CT16"/>
  <c r="DE16"/>
  <c r="AC16"/>
  <c r="AZ16"/>
  <c r="BG16"/>
  <c r="BZ16"/>
  <c r="CK16"/>
  <c r="CR16"/>
  <c r="O16"/>
  <c r="M16" i="28" s="1"/>
  <c r="BC16" i="11"/>
  <c r="CL16"/>
  <c r="Z16"/>
  <c r="AK16"/>
  <c r="BO16"/>
  <c r="DI16"/>
  <c r="AN16"/>
  <c r="BN16"/>
  <c r="DL16"/>
  <c r="AQ16"/>
  <c r="BE16"/>
  <c r="CY16"/>
  <c r="BV16"/>
  <c r="G122" i="20"/>
  <c r="N121" i="2"/>
  <c r="I36" i="27"/>
  <c r="K36"/>
  <c r="G34"/>
  <c r="K53" i="20"/>
  <c r="AI125" i="28" s="1"/>
  <c r="R50" i="20"/>
  <c r="G36" i="27"/>
  <c r="I33"/>
  <c r="R52" i="20"/>
  <c r="M50"/>
  <c r="AK122" i="28" s="1"/>
  <c r="K34" i="27"/>
  <c r="K51" i="20"/>
  <c r="AI123" i="28" s="1"/>
  <c r="AA123" s="1"/>
  <c r="I50" i="20"/>
  <c r="AG122" i="28" s="1"/>
  <c r="I35" i="27"/>
  <c r="O53" i="20"/>
  <c r="AM125" i="28" s="1"/>
  <c r="I103"/>
  <c r="M14" i="27"/>
  <c r="O66"/>
  <c r="G168" i="2"/>
  <c r="F168" s="1"/>
  <c r="K162" i="20" s="1"/>
  <c r="G93"/>
  <c r="H31" i="11"/>
  <c r="G31" s="1"/>
  <c r="H15"/>
  <c r="G15" s="1"/>
  <c r="N88" i="2"/>
  <c r="G87" i="20" s="1"/>
  <c r="AM211" i="28"/>
  <c r="AE211" s="1"/>
  <c r="O165" i="20"/>
  <c r="AM209" i="28" s="1"/>
  <c r="AM207" s="1"/>
  <c r="K165" i="20"/>
  <c r="AI209" i="28" s="1"/>
  <c r="AI207" s="1"/>
  <c r="AI210"/>
  <c r="G28" i="20"/>
  <c r="N21" i="2"/>
  <c r="G17" i="20" s="1"/>
  <c r="O59" i="27"/>
  <c r="N59"/>
  <c r="P59"/>
  <c r="K27"/>
  <c r="G27"/>
  <c r="K43" i="20"/>
  <c r="AI116" i="28" s="1"/>
  <c r="AA116" s="1"/>
  <c r="J27" i="27"/>
  <c r="O43" i="20"/>
  <c r="AM116" i="28" s="1"/>
  <c r="AE116" s="1"/>
  <c r="I27" i="27"/>
  <c r="M43" i="20"/>
  <c r="AK116" i="28" s="1"/>
  <c r="AC116" s="1"/>
  <c r="J29" i="27"/>
  <c r="O45" i="20"/>
  <c r="AM118" i="28" s="1"/>
  <c r="I29" i="27"/>
  <c r="M45" i="20"/>
  <c r="AK118" i="28" s="1"/>
  <c r="L29" i="27"/>
  <c r="K29"/>
  <c r="R45" i="20"/>
  <c r="N49" i="27"/>
  <c r="Q49"/>
  <c r="M69"/>
  <c r="I194" i="28"/>
  <c r="M82" i="20"/>
  <c r="O82"/>
  <c r="K82"/>
  <c r="I82"/>
  <c r="AE210" i="28"/>
  <c r="G26"/>
  <c r="CO26" i="11"/>
  <c r="AC26"/>
  <c r="BP26"/>
  <c r="DC26"/>
  <c r="AQ26"/>
  <c r="BZ26"/>
  <c r="DA26"/>
  <c r="AO26"/>
  <c r="CB26"/>
  <c r="O26"/>
  <c r="M26" i="28" s="1"/>
  <c r="BC26" i="11"/>
  <c r="CL26"/>
  <c r="Z26"/>
  <c r="BQ26"/>
  <c r="DD26"/>
  <c r="AR26"/>
  <c r="CE26"/>
  <c r="S26"/>
  <c r="BB26"/>
  <c r="CS26"/>
  <c r="AG26"/>
  <c r="BT26"/>
  <c r="DG26"/>
  <c r="AU26"/>
  <c r="CD26"/>
  <c r="R26"/>
  <c r="G41" i="28"/>
  <c r="CG41" i="11"/>
  <c r="U41"/>
  <c r="BH41"/>
  <c r="CU41"/>
  <c r="AI41"/>
  <c r="BR41"/>
  <c r="DI41"/>
  <c r="AW41"/>
  <c r="CJ41"/>
  <c r="X41"/>
  <c r="BK41"/>
  <c r="CT41"/>
  <c r="AH41"/>
  <c r="BY41"/>
  <c r="DL41"/>
  <c r="AZ41"/>
  <c r="CM41"/>
  <c r="AA41"/>
  <c r="BJ41"/>
  <c r="CK41"/>
  <c r="Y41"/>
  <c r="BL41"/>
  <c r="CY41"/>
  <c r="AM41"/>
  <c r="BV41"/>
  <c r="G29" i="28"/>
  <c r="BY29" i="11"/>
  <c r="DL29"/>
  <c r="AZ29"/>
  <c r="CM29"/>
  <c r="AA29"/>
  <c r="BJ29"/>
  <c r="CK29"/>
  <c r="Y29"/>
  <c r="BL29"/>
  <c r="BC29"/>
  <c r="CL29"/>
  <c r="Z29"/>
  <c r="BQ29"/>
  <c r="DD29"/>
  <c r="AR29"/>
  <c r="CE29"/>
  <c r="S29"/>
  <c r="BB29"/>
  <c r="CS29"/>
  <c r="AG29"/>
  <c r="BT29"/>
  <c r="DG29"/>
  <c r="AU29"/>
  <c r="CD29"/>
  <c r="R29"/>
  <c r="R43" i="20"/>
  <c r="I45"/>
  <c r="AG118" i="28" s="1"/>
  <c r="H29" i="27"/>
  <c r="I185" i="28"/>
  <c r="AE141"/>
  <c r="AI106"/>
  <c r="K29" i="20"/>
  <c r="AI105" i="28" s="1"/>
  <c r="I15" i="27"/>
  <c r="R27" i="20"/>
  <c r="J14" i="27"/>
  <c r="L12"/>
  <c r="R25" i="20"/>
  <c r="K24"/>
  <c r="AI101" i="28" s="1"/>
  <c r="AA101" s="1"/>
  <c r="K10" i="27"/>
  <c r="G10"/>
  <c r="I9"/>
  <c r="K8"/>
  <c r="G8"/>
  <c r="O22" i="20"/>
  <c r="AM99" i="28" s="1"/>
  <c r="AE99" s="1"/>
  <c r="R21" i="20"/>
  <c r="I21"/>
  <c r="AG98" i="28" s="1"/>
  <c r="K20" i="20"/>
  <c r="AI97" i="28" s="1"/>
  <c r="AC210"/>
  <c r="G64" i="2"/>
  <c r="F64" s="1"/>
  <c r="I44" i="27" s="1"/>
  <c r="AA141" i="28"/>
  <c r="R36" i="20"/>
  <c r="K22" i="27"/>
  <c r="K68" i="20"/>
  <c r="AI138" i="28" s="1"/>
  <c r="AC211"/>
  <c r="M60" i="27"/>
  <c r="N103" i="2"/>
  <c r="AK82" i="28"/>
  <c r="AC82" s="1"/>
  <c r="AK72"/>
  <c r="AC72" s="1"/>
  <c r="AK7"/>
  <c r="AC7" s="1"/>
  <c r="G27"/>
  <c r="CM27" i="11"/>
  <c r="BG27"/>
  <c r="AA27"/>
  <c r="CP27"/>
  <c r="BJ27"/>
  <c r="AD27"/>
  <c r="CW27"/>
  <c r="BQ27"/>
  <c r="AK27"/>
  <c r="DD27"/>
  <c r="BX27"/>
  <c r="AR27"/>
  <c r="CY27"/>
  <c r="BS27"/>
  <c r="AM27"/>
  <c r="DB27"/>
  <c r="BV27"/>
  <c r="AP27"/>
  <c r="DI27"/>
  <c r="CC27"/>
  <c r="AW27"/>
  <c r="Q27"/>
  <c r="CJ27"/>
  <c r="BD27"/>
  <c r="X27"/>
  <c r="CU27"/>
  <c r="BO27"/>
  <c r="AI27"/>
  <c r="CX27"/>
  <c r="BR27"/>
  <c r="AL27"/>
  <c r="DE27"/>
  <c r="BY27"/>
  <c r="AS27"/>
  <c r="DL27"/>
  <c r="CF27"/>
  <c r="AZ27"/>
  <c r="T27"/>
  <c r="CQ27"/>
  <c r="BK27"/>
  <c r="AE27"/>
  <c r="CT27"/>
  <c r="BN27"/>
  <c r="AH27"/>
  <c r="DA27"/>
  <c r="BU27"/>
  <c r="AO27"/>
  <c r="DH27"/>
  <c r="CB27"/>
  <c r="AV27"/>
  <c r="O27"/>
  <c r="M27" i="28" s="1"/>
  <c r="DC27" i="11"/>
  <c r="BW27"/>
  <c r="AQ27"/>
  <c r="DF27"/>
  <c r="BZ27"/>
  <c r="AT27"/>
  <c r="DM27"/>
  <c r="CG27"/>
  <c r="BA27"/>
  <c r="U27"/>
  <c r="CN27"/>
  <c r="BH27"/>
  <c r="AB27"/>
  <c r="CI27"/>
  <c r="BC27"/>
  <c r="W27"/>
  <c r="CL27"/>
  <c r="BF27"/>
  <c r="Z27"/>
  <c r="CS27"/>
  <c r="BM27"/>
  <c r="AG27"/>
  <c r="CZ27"/>
  <c r="BT27"/>
  <c r="AN27"/>
  <c r="DK27"/>
  <c r="CE27"/>
  <c r="AY27"/>
  <c r="S27"/>
  <c r="CH27"/>
  <c r="BB27"/>
  <c r="V27"/>
  <c r="CO27"/>
  <c r="BI27"/>
  <c r="AC27"/>
  <c r="CV27"/>
  <c r="BP27"/>
  <c r="AJ27"/>
  <c r="DG27"/>
  <c r="CA27"/>
  <c r="AU27"/>
  <c r="DJ27"/>
  <c r="CD27"/>
  <c r="AX27"/>
  <c r="R27"/>
  <c r="CK27"/>
  <c r="BE27"/>
  <c r="Y27"/>
  <c r="CR27"/>
  <c r="BL27"/>
  <c r="AF27"/>
  <c r="N188" i="2"/>
  <c r="G188" i="20"/>
  <c r="M22" i="27"/>
  <c r="P22" s="1"/>
  <c r="M15"/>
  <c r="O15" s="1"/>
  <c r="I114" i="28"/>
  <c r="I156" i="20"/>
  <c r="AG198" i="28" s="1"/>
  <c r="M19" i="27"/>
  <c r="O19" s="1"/>
  <c r="AA211" i="28"/>
  <c r="P30" i="27"/>
  <c r="AK114" i="28"/>
  <c r="I122"/>
  <c r="O35" i="27"/>
  <c r="M10"/>
  <c r="R10" s="1"/>
  <c r="N26"/>
  <c r="M156" i="20"/>
  <c r="AK198" i="28" s="1"/>
  <c r="I19" i="20"/>
  <c r="AG96" i="28" s="1"/>
  <c r="M27" i="27"/>
  <c r="R27" s="1"/>
  <c r="K156" i="20"/>
  <c r="AI198" i="28" s="1"/>
  <c r="O156" i="20"/>
  <c r="AM198" i="28" s="1"/>
  <c r="I168" i="20"/>
  <c r="AG214" i="28" s="1"/>
  <c r="AG212" s="1"/>
  <c r="I140"/>
  <c r="Y104"/>
  <c r="G119" i="20"/>
  <c r="N112" i="2"/>
  <c r="N133"/>
  <c r="N132" s="1"/>
  <c r="G133" i="20"/>
  <c r="G168"/>
  <c r="N166" i="2"/>
  <c r="G128" i="20"/>
  <c r="N128" i="2"/>
  <c r="G127" i="20" s="1"/>
  <c r="G24" i="28"/>
  <c r="DM24" i="11"/>
  <c r="CG24"/>
  <c r="BA24"/>
  <c r="U24"/>
  <c r="CN24"/>
  <c r="BH24"/>
  <c r="AB24"/>
  <c r="CU24"/>
  <c r="BO24"/>
  <c r="AI24"/>
  <c r="CX24"/>
  <c r="BR24"/>
  <c r="AL24"/>
  <c r="DI24"/>
  <c r="CC24"/>
  <c r="AW24"/>
  <c r="Q24"/>
  <c r="G13" i="28"/>
  <c r="CQ13" i="11"/>
  <c r="BK13"/>
  <c r="AE13"/>
  <c r="CT13"/>
  <c r="BN13"/>
  <c r="AH13"/>
  <c r="DA13"/>
  <c r="BU13"/>
  <c r="AO13"/>
  <c r="DH13"/>
  <c r="CB13"/>
  <c r="AV13"/>
  <c r="O13"/>
  <c r="M13" i="28" s="1"/>
  <c r="DC13" i="11"/>
  <c r="BW13"/>
  <c r="AQ13"/>
  <c r="DF13"/>
  <c r="BZ13"/>
  <c r="AT13"/>
  <c r="DM13"/>
  <c r="CG13"/>
  <c r="BA13"/>
  <c r="U13"/>
  <c r="CN13"/>
  <c r="BH13"/>
  <c r="AB13"/>
  <c r="CI13"/>
  <c r="BC13"/>
  <c r="W13"/>
  <c r="CL13"/>
  <c r="BF13"/>
  <c r="Z13"/>
  <c r="CS13"/>
  <c r="BM13"/>
  <c r="AG13"/>
  <c r="CZ13"/>
  <c r="BT13"/>
  <c r="AN13"/>
  <c r="DK13"/>
  <c r="CE13"/>
  <c r="AY13"/>
  <c r="S13"/>
  <c r="CH13"/>
  <c r="BB13"/>
  <c r="V13"/>
  <c r="CO13"/>
  <c r="BI13"/>
  <c r="AC13"/>
  <c r="CV13"/>
  <c r="BP13"/>
  <c r="AJ13"/>
  <c r="AE101" i="28"/>
  <c r="G144" i="2"/>
  <c r="F144" s="1"/>
  <c r="P51" i="27"/>
  <c r="R51"/>
  <c r="G96" i="9"/>
  <c r="M40" i="27" s="1"/>
  <c r="G95" i="9"/>
  <c r="M39" i="27" s="1"/>
  <c r="G93" i="9"/>
  <c r="I125" i="28" s="1"/>
  <c r="G162" i="9"/>
  <c r="I195" i="28" s="1"/>
  <c r="AE195" s="1"/>
  <c r="G163" i="9"/>
  <c r="M73" i="27" s="1"/>
  <c r="I44" i="20"/>
  <c r="AG117" i="28" s="1"/>
  <c r="K44" i="20"/>
  <c r="M44"/>
  <c r="AK117" i="28" s="1"/>
  <c r="AC117" s="1"/>
  <c r="O44" i="20"/>
  <c r="K36"/>
  <c r="AI111" i="28" s="1"/>
  <c r="AA111" s="1"/>
  <c r="O36" i="20"/>
  <c r="AM111" i="28" s="1"/>
  <c r="AE111" s="1"/>
  <c r="K50" i="20"/>
  <c r="O50"/>
  <c r="I51"/>
  <c r="M51"/>
  <c r="R51"/>
  <c r="I52"/>
  <c r="AG124" i="28" s="1"/>
  <c r="K52" i="20"/>
  <c r="AI124" i="28" s="1"/>
  <c r="AA124" s="1"/>
  <c r="M52" i="20"/>
  <c r="AK124" i="28" s="1"/>
  <c r="O52" i="20"/>
  <c r="AM124" i="28" s="1"/>
  <c r="I53" i="20"/>
  <c r="AG125" i="28" s="1"/>
  <c r="M53" i="20"/>
  <c r="AK125" i="28" s="1"/>
  <c r="R53" i="20"/>
  <c r="G56" i="2"/>
  <c r="F56" s="1"/>
  <c r="H28" i="27"/>
  <c r="J28"/>
  <c r="G33"/>
  <c r="K33"/>
  <c r="I34"/>
  <c r="G35"/>
  <c r="K35"/>
  <c r="M27" i="20"/>
  <c r="AK104" i="28" s="1"/>
  <c r="AC104" s="1"/>
  <c r="AA136"/>
  <c r="Y141"/>
  <c r="M33" i="27"/>
  <c r="Q33" s="1"/>
  <c r="G97" i="9"/>
  <c r="I130" i="28" s="1"/>
  <c r="M34" i="27"/>
  <c r="P85"/>
  <c r="O172" i="20"/>
  <c r="AM218" i="28" s="1"/>
  <c r="G184" i="9"/>
  <c r="I220" i="28" s="1"/>
  <c r="AC220" s="1"/>
  <c r="AK75"/>
  <c r="AC75" s="1"/>
  <c r="AC74" s="1"/>
  <c r="O93" i="27"/>
  <c r="AK79" i="28"/>
  <c r="AC79" s="1"/>
  <c r="O49" i="27"/>
  <c r="Q50"/>
  <c r="N85"/>
  <c r="R93"/>
  <c r="Y117" i="28"/>
  <c r="R49" i="27"/>
  <c r="P49"/>
  <c r="R50"/>
  <c r="P50"/>
  <c r="O23"/>
  <c r="O85"/>
  <c r="R85"/>
  <c r="N93"/>
  <c r="P14"/>
  <c r="N30"/>
  <c r="R30"/>
  <c r="AC136" i="28"/>
  <c r="AC141"/>
  <c r="Q25" i="27"/>
  <c r="N46"/>
  <c r="P46"/>
  <c r="R26"/>
  <c r="P26"/>
  <c r="AG66" i="28"/>
  <c r="Y66" s="1"/>
  <c r="AK84"/>
  <c r="AC84" s="1"/>
  <c r="Y99"/>
  <c r="P25" i="27"/>
  <c r="R45"/>
  <c r="AK10" i="28"/>
  <c r="AC10" s="1"/>
  <c r="AA97"/>
  <c r="AE97"/>
  <c r="Y97"/>
  <c r="N45" i="27"/>
  <c r="O28"/>
  <c r="Q24"/>
  <c r="Y112" i="28"/>
  <c r="O51" i="27"/>
  <c r="AG12" i="28"/>
  <c r="Y12" s="1"/>
  <c r="O13" i="27"/>
  <c r="Q15"/>
  <c r="P45"/>
  <c r="Q28"/>
  <c r="O24"/>
  <c r="O12"/>
  <c r="O30"/>
  <c r="Q45"/>
  <c r="Q26"/>
  <c r="Y115" i="28"/>
  <c r="AE4"/>
  <c r="O17" i="13" s="1"/>
  <c r="AM74" i="28"/>
  <c r="AE75"/>
  <c r="K21" i="29"/>
  <c r="S5"/>
  <c r="S10"/>
  <c r="S15"/>
  <c r="S20"/>
  <c r="S27"/>
  <c r="S32"/>
  <c r="K32"/>
  <c r="K30"/>
  <c r="K27"/>
  <c r="K24"/>
  <c r="K20"/>
  <c r="K18"/>
  <c r="K15"/>
  <c r="K10"/>
  <c r="K8"/>
  <c r="K4"/>
  <c r="S21"/>
  <c r="S8"/>
  <c r="S13"/>
  <c r="S18"/>
  <c r="S24"/>
  <c r="S30"/>
  <c r="S4"/>
  <c r="L31"/>
  <c r="L28"/>
  <c r="L25"/>
  <c r="L23"/>
  <c r="L19"/>
  <c r="L17"/>
  <c r="K13"/>
  <c r="L9"/>
  <c r="K5"/>
  <c r="AK5" i="28"/>
  <c r="AM80"/>
  <c r="AG70"/>
  <c r="Y71"/>
  <c r="Y70" s="1"/>
  <c r="Y84"/>
  <c r="AC85"/>
  <c r="AG80"/>
  <c r="Y81"/>
  <c r="Y80" s="1"/>
  <c r="AC66"/>
  <c r="AE72"/>
  <c r="AM70"/>
  <c r="AE86"/>
  <c r="AM83"/>
  <c r="AG4"/>
  <c r="Y5"/>
  <c r="Y4" s="1"/>
  <c r="Y67"/>
  <c r="Y10"/>
  <c r="AM9"/>
  <c r="AE10"/>
  <c r="AE9" s="1"/>
  <c r="AM65"/>
  <c r="AG76"/>
  <c r="AG69"/>
  <c r="Y69" s="1"/>
  <c r="AG73"/>
  <c r="Y73" s="1"/>
  <c r="AK67"/>
  <c r="AC67" s="1"/>
  <c r="AK11"/>
  <c r="AK87"/>
  <c r="AC87" s="1"/>
  <c r="AG86"/>
  <c r="Y86" s="1"/>
  <c r="AK68"/>
  <c r="AC68" s="1"/>
  <c r="AK81"/>
  <c r="AG85"/>
  <c r="Y85" s="1"/>
  <c r="AK28"/>
  <c r="AC28" s="1"/>
  <c r="AK78"/>
  <c r="AC78" s="1"/>
  <c r="AK77"/>
  <c r="AC77" s="1"/>
  <c r="AK71"/>
  <c r="AE81"/>
  <c r="AE80" s="1"/>
  <c r="AM4"/>
  <c r="H30" i="11"/>
  <c r="G30" s="1"/>
  <c r="N81" i="2"/>
  <c r="G86" i="20"/>
  <c r="H14" i="11"/>
  <c r="G14" s="1"/>
  <c r="G44" i="27"/>
  <c r="L14"/>
  <c r="H14"/>
  <c r="G14"/>
  <c r="L13"/>
  <c r="J13"/>
  <c r="I13"/>
  <c r="H13"/>
  <c r="G13"/>
  <c r="K12"/>
  <c r="J12"/>
  <c r="I12"/>
  <c r="R26" i="20"/>
  <c r="M26"/>
  <c r="AK103" i="28" s="1"/>
  <c r="I26" i="20"/>
  <c r="AG103" i="28" s="1"/>
  <c r="O25" i="20"/>
  <c r="K25"/>
  <c r="R24"/>
  <c r="M24"/>
  <c r="I24"/>
  <c r="L70" i="27"/>
  <c r="K69"/>
  <c r="J69"/>
  <c r="I69"/>
  <c r="H69"/>
  <c r="R149" i="20"/>
  <c r="M149"/>
  <c r="I149"/>
  <c r="O148"/>
  <c r="K148"/>
  <c r="G69" i="27"/>
  <c r="K70"/>
  <c r="J70"/>
  <c r="I70"/>
  <c r="H70"/>
  <c r="G70"/>
  <c r="L69"/>
  <c r="O149" i="20"/>
  <c r="K149"/>
  <c r="R148"/>
  <c r="M148"/>
  <c r="I148"/>
  <c r="M152"/>
  <c r="I152"/>
  <c r="O153"/>
  <c r="K152"/>
  <c r="O152"/>
  <c r="I153"/>
  <c r="M153"/>
  <c r="L74" i="27"/>
  <c r="I74"/>
  <c r="G73"/>
  <c r="K74"/>
  <c r="G74"/>
  <c r="I73"/>
  <c r="J74"/>
  <c r="H73"/>
  <c r="K73"/>
  <c r="R153" i="20"/>
  <c r="K153"/>
  <c r="R152"/>
  <c r="H74" i="27"/>
  <c r="J73"/>
  <c r="L73"/>
  <c r="H32" i="11"/>
  <c r="G32" s="1"/>
  <c r="N95" i="2"/>
  <c r="G94" i="20" s="1"/>
  <c r="G99"/>
  <c r="K30" i="27"/>
  <c r="J30"/>
  <c r="I30"/>
  <c r="H30"/>
  <c r="G30"/>
  <c r="R47" i="20"/>
  <c r="M47"/>
  <c r="AK119" i="28" s="1"/>
  <c r="AC119" s="1"/>
  <c r="K47" i="20"/>
  <c r="AI119" i="28" s="1"/>
  <c r="AA119" s="1"/>
  <c r="I47" i="20"/>
  <c r="AG119" i="28" s="1"/>
  <c r="Y119" s="1"/>
  <c r="L30" i="27"/>
  <c r="O47" i="20"/>
  <c r="AM119" i="28" s="1"/>
  <c r="AE119" s="1"/>
  <c r="L60" i="27"/>
  <c r="K59"/>
  <c r="J59"/>
  <c r="I59"/>
  <c r="H59"/>
  <c r="O137" i="20"/>
  <c r="K137"/>
  <c r="R136"/>
  <c r="M136"/>
  <c r="I136"/>
  <c r="G59" i="27"/>
  <c r="K60"/>
  <c r="J60"/>
  <c r="I60"/>
  <c r="H60"/>
  <c r="G60"/>
  <c r="L59"/>
  <c r="R137" i="20"/>
  <c r="M137"/>
  <c r="I137"/>
  <c r="O136"/>
  <c r="K136"/>
  <c r="G143"/>
  <c r="N144" i="2"/>
  <c r="R25" i="27"/>
  <c r="O25"/>
  <c r="P17"/>
  <c r="N17"/>
  <c r="H20" i="11"/>
  <c r="G20" s="1"/>
  <c r="O17" i="27"/>
  <c r="Q17"/>
  <c r="R17"/>
  <c r="M9"/>
  <c r="I98" i="28"/>
  <c r="K40" i="20"/>
  <c r="O40"/>
  <c r="G25" i="27"/>
  <c r="I25"/>
  <c r="K25"/>
  <c r="M8"/>
  <c r="R23"/>
  <c r="R28"/>
  <c r="P28"/>
  <c r="R24"/>
  <c r="P24"/>
  <c r="K11" i="20"/>
  <c r="K7" s="1"/>
  <c r="L45" i="27"/>
  <c r="J45"/>
  <c r="H45"/>
  <c r="R64" i="20"/>
  <c r="K64"/>
  <c r="AI134" i="28" s="1"/>
  <c r="I64" i="20"/>
  <c r="AG134" i="28" s="1"/>
  <c r="L18" i="27"/>
  <c r="J18"/>
  <c r="H18"/>
  <c r="R31" i="20"/>
  <c r="L22" i="27"/>
  <c r="J22"/>
  <c r="H22"/>
  <c r="M168" i="20"/>
  <c r="AK214" i="28" s="1"/>
  <c r="AK212" s="1"/>
  <c r="AI216"/>
  <c r="AA216" s="1"/>
  <c r="K168" i="20"/>
  <c r="AI214" i="28" s="1"/>
  <c r="AI212" s="1"/>
  <c r="K88" i="27"/>
  <c r="I88"/>
  <c r="G88"/>
  <c r="O170" i="20"/>
  <c r="O68"/>
  <c r="H49" i="27"/>
  <c r="L49"/>
  <c r="L15"/>
  <c r="J15"/>
  <c r="H15"/>
  <c r="O27" i="20"/>
  <c r="AM104" i="28" s="1"/>
  <c r="AE104" s="1"/>
  <c r="K27" i="20"/>
  <c r="AI104" i="28" s="1"/>
  <c r="AA104" s="1"/>
  <c r="K112" i="11"/>
  <c r="I135" i="28"/>
  <c r="K111" i="11"/>
  <c r="I134" i="28"/>
  <c r="M113" i="11"/>
  <c r="L93" i="27"/>
  <c r="J93"/>
  <c r="H93"/>
  <c r="R175" i="20"/>
  <c r="K138" i="11"/>
  <c r="K147"/>
  <c r="K132"/>
  <c r="K140"/>
  <c r="K145"/>
  <c r="K126"/>
  <c r="I106" i="28"/>
  <c r="I107"/>
  <c r="M18" i="27"/>
  <c r="N35"/>
  <c r="P35"/>
  <c r="M11" i="20"/>
  <c r="M7" s="1"/>
  <c r="I11"/>
  <c r="I7" s="1"/>
  <c r="L36" i="27"/>
  <c r="J36"/>
  <c r="H36"/>
  <c r="L35"/>
  <c r="J35"/>
  <c r="H35"/>
  <c r="L34"/>
  <c r="J34"/>
  <c r="H34"/>
  <c r="L33"/>
  <c r="J33"/>
  <c r="H33"/>
  <c r="K49"/>
  <c r="I49"/>
  <c r="R68" i="20"/>
  <c r="M68"/>
  <c r="I68"/>
  <c r="G71" i="2"/>
  <c r="F71" s="1"/>
  <c r="K115" i="11"/>
  <c r="M52" i="27"/>
  <c r="K113" i="11"/>
  <c r="M47" i="27"/>
  <c r="N67" i="11"/>
  <c r="M67"/>
  <c r="K107"/>
  <c r="M38" i="27"/>
  <c r="R35"/>
  <c r="M56"/>
  <c r="I184" i="28"/>
  <c r="K117" i="11"/>
  <c r="I143" i="28"/>
  <c r="K161" i="11"/>
  <c r="I187" i="28"/>
  <c r="H105" i="6"/>
  <c r="G105" s="1"/>
  <c r="H68" i="11" s="1"/>
  <c r="G68" s="1"/>
  <c r="K73" i="19"/>
  <c r="J73" s="1"/>
  <c r="K81" s="1"/>
  <c r="J81" s="1"/>
  <c r="G23" i="16"/>
  <c r="K83" i="19" s="1"/>
  <c r="J83" s="1"/>
  <c r="G21" i="16"/>
  <c r="K71" i="27"/>
  <c r="G71"/>
  <c r="J71"/>
  <c r="R150" i="20"/>
  <c r="K150"/>
  <c r="I150"/>
  <c r="I71" i="27"/>
  <c r="H71"/>
  <c r="M150" i="20"/>
  <c r="H183" i="9"/>
  <c r="G183" s="1"/>
  <c r="K173" i="20"/>
  <c r="I91" i="27"/>
  <c r="M173" i="20"/>
  <c r="H91" i="27"/>
  <c r="L91"/>
  <c r="K91"/>
  <c r="I173" i="20"/>
  <c r="J91" i="27"/>
  <c r="M89"/>
  <c r="M87"/>
  <c r="M70"/>
  <c r="I232" i="28"/>
  <c r="I230"/>
  <c r="I227"/>
  <c r="I225"/>
  <c r="K129" i="11"/>
  <c r="L21" i="29"/>
  <c r="L32"/>
  <c r="L27"/>
  <c r="L24"/>
  <c r="L20"/>
  <c r="L18"/>
  <c r="L10"/>
  <c r="L8"/>
  <c r="S7"/>
  <c r="S9"/>
  <c r="S12"/>
  <c r="S14"/>
  <c r="S17"/>
  <c r="S19"/>
  <c r="S23"/>
  <c r="S25"/>
  <c r="S28"/>
  <c r="S31"/>
  <c r="S33"/>
  <c r="K33"/>
  <c r="K31"/>
  <c r="K28"/>
  <c r="K25"/>
  <c r="K23"/>
  <c r="K19"/>
  <c r="K17"/>
  <c r="K14"/>
  <c r="K12"/>
  <c r="K9"/>
  <c r="K7"/>
  <c r="H44" i="8"/>
  <c r="G44" s="1"/>
  <c r="H45"/>
  <c r="G45" s="1"/>
  <c r="H96" i="6"/>
  <c r="G96" s="1"/>
  <c r="H66" i="11" s="1"/>
  <c r="G66" s="1"/>
  <c r="Q1" i="2"/>
  <c r="H62" i="4"/>
  <c r="G62" s="1"/>
  <c r="H58"/>
  <c r="G58" s="1"/>
  <c r="H57"/>
  <c r="G57" s="1"/>
  <c r="H56"/>
  <c r="G56" s="1"/>
  <c r="H18" i="1"/>
  <c r="G18" s="1"/>
  <c r="G42" i="2"/>
  <c r="F42" s="1"/>
  <c r="G103" i="20"/>
  <c r="G147"/>
  <c r="N152" i="2"/>
  <c r="G146" i="20" s="1"/>
  <c r="I110" i="28"/>
  <c r="K101" i="11"/>
  <c r="I95" i="28"/>
  <c r="I209"/>
  <c r="N51" i="27"/>
  <c r="Q51"/>
  <c r="K110" i="11"/>
  <c r="G137" i="2"/>
  <c r="F137" s="1"/>
  <c r="G134" s="1"/>
  <c r="F134" s="1"/>
  <c r="B45" i="29"/>
  <c r="C45"/>
  <c r="L71" i="27"/>
  <c r="AM219" i="28"/>
  <c r="H56" i="1"/>
  <c r="G56" s="1"/>
  <c r="H53"/>
  <c r="G53" s="1"/>
  <c r="H17" i="34"/>
  <c r="C39" i="29" s="1"/>
  <c r="F17" i="34"/>
  <c r="C41" i="29"/>
  <c r="I39" i="20" l="1"/>
  <c r="N37" i="2"/>
  <c r="AC209" i="28"/>
  <c r="AC207" s="1"/>
  <c r="R63" i="20"/>
  <c r="AE70" i="28"/>
  <c r="Y221"/>
  <c r="N66" i="27"/>
  <c r="AG114" i="28"/>
  <c r="K44" i="27"/>
  <c r="P29"/>
  <c r="N12"/>
  <c r="Q23"/>
  <c r="R13"/>
  <c r="P13"/>
  <c r="AC221" i="28"/>
  <c r="R66" i="27"/>
  <c r="R12"/>
  <c r="P23"/>
  <c r="AC103" i="28"/>
  <c r="AE83"/>
  <c r="P57" i="27"/>
  <c r="P12"/>
  <c r="N13"/>
  <c r="AE209" i="28"/>
  <c r="AE207" s="1"/>
  <c r="AE221"/>
  <c r="AC118"/>
  <c r="O22" i="27"/>
  <c r="F63" i="2"/>
  <c r="J44" i="27"/>
  <c r="O63" i="20"/>
  <c r="O62" s="1"/>
  <c r="P19" i="27"/>
  <c r="Q22"/>
  <c r="AA103" i="28"/>
  <c r="AA220"/>
  <c r="N19" i="27"/>
  <c r="N22"/>
  <c r="M63" i="20"/>
  <c r="M62" s="1"/>
  <c r="L44" i="27"/>
  <c r="K63" i="20"/>
  <c r="AI133" i="28" s="1"/>
  <c r="R29" i="27"/>
  <c r="O27"/>
  <c r="P27"/>
  <c r="O29"/>
  <c r="AC114" i="28"/>
  <c r="Y118"/>
  <c r="AE118"/>
  <c r="Y214"/>
  <c r="Y212" s="1"/>
  <c r="M236"/>
  <c r="O187" i="11"/>
  <c r="R19" i="27"/>
  <c r="H44"/>
  <c r="I63" i="20"/>
  <c r="AE74" i="28"/>
  <c r="Q19" i="27"/>
  <c r="Q27"/>
  <c r="R22"/>
  <c r="Q29"/>
  <c r="Y122" i="28"/>
  <c r="AC122"/>
  <c r="Y210"/>
  <c r="AA118"/>
  <c r="Q10" i="27"/>
  <c r="Q57"/>
  <c r="Y209" i="28"/>
  <c r="Y207" s="1"/>
  <c r="R65" i="27"/>
  <c r="O65"/>
  <c r="Q65"/>
  <c r="P65"/>
  <c r="N65"/>
  <c r="I129" i="28"/>
  <c r="I128"/>
  <c r="G132" i="20"/>
  <c r="I147"/>
  <c r="AG194" i="28" s="1"/>
  <c r="Y194" s="1"/>
  <c r="N10" i="27"/>
  <c r="O10"/>
  <c r="AE124" i="28"/>
  <c r="AA138"/>
  <c r="Y124"/>
  <c r="M147" i="20"/>
  <c r="AK194" i="28" s="1"/>
  <c r="AC194" s="1"/>
  <c r="AC124"/>
  <c r="AA210"/>
  <c r="AA209" s="1"/>
  <c r="AA207" s="1"/>
  <c r="AE103"/>
  <c r="J80" i="27"/>
  <c r="N76"/>
  <c r="Q76"/>
  <c r="P76"/>
  <c r="R76"/>
  <c r="O76"/>
  <c r="AA214" i="28"/>
  <c r="AA212" s="1"/>
  <c r="Y125"/>
  <c r="G189" i="20"/>
  <c r="P80" i="27"/>
  <c r="Q80"/>
  <c r="N80"/>
  <c r="O80"/>
  <c r="R80"/>
  <c r="N62" i="2"/>
  <c r="G61" i="20" s="1"/>
  <c r="G62"/>
  <c r="AE220" i="28"/>
  <c r="Y114"/>
  <c r="Y103"/>
  <c r="N15" i="27"/>
  <c r="M19" i="20"/>
  <c r="AK96" i="28" s="1"/>
  <c r="G195" i="20"/>
  <c r="AC214" i="28"/>
  <c r="AC212" s="1"/>
  <c r="R57" i="27"/>
  <c r="N57"/>
  <c r="K80"/>
  <c r="I162" i="20"/>
  <c r="M162"/>
  <c r="L80" i="27"/>
  <c r="R162" i="20"/>
  <c r="G169" i="2"/>
  <c r="F169" s="1"/>
  <c r="R14" i="27"/>
  <c r="N14"/>
  <c r="G33" i="20"/>
  <c r="O162"/>
  <c r="AM204" i="28" s="1"/>
  <c r="AE204" s="1"/>
  <c r="Q14" i="27"/>
  <c r="N63"/>
  <c r="P15"/>
  <c r="P69"/>
  <c r="Q69"/>
  <c r="N69"/>
  <c r="R69"/>
  <c r="O69"/>
  <c r="G15" i="28"/>
  <c r="BO15" i="11"/>
  <c r="CX15"/>
  <c r="AL15"/>
  <c r="BY15"/>
  <c r="DL15"/>
  <c r="AZ15"/>
  <c r="CQ15"/>
  <c r="AE15"/>
  <c r="BN15"/>
  <c r="DA15"/>
  <c r="AO15"/>
  <c r="CB15"/>
  <c r="O15"/>
  <c r="M15" i="28" s="1"/>
  <c r="BW15" i="11"/>
  <c r="DF15"/>
  <c r="AT15"/>
  <c r="CG15"/>
  <c r="U15"/>
  <c r="BH15"/>
  <c r="CI15"/>
  <c r="W15"/>
  <c r="BF15"/>
  <c r="CS15"/>
  <c r="AG15"/>
  <c r="BT15"/>
  <c r="CU15"/>
  <c r="S15"/>
  <c r="V15"/>
  <c r="AS15"/>
  <c r="BP15"/>
  <c r="CA15"/>
  <c r="CT15"/>
  <c r="R15"/>
  <c r="Y15"/>
  <c r="AV15"/>
  <c r="CM15"/>
  <c r="CP15"/>
  <c r="DM15"/>
  <c r="AK15"/>
  <c r="AR15"/>
  <c r="BC15"/>
  <c r="BV15"/>
  <c r="CC15"/>
  <c r="CZ15"/>
  <c r="X15"/>
  <c r="DK15"/>
  <c r="CH15"/>
  <c r="CO15"/>
  <c r="CF15"/>
  <c r="BK15"/>
  <c r="AX15"/>
  <c r="BE15"/>
  <c r="AF15"/>
  <c r="AQ15"/>
  <c r="AD15"/>
  <c r="DD15"/>
  <c r="CY15"/>
  <c r="CL15"/>
  <c r="BM15"/>
  <c r="BD15"/>
  <c r="CE15"/>
  <c r="BR15"/>
  <c r="BI15"/>
  <c r="AJ15"/>
  <c r="AU15"/>
  <c r="AH15"/>
  <c r="DH15"/>
  <c r="AA15"/>
  <c r="CW15"/>
  <c r="CN15"/>
  <c r="BS15"/>
  <c r="AP15"/>
  <c r="AW15"/>
  <c r="AN15"/>
  <c r="BB15"/>
  <c r="AC15"/>
  <c r="T15"/>
  <c r="DJ15"/>
  <c r="CK15"/>
  <c r="DC15"/>
  <c r="BZ15"/>
  <c r="BQ15"/>
  <c r="BX15"/>
  <c r="Z15"/>
  <c r="Q15"/>
  <c r="AY15"/>
  <c r="CR15"/>
  <c r="AM15"/>
  <c r="DG15"/>
  <c r="BG15"/>
  <c r="DB15"/>
  <c r="CV15"/>
  <c r="AI15"/>
  <c r="CD15"/>
  <c r="BJ15"/>
  <c r="DI15"/>
  <c r="DE15"/>
  <c r="BU15"/>
  <c r="BA15"/>
  <c r="CJ15"/>
  <c r="BL15"/>
  <c r="AB15"/>
  <c r="F170" i="2"/>
  <c r="P81" i="27"/>
  <c r="Q81"/>
  <c r="R81"/>
  <c r="O81"/>
  <c r="N81"/>
  <c r="P77"/>
  <c r="R77"/>
  <c r="O77"/>
  <c r="Q77"/>
  <c r="N77"/>
  <c r="R60"/>
  <c r="N60"/>
  <c r="P60"/>
  <c r="Q60"/>
  <c r="O60"/>
  <c r="H35" i="11"/>
  <c r="G35" s="1"/>
  <c r="H19"/>
  <c r="G19" s="1"/>
  <c r="G120" i="20"/>
  <c r="P84" i="27"/>
  <c r="Q84"/>
  <c r="O84"/>
  <c r="N84"/>
  <c r="R84"/>
  <c r="R63"/>
  <c r="O63"/>
  <c r="G11" i="13"/>
  <c r="G192" i="20"/>
  <c r="Q63" i="27"/>
  <c r="K135" i="20"/>
  <c r="AI186" i="28" s="1"/>
  <c r="AA186" s="1"/>
  <c r="O151" i="20"/>
  <c r="AM196" i="28" s="1"/>
  <c r="I80" i="27"/>
  <c r="P10"/>
  <c r="O14"/>
  <c r="N27"/>
  <c r="R15"/>
  <c r="AC125" i="28"/>
  <c r="O19" i="20"/>
  <c r="AM96" i="28" s="1"/>
  <c r="K19" i="20"/>
  <c r="AI96" i="28" s="1"/>
  <c r="G31"/>
  <c r="DM31" i="11"/>
  <c r="BA31"/>
  <c r="CN31"/>
  <c r="AB31"/>
  <c r="BO31"/>
  <c r="CX31"/>
  <c r="AL31"/>
  <c r="CC31"/>
  <c r="Q31"/>
  <c r="BD31"/>
  <c r="CQ31"/>
  <c r="AE31"/>
  <c r="BN31"/>
  <c r="DE31"/>
  <c r="AS31"/>
  <c r="CF31"/>
  <c r="T31"/>
  <c r="BG31"/>
  <c r="CP31"/>
  <c r="AD31"/>
  <c r="BE31"/>
  <c r="CR31"/>
  <c r="AF31"/>
  <c r="BS31"/>
  <c r="DB31"/>
  <c r="AP31"/>
  <c r="AK31"/>
  <c r="BH31"/>
  <c r="CE31"/>
  <c r="CH31"/>
  <c r="DI31"/>
  <c r="AG31"/>
  <c r="AN31"/>
  <c r="BK31"/>
  <c r="CD31"/>
  <c r="CO31"/>
  <c r="DL31"/>
  <c r="AJ31"/>
  <c r="AQ31"/>
  <c r="BJ31"/>
  <c r="BU31"/>
  <c r="CB31"/>
  <c r="CY31"/>
  <c r="W31"/>
  <c r="Z31"/>
  <c r="BQ31"/>
  <c r="AR31"/>
  <c r="AI31"/>
  <c r="V31"/>
  <c r="CZ31"/>
  <c r="DG31"/>
  <c r="CT31"/>
  <c r="BY31"/>
  <c r="BP31"/>
  <c r="BW31"/>
  <c r="AT31"/>
  <c r="Y31"/>
  <c r="O31"/>
  <c r="M31" i="28" s="1"/>
  <c r="CL31" i="11"/>
  <c r="U31"/>
  <c r="DK31"/>
  <c r="S31"/>
  <c r="CS31"/>
  <c r="CJ31"/>
  <c r="CA31"/>
  <c r="AX31"/>
  <c r="BI31"/>
  <c r="AZ31"/>
  <c r="AA31"/>
  <c r="DA31"/>
  <c r="DH31"/>
  <c r="CI31"/>
  <c r="BV31"/>
  <c r="DD31"/>
  <c r="CU31"/>
  <c r="BM31"/>
  <c r="BT31"/>
  <c r="AU31"/>
  <c r="AC31"/>
  <c r="DC31"/>
  <c r="DF31"/>
  <c r="BL31"/>
  <c r="BC31"/>
  <c r="BF31"/>
  <c r="CW31"/>
  <c r="BR31"/>
  <c r="AH31"/>
  <c r="CK31"/>
  <c r="BX31"/>
  <c r="X31"/>
  <c r="CM31"/>
  <c r="AM31"/>
  <c r="CG31"/>
  <c r="CV31"/>
  <c r="AY31"/>
  <c r="DJ31"/>
  <c r="BZ31"/>
  <c r="AV31"/>
  <c r="BB31"/>
  <c r="R31"/>
  <c r="AO31"/>
  <c r="AW31"/>
  <c r="G8" i="13"/>
  <c r="G178" i="20"/>
  <c r="N44" i="27"/>
  <c r="O44"/>
  <c r="P44"/>
  <c r="Q44"/>
  <c r="R44"/>
  <c r="AC200" i="28"/>
  <c r="AC198" s="1"/>
  <c r="Y200"/>
  <c r="Y198" s="1"/>
  <c r="AE200"/>
  <c r="AE198" s="1"/>
  <c r="AA200"/>
  <c r="AA198" s="1"/>
  <c r="H80" i="27"/>
  <c r="G80"/>
  <c r="G102" i="20"/>
  <c r="N101" i="2"/>
  <c r="M39" i="20"/>
  <c r="K103"/>
  <c r="O103"/>
  <c r="I103"/>
  <c r="M103"/>
  <c r="G9" i="13"/>
  <c r="G183" i="20"/>
  <c r="Y9" i="28"/>
  <c r="I18" i="13" s="1"/>
  <c r="Y220" i="28"/>
  <c r="M92" i="27"/>
  <c r="M41"/>
  <c r="R41" s="1"/>
  <c r="AC83" i="28"/>
  <c r="M22" i="13" s="1"/>
  <c r="AK74" i="28"/>
  <c r="P33" i="27"/>
  <c r="R33"/>
  <c r="O33"/>
  <c r="O39"/>
  <c r="P39"/>
  <c r="R39"/>
  <c r="Q39"/>
  <c r="N39"/>
  <c r="P73"/>
  <c r="O73"/>
  <c r="Q73"/>
  <c r="N73"/>
  <c r="R73"/>
  <c r="N40"/>
  <c r="R40"/>
  <c r="P40"/>
  <c r="O40"/>
  <c r="Q40"/>
  <c r="N33"/>
  <c r="O34"/>
  <c r="P34"/>
  <c r="Q34"/>
  <c r="N34"/>
  <c r="R34"/>
  <c r="L41"/>
  <c r="J41"/>
  <c r="H41"/>
  <c r="I41"/>
  <c r="L40"/>
  <c r="J40"/>
  <c r="H40"/>
  <c r="L39"/>
  <c r="J39"/>
  <c r="H39"/>
  <c r="L38"/>
  <c r="J38"/>
  <c r="H38"/>
  <c r="R58" i="20"/>
  <c r="O57"/>
  <c r="AM129" i="28" s="1"/>
  <c r="K57" i="20"/>
  <c r="AI129" i="28" s="1"/>
  <c r="O56" i="20"/>
  <c r="AM128" i="28" s="1"/>
  <c r="K56" i="20"/>
  <c r="AI128" i="28" s="1"/>
  <c r="AA128" s="1"/>
  <c r="R55" i="20"/>
  <c r="O55"/>
  <c r="K55"/>
  <c r="K41" i="27"/>
  <c r="G41"/>
  <c r="K40"/>
  <c r="I40"/>
  <c r="G40"/>
  <c r="K39"/>
  <c r="I39"/>
  <c r="G39"/>
  <c r="K38"/>
  <c r="I38"/>
  <c r="G38"/>
  <c r="O58" i="20"/>
  <c r="AM130" i="28" s="1"/>
  <c r="AE130" s="1"/>
  <c r="M58" i="20"/>
  <c r="AK130" i="28" s="1"/>
  <c r="AC130" s="1"/>
  <c r="K58" i="20"/>
  <c r="AI130" i="28" s="1"/>
  <c r="AA130" s="1"/>
  <c r="I58" i="20"/>
  <c r="AG130" i="28" s="1"/>
  <c r="Y130" s="1"/>
  <c r="R57" i="20"/>
  <c r="M57"/>
  <c r="AK129" i="28" s="1"/>
  <c r="AC129" s="1"/>
  <c r="I57" i="20"/>
  <c r="AG129" i="28" s="1"/>
  <c r="M56" i="20"/>
  <c r="AK128" i="28" s="1"/>
  <c r="R56" i="20"/>
  <c r="I56"/>
  <c r="AG128" i="28" s="1"/>
  <c r="Y128" s="1"/>
  <c r="M55" i="20"/>
  <c r="I55"/>
  <c r="AG123" i="28"/>
  <c r="Y123" s="1"/>
  <c r="I49" i="20"/>
  <c r="K49"/>
  <c r="AI122" i="28"/>
  <c r="AA122" s="1"/>
  <c r="M71" i="27"/>
  <c r="M36"/>
  <c r="I42" i="20"/>
  <c r="G160"/>
  <c r="H39" i="11"/>
  <c r="G39" s="1"/>
  <c r="H23"/>
  <c r="G23" s="1"/>
  <c r="G111" i="20"/>
  <c r="H18" i="11"/>
  <c r="G18" s="1"/>
  <c r="H34"/>
  <c r="G34" s="1"/>
  <c r="Q41" i="27"/>
  <c r="AK123" i="28"/>
  <c r="AC123" s="1"/>
  <c r="M49" i="20"/>
  <c r="AM122" i="28"/>
  <c r="AE122" s="1"/>
  <c r="O49" i="20"/>
  <c r="AM121" i="28" s="1"/>
  <c r="O42" i="20"/>
  <c r="AM117" i="28"/>
  <c r="AE117" s="1"/>
  <c r="K42" i="20"/>
  <c r="AI117" i="28"/>
  <c r="AA117" s="1"/>
  <c r="I196"/>
  <c r="M74" i="27"/>
  <c r="AA125" i="28"/>
  <c r="AE125"/>
  <c r="M42" i="20"/>
  <c r="J21" i="14"/>
  <c r="AG9" i="28"/>
  <c r="J11" i="14"/>
  <c r="AK83" i="28"/>
  <c r="AK4"/>
  <c r="AC5"/>
  <c r="AC4" s="1"/>
  <c r="M17" i="13" s="1"/>
  <c r="O22"/>
  <c r="J26" i="14"/>
  <c r="J16"/>
  <c r="K56" i="27"/>
  <c r="H56"/>
  <c r="O133" i="20"/>
  <c r="K133"/>
  <c r="G56" i="27"/>
  <c r="J56"/>
  <c r="I56"/>
  <c r="L56"/>
  <c r="R133" i="20"/>
  <c r="M133"/>
  <c r="I133"/>
  <c r="T21" i="29"/>
  <c r="T8"/>
  <c r="T18"/>
  <c r="T24"/>
  <c r="T10"/>
  <c r="T20"/>
  <c r="T27"/>
  <c r="T32"/>
  <c r="G151" i="2"/>
  <c r="F151" s="1"/>
  <c r="G84"/>
  <c r="F84" s="1"/>
  <c r="O30" i="29"/>
  <c r="O19"/>
  <c r="O10"/>
  <c r="O33"/>
  <c r="O23"/>
  <c r="O13"/>
  <c r="O4"/>
  <c r="O27"/>
  <c r="O17"/>
  <c r="O8"/>
  <c r="O25"/>
  <c r="O15"/>
  <c r="O14"/>
  <c r="O28"/>
  <c r="O9"/>
  <c r="O21"/>
  <c r="O31"/>
  <c r="O7"/>
  <c r="O5"/>
  <c r="O32"/>
  <c r="O20"/>
  <c r="O24"/>
  <c r="O18"/>
  <c r="O12"/>
  <c r="K9" i="19"/>
  <c r="J9" s="1"/>
  <c r="AU66" i="11"/>
  <c r="DG66"/>
  <c r="BT66"/>
  <c r="BW66"/>
  <c r="AG66"/>
  <c r="CS66"/>
  <c r="BF66"/>
  <c r="S66"/>
  <c r="DD66"/>
  <c r="BY66"/>
  <c r="AL66"/>
  <c r="CX66"/>
  <c r="BX66"/>
  <c r="W66"/>
  <c r="CI66"/>
  <c r="CB66"/>
  <c r="CU66"/>
  <c r="AO66"/>
  <c r="DA66"/>
  <c r="BN66"/>
  <c r="AQ66"/>
  <c r="U66"/>
  <c r="CG66"/>
  <c r="AT66"/>
  <c r="DF66"/>
  <c r="CN66"/>
  <c r="AF66"/>
  <c r="AY66"/>
  <c r="CK66"/>
  <c r="DJ66"/>
  <c r="BQ66"/>
  <c r="CP66"/>
  <c r="BK66"/>
  <c r="X66"/>
  <c r="CJ66"/>
  <c r="T66"/>
  <c r="AW66"/>
  <c r="DI66"/>
  <c r="BV66"/>
  <c r="BO66"/>
  <c r="AC66"/>
  <c r="CO66"/>
  <c r="BB66"/>
  <c r="AI66"/>
  <c r="BS66"/>
  <c r="CR66"/>
  <c r="BE66"/>
  <c r="CD66"/>
  <c r="AK66"/>
  <c r="BJ66"/>
  <c r="G60" i="28"/>
  <c r="CA66" i="11"/>
  <c r="CZ66"/>
  <c r="BM66"/>
  <c r="CL66"/>
  <c r="AS66"/>
  <c r="BR66"/>
  <c r="BG66"/>
  <c r="O66"/>
  <c r="DH66"/>
  <c r="BU66"/>
  <c r="CT66"/>
  <c r="BA66"/>
  <c r="BZ66"/>
  <c r="AM66"/>
  <c r="Y66"/>
  <c r="CF66"/>
  <c r="AE66"/>
  <c r="BD66"/>
  <c r="Q66"/>
  <c r="AP66"/>
  <c r="BH66"/>
  <c r="V66"/>
  <c r="AB66"/>
  <c r="AR66"/>
  <c r="CM66"/>
  <c r="AZ66"/>
  <c r="DL66"/>
  <c r="AN66"/>
  <c r="BP66"/>
  <c r="Z66"/>
  <c r="DK66"/>
  <c r="DE66"/>
  <c r="CE66"/>
  <c r="BC66"/>
  <c r="AV66"/>
  <c r="CV66"/>
  <c r="AH66"/>
  <c r="AJ66"/>
  <c r="DM66"/>
  <c r="DC66"/>
  <c r="BL66"/>
  <c r="AX66"/>
  <c r="AD66"/>
  <c r="CQ66"/>
  <c r="AA66"/>
  <c r="CC66"/>
  <c r="DB66"/>
  <c r="BI66"/>
  <c r="CH66"/>
  <c r="CY66"/>
  <c r="R66"/>
  <c r="CW66"/>
  <c r="G65"/>
  <c r="G59" i="28" s="1"/>
  <c r="T25" i="29"/>
  <c r="P89" i="27"/>
  <c r="Q89"/>
  <c r="O89"/>
  <c r="N89"/>
  <c r="R89"/>
  <c r="M172" i="20"/>
  <c r="AK218" i="28" s="1"/>
  <c r="AK219"/>
  <c r="AK195"/>
  <c r="AC195" s="1"/>
  <c r="AI195"/>
  <c r="AA195" s="1"/>
  <c r="K54" i="19"/>
  <c r="J54" s="1"/>
  <c r="J56" s="1"/>
  <c r="J62" s="1"/>
  <c r="H10" i="1"/>
  <c r="G10" s="1"/>
  <c r="Y67" i="11"/>
  <c r="CX67"/>
  <c r="BL67"/>
  <c r="AI67"/>
  <c r="DE67"/>
  <c r="AZ67"/>
  <c r="CV67"/>
  <c r="DK67"/>
  <c r="DF67"/>
  <c r="DB67"/>
  <c r="AF67"/>
  <c r="BN67"/>
  <c r="BJ67"/>
  <c r="AA67"/>
  <c r="BI67"/>
  <c r="AD67"/>
  <c r="DG67"/>
  <c r="CH67"/>
  <c r="AM67"/>
  <c r="AO67"/>
  <c r="BD67"/>
  <c r="BF67"/>
  <c r="O67"/>
  <c r="M61" i="28" s="1"/>
  <c r="R67" i="11"/>
  <c r="CP67"/>
  <c r="CO67"/>
  <c r="BH67"/>
  <c r="AU67"/>
  <c r="AE67"/>
  <c r="AG67"/>
  <c r="V67"/>
  <c r="BR67"/>
  <c r="AB67"/>
  <c r="BZ67"/>
  <c r="AH67"/>
  <c r="DL67"/>
  <c r="CW67"/>
  <c r="AP67"/>
  <c r="BY67"/>
  <c r="X67"/>
  <c r="AT67"/>
  <c r="T67"/>
  <c r="BB67"/>
  <c r="Z67"/>
  <c r="DM67"/>
  <c r="BW67"/>
  <c r="DH67"/>
  <c r="CI67"/>
  <c r="DD67"/>
  <c r="CE67"/>
  <c r="DJ67"/>
  <c r="CK67"/>
  <c r="BP67"/>
  <c r="DI67"/>
  <c r="AS67"/>
  <c r="CY67"/>
  <c r="BQ67"/>
  <c r="CU67"/>
  <c r="CG67"/>
  <c r="DA67"/>
  <c r="BA67"/>
  <c r="AJ67"/>
  <c r="CC67"/>
  <c r="U67"/>
  <c r="CQ67"/>
  <c r="AC67"/>
  <c r="CM67"/>
  <c r="AK67"/>
  <c r="CS67"/>
  <c r="BT67"/>
  <c r="BV67"/>
  <c r="CB67"/>
  <c r="BC67"/>
  <c r="BX67"/>
  <c r="AY67"/>
  <c r="CD67"/>
  <c r="BE67"/>
  <c r="CZ67"/>
  <c r="DC67"/>
  <c r="AW67"/>
  <c r="CR67"/>
  <c r="BS67"/>
  <c r="CN67"/>
  <c r="BO67"/>
  <c r="CT67"/>
  <c r="BU67"/>
  <c r="AN67"/>
  <c r="AQ67"/>
  <c r="Q67"/>
  <c r="CJ67"/>
  <c r="BK67"/>
  <c r="CF67"/>
  <c r="BG67"/>
  <c r="CL67"/>
  <c r="BM67"/>
  <c r="CA67"/>
  <c r="AL67"/>
  <c r="AV67"/>
  <c r="W67"/>
  <c r="AR67"/>
  <c r="S67"/>
  <c r="AX67"/>
  <c r="K50" i="27"/>
  <c r="I50"/>
  <c r="G50"/>
  <c r="R69" i="20"/>
  <c r="M69"/>
  <c r="AK139" i="28" s="1"/>
  <c r="AC139" s="1"/>
  <c r="L50" i="27"/>
  <c r="H50"/>
  <c r="K69" i="20"/>
  <c r="J50" i="27"/>
  <c r="O69" i="20"/>
  <c r="AM139" i="28" s="1"/>
  <c r="AE139" s="1"/>
  <c r="I69" i="20"/>
  <c r="AG139" i="28" s="1"/>
  <c r="Y139" s="1"/>
  <c r="AK138"/>
  <c r="AC138" s="1"/>
  <c r="I4" i="13"/>
  <c r="Y107" i="28"/>
  <c r="AC107"/>
  <c r="AA107"/>
  <c r="AE107"/>
  <c r="AM138"/>
  <c r="AE138" s="1"/>
  <c r="R8" i="27"/>
  <c r="P8"/>
  <c r="N8"/>
  <c r="Q8"/>
  <c r="O8"/>
  <c r="AM114" i="28"/>
  <c r="AE114" s="1"/>
  <c r="O39" i="20"/>
  <c r="Y98" i="28"/>
  <c r="Y96" s="1"/>
  <c r="AA98"/>
  <c r="AA96" s="1"/>
  <c r="AE98"/>
  <c r="AE96" s="1"/>
  <c r="AC98"/>
  <c r="AC96" s="1"/>
  <c r="G141" i="20"/>
  <c r="N143" i="2"/>
  <c r="N130" s="1"/>
  <c r="I135" i="20"/>
  <c r="AG186" i="28" s="1"/>
  <c r="Y186" s="1"/>
  <c r="K151" i="20"/>
  <c r="AI196" i="28" s="1"/>
  <c r="AA196" s="1"/>
  <c r="I151" i="20"/>
  <c r="AG196" i="28" s="1"/>
  <c r="Y196" s="1"/>
  <c r="K147" i="20"/>
  <c r="AI194" i="28" s="1"/>
  <c r="AA194" s="1"/>
  <c r="M23" i="20"/>
  <c r="AK101" i="28"/>
  <c r="AC101" s="1"/>
  <c r="K23" i="20"/>
  <c r="AI102" i="28"/>
  <c r="AA102" s="1"/>
  <c r="AM133"/>
  <c r="AG133"/>
  <c r="I62" i="20"/>
  <c r="G14" i="28"/>
  <c r="DM14" i="11"/>
  <c r="CG14"/>
  <c r="BA14"/>
  <c r="U14"/>
  <c r="CN14"/>
  <c r="BH14"/>
  <c r="AB14"/>
  <c r="CU14"/>
  <c r="BO14"/>
  <c r="AI14"/>
  <c r="CX14"/>
  <c r="BR14"/>
  <c r="AL14"/>
  <c r="DI14"/>
  <c r="CC14"/>
  <c r="AW14"/>
  <c r="Q14"/>
  <c r="CJ14"/>
  <c r="BD14"/>
  <c r="X14"/>
  <c r="CQ14"/>
  <c r="BK14"/>
  <c r="AE14"/>
  <c r="CT14"/>
  <c r="BN14"/>
  <c r="AH14"/>
  <c r="DE14"/>
  <c r="BY14"/>
  <c r="AS14"/>
  <c r="DL14"/>
  <c r="CF14"/>
  <c r="AZ14"/>
  <c r="T14"/>
  <c r="CM14"/>
  <c r="BG14"/>
  <c r="AA14"/>
  <c r="CP14"/>
  <c r="BJ14"/>
  <c r="AD14"/>
  <c r="CK14"/>
  <c r="BE14"/>
  <c r="CW14"/>
  <c r="AK14"/>
  <c r="BX14"/>
  <c r="DK14"/>
  <c r="AY14"/>
  <c r="CH14"/>
  <c r="V14"/>
  <c r="BM14"/>
  <c r="CZ14"/>
  <c r="AN14"/>
  <c r="CA14"/>
  <c r="DJ14"/>
  <c r="AX14"/>
  <c r="CO14"/>
  <c r="AC14"/>
  <c r="BP14"/>
  <c r="DC14"/>
  <c r="AQ14"/>
  <c r="BZ14"/>
  <c r="DA14"/>
  <c r="AO14"/>
  <c r="DH14"/>
  <c r="CB14"/>
  <c r="AV14"/>
  <c r="O14"/>
  <c r="CY14"/>
  <c r="BS14"/>
  <c r="AM14"/>
  <c r="DB14"/>
  <c r="BV14"/>
  <c r="AP14"/>
  <c r="BQ14"/>
  <c r="DD14"/>
  <c r="AR14"/>
  <c r="CE14"/>
  <c r="S14"/>
  <c r="BB14"/>
  <c r="CS14"/>
  <c r="AG14"/>
  <c r="BT14"/>
  <c r="DG14"/>
  <c r="AU14"/>
  <c r="CD14"/>
  <c r="R14"/>
  <c r="BI14"/>
  <c r="CV14"/>
  <c r="AJ14"/>
  <c r="BW14"/>
  <c r="DF14"/>
  <c r="AT14"/>
  <c r="BU14"/>
  <c r="Y14"/>
  <c r="CR14"/>
  <c r="BL14"/>
  <c r="AF14"/>
  <c r="CI14"/>
  <c r="BC14"/>
  <c r="W14"/>
  <c r="CL14"/>
  <c r="BF14"/>
  <c r="Z14"/>
  <c r="G80" i="20"/>
  <c r="AI204" i="28"/>
  <c r="AA204" s="1"/>
  <c r="J25" i="14"/>
  <c r="O21" i="13"/>
  <c r="J15" i="14"/>
  <c r="AC81" i="28"/>
  <c r="AC80" s="1"/>
  <c r="M21" i="13" s="1"/>
  <c r="AK80" i="28"/>
  <c r="AC11"/>
  <c r="AC9" s="1"/>
  <c r="AK9"/>
  <c r="Y76"/>
  <c r="Y74" s="1"/>
  <c r="AG74"/>
  <c r="AM64"/>
  <c r="AE65"/>
  <c r="AE64" s="1"/>
  <c r="H25" i="14"/>
  <c r="I21" i="13"/>
  <c r="H15" i="14"/>
  <c r="Y83" i="28"/>
  <c r="H32" i="10"/>
  <c r="G32" s="1"/>
  <c r="H30"/>
  <c r="G30" s="1"/>
  <c r="H28"/>
  <c r="G28" s="1"/>
  <c r="H26"/>
  <c r="G26" s="1"/>
  <c r="H44"/>
  <c r="G44" s="1"/>
  <c r="H192" i="11" s="1"/>
  <c r="G192" s="1"/>
  <c r="H29" i="10"/>
  <c r="G29" s="1"/>
  <c r="H27"/>
  <c r="G27" s="1"/>
  <c r="H44" i="7"/>
  <c r="G44" s="1"/>
  <c r="H8" i="9"/>
  <c r="G8" s="1"/>
  <c r="H13" i="8"/>
  <c r="G13" s="1"/>
  <c r="H12"/>
  <c r="G12" s="1"/>
  <c r="H11"/>
  <c r="G11" s="1"/>
  <c r="H10"/>
  <c r="G10" s="1"/>
  <c r="H9"/>
  <c r="G9" s="1"/>
  <c r="H8"/>
  <c r="G8" s="1"/>
  <c r="P5" i="29" s="1"/>
  <c r="H62" i="7"/>
  <c r="G62" s="1"/>
  <c r="H55"/>
  <c r="G55" s="1"/>
  <c r="H49"/>
  <c r="G49" s="1"/>
  <c r="H36"/>
  <c r="G36" s="1"/>
  <c r="H32"/>
  <c r="G32" s="1"/>
  <c r="H3" i="5"/>
  <c r="G3" s="1"/>
  <c r="H5" i="11" s="1"/>
  <c r="G5" s="1"/>
  <c r="H14" i="8"/>
  <c r="G14" s="1"/>
  <c r="P28" i="29" s="1"/>
  <c r="H5" i="8"/>
  <c r="G5" s="1"/>
  <c r="H92" i="11" s="1"/>
  <c r="G92" s="1"/>
  <c r="H58" i="7"/>
  <c r="G58" s="1"/>
  <c r="H52"/>
  <c r="G52" s="1"/>
  <c r="H47"/>
  <c r="G47" s="1"/>
  <c r="H34"/>
  <c r="G34" s="1"/>
  <c r="H6" i="5"/>
  <c r="G6" s="1"/>
  <c r="H10" i="11" s="1"/>
  <c r="G10" s="1"/>
  <c r="M21" i="29"/>
  <c r="M33"/>
  <c r="M31"/>
  <c r="M28"/>
  <c r="M25"/>
  <c r="M23"/>
  <c r="M19"/>
  <c r="M17"/>
  <c r="M14"/>
  <c r="M12"/>
  <c r="M9"/>
  <c r="M7"/>
  <c r="M4"/>
  <c r="M32"/>
  <c r="M27"/>
  <c r="M20"/>
  <c r="M15"/>
  <c r="M10"/>
  <c r="M5"/>
  <c r="M30"/>
  <c r="M24"/>
  <c r="M18"/>
  <c r="M13"/>
  <c r="M8"/>
  <c r="T31"/>
  <c r="T19"/>
  <c r="T9"/>
  <c r="I172" i="20"/>
  <c r="AG219" i="28"/>
  <c r="K172" i="20"/>
  <c r="AI218" i="28" s="1"/>
  <c r="AI219"/>
  <c r="B39" i="29"/>
  <c r="F21" i="34"/>
  <c r="B40" i="29" s="1"/>
  <c r="G150" i="2"/>
  <c r="F150" s="1"/>
  <c r="K84" i="19"/>
  <c r="J84" s="1"/>
  <c r="G105" i="2"/>
  <c r="F105" s="1"/>
  <c r="W5" i="29"/>
  <c r="W20"/>
  <c r="W32"/>
  <c r="W10"/>
  <c r="W25"/>
  <c r="W4"/>
  <c r="W14"/>
  <c r="W31"/>
  <c r="W9"/>
  <c r="W19"/>
  <c r="W8"/>
  <c r="W13"/>
  <c r="W33"/>
  <c r="W24"/>
  <c r="W18"/>
  <c r="W17"/>
  <c r="W7"/>
  <c r="W28"/>
  <c r="W27"/>
  <c r="W30"/>
  <c r="W21"/>
  <c r="W12"/>
  <c r="W23"/>
  <c r="W15"/>
  <c r="H21" i="34"/>
  <c r="C40" i="29" s="1"/>
  <c r="F135" i="2"/>
  <c r="K24" i="27"/>
  <c r="I24"/>
  <c r="G24"/>
  <c r="R38" i="20"/>
  <c r="L24" i="27"/>
  <c r="J24"/>
  <c r="H24"/>
  <c r="O38" i="20"/>
  <c r="M38"/>
  <c r="K38"/>
  <c r="I38"/>
  <c r="G4" i="17"/>
  <c r="G31"/>
  <c r="G29"/>
  <c r="G25"/>
  <c r="G23"/>
  <c r="G21"/>
  <c r="G17"/>
  <c r="G10"/>
  <c r="G5"/>
  <c r="G32"/>
  <c r="G30"/>
  <c r="G28"/>
  <c r="G24"/>
  <c r="G22"/>
  <c r="G20"/>
  <c r="G14"/>
  <c r="G6"/>
  <c r="H9" i="6"/>
  <c r="G9" s="1"/>
  <c r="L23" i="18" s="1"/>
  <c r="H7" i="6"/>
  <c r="G7" s="1"/>
  <c r="H5"/>
  <c r="G5" s="1"/>
  <c r="L10" i="18" s="1"/>
  <c r="H10" i="6"/>
  <c r="G10" s="1"/>
  <c r="L24" i="18" s="1"/>
  <c r="H6" i="6"/>
  <c r="G6" s="1"/>
  <c r="H4"/>
  <c r="G4" s="1"/>
  <c r="U5" i="29"/>
  <c r="U21"/>
  <c r="U19"/>
  <c r="U31"/>
  <c r="U33"/>
  <c r="U23"/>
  <c r="U12"/>
  <c r="U4"/>
  <c r="U30"/>
  <c r="U24"/>
  <c r="U18"/>
  <c r="U13"/>
  <c r="U8"/>
  <c r="U25"/>
  <c r="U9"/>
  <c r="U17"/>
  <c r="U32"/>
  <c r="U20"/>
  <c r="U10"/>
  <c r="U14"/>
  <c r="U28"/>
  <c r="U7"/>
  <c r="U27"/>
  <c r="U15"/>
  <c r="T28"/>
  <c r="T23"/>
  <c r="T17"/>
  <c r="R70" i="27"/>
  <c r="Q70"/>
  <c r="P70"/>
  <c r="O70"/>
  <c r="N70"/>
  <c r="N87"/>
  <c r="P87"/>
  <c r="R87"/>
  <c r="O87"/>
  <c r="Q87"/>
  <c r="M91"/>
  <c r="I219" i="28"/>
  <c r="AG195"/>
  <c r="Y195" s="1"/>
  <c r="G62"/>
  <c r="CB68" i="11"/>
  <c r="X68"/>
  <c r="CT68"/>
  <c r="R68"/>
  <c r="DD68"/>
  <c r="BG68"/>
  <c r="BU68"/>
  <c r="AO68"/>
  <c r="AV68"/>
  <c r="BF68"/>
  <c r="AE68"/>
  <c r="AF68"/>
  <c r="BH68"/>
  <c r="BZ68"/>
  <c r="AN68"/>
  <c r="CJ68"/>
  <c r="DB68"/>
  <c r="AZ68"/>
  <c r="BI68"/>
  <c r="BY68"/>
  <c r="CK68"/>
  <c r="DA68"/>
  <c r="BJ68"/>
  <c r="BW68"/>
  <c r="CY68"/>
  <c r="AW68"/>
  <c r="BX68"/>
  <c r="CP68"/>
  <c r="AD68"/>
  <c r="CZ68"/>
  <c r="BC68"/>
  <c r="AP68"/>
  <c r="S68"/>
  <c r="AK68"/>
  <c r="AA68"/>
  <c r="AI68"/>
  <c r="CS68"/>
  <c r="BL68"/>
  <c r="BV68"/>
  <c r="O68"/>
  <c r="M62" i="28" s="1"/>
  <c r="V68" i="11"/>
  <c r="CN68"/>
  <c r="DF68"/>
  <c r="AC68"/>
  <c r="BM68"/>
  <c r="CC68"/>
  <c r="CQ68"/>
  <c r="DG68"/>
  <c r="BD68"/>
  <c r="Q68"/>
  <c r="DK68"/>
  <c r="AX68"/>
  <c r="BT68"/>
  <c r="CL68"/>
  <c r="AH68"/>
  <c r="DL68"/>
  <c r="Y68"/>
  <c r="BO68"/>
  <c r="CG68"/>
  <c r="CU68"/>
  <c r="DI68"/>
  <c r="BB68"/>
  <c r="CI68"/>
  <c r="T68"/>
  <c r="AQ68"/>
  <c r="BR68"/>
  <c r="CR68"/>
  <c r="AU68"/>
  <c r="DJ68"/>
  <c r="AB68"/>
  <c r="BQ68"/>
  <c r="AG68"/>
  <c r="CW68"/>
  <c r="DM68"/>
  <c r="U68"/>
  <c r="CO68"/>
  <c r="AR68"/>
  <c r="CF68"/>
  <c r="BA68"/>
  <c r="CH68"/>
  <c r="DH68"/>
  <c r="AS68"/>
  <c r="BK68"/>
  <c r="CA68"/>
  <c r="CM68"/>
  <c r="DC68"/>
  <c r="BP68"/>
  <c r="CE68"/>
  <c r="DE68"/>
  <c r="AM68"/>
  <c r="CD68"/>
  <c r="CV68"/>
  <c r="AJ68"/>
  <c r="CX68"/>
  <c r="BE68"/>
  <c r="BS68"/>
  <c r="AT68"/>
  <c r="Z68"/>
  <c r="W68"/>
  <c r="AL68"/>
  <c r="AY68"/>
  <c r="BN68"/>
  <c r="AE129" i="28"/>
  <c r="N56" i="27"/>
  <c r="Q56"/>
  <c r="P56"/>
  <c r="O56"/>
  <c r="R56"/>
  <c r="N38"/>
  <c r="P38"/>
  <c r="O38"/>
  <c r="Q38"/>
  <c r="R38"/>
  <c r="N47"/>
  <c r="P47"/>
  <c r="R47"/>
  <c r="Q47"/>
  <c r="O47"/>
  <c r="O52"/>
  <c r="Q52"/>
  <c r="P52"/>
  <c r="N52"/>
  <c r="R52"/>
  <c r="F72" i="2"/>
  <c r="AG138" i="28"/>
  <c r="Y138" s="1"/>
  <c r="M4" i="13"/>
  <c r="AC128" i="28"/>
  <c r="O18" i="27"/>
  <c r="P18"/>
  <c r="N18"/>
  <c r="R18"/>
  <c r="Q18"/>
  <c r="AC106" i="28"/>
  <c r="Y106"/>
  <c r="AA106"/>
  <c r="AE106"/>
  <c r="Y134"/>
  <c r="AE134"/>
  <c r="AA134"/>
  <c r="AC134"/>
  <c r="AE135"/>
  <c r="Y135"/>
  <c r="AA135"/>
  <c r="AC135"/>
  <c r="AM216"/>
  <c r="AE216" s="1"/>
  <c r="AE214" s="1"/>
  <c r="AE212" s="1"/>
  <c r="O168" i="20"/>
  <c r="AM214" i="28" s="1"/>
  <c r="AM212" s="1"/>
  <c r="K4" i="13"/>
  <c r="AI114" i="28"/>
  <c r="AA114" s="1"/>
  <c r="K39" i="20"/>
  <c r="R9" i="27"/>
  <c r="Q9"/>
  <c r="P9"/>
  <c r="O9"/>
  <c r="N9"/>
  <c r="G20" i="28"/>
  <c r="CK20" i="11"/>
  <c r="CQ20"/>
  <c r="AL20"/>
  <c r="AZ20"/>
  <c r="BN20"/>
  <c r="BO20"/>
  <c r="BL20"/>
  <c r="BY20"/>
  <c r="AE20"/>
  <c r="CC20"/>
  <c r="AB20"/>
  <c r="BV20"/>
  <c r="Y20"/>
  <c r="CM20"/>
  <c r="CT20"/>
  <c r="X20"/>
  <c r="AW20"/>
  <c r="BR20"/>
  <c r="CU20"/>
  <c r="U20"/>
  <c r="AP20"/>
  <c r="BS20"/>
  <c r="CR20"/>
  <c r="AD20"/>
  <c r="BG20"/>
  <c r="CF20"/>
  <c r="DE20"/>
  <c r="R20"/>
  <c r="CD20"/>
  <c r="AU20"/>
  <c r="DG20"/>
  <c r="BT20"/>
  <c r="AG20"/>
  <c r="CS20"/>
  <c r="BB20"/>
  <c r="S20"/>
  <c r="CE20"/>
  <c r="AR20"/>
  <c r="DD20"/>
  <c r="BQ20"/>
  <c r="Z20"/>
  <c r="CL20"/>
  <c r="BC20"/>
  <c r="O20"/>
  <c r="M20" i="28" s="1"/>
  <c r="AV20" i="11"/>
  <c r="DH20"/>
  <c r="BU20"/>
  <c r="AT20"/>
  <c r="DF20"/>
  <c r="BW20"/>
  <c r="AJ20"/>
  <c r="CV20"/>
  <c r="BI20"/>
  <c r="CO20"/>
  <c r="CN20"/>
  <c r="DM20"/>
  <c r="CX20"/>
  <c r="CY20"/>
  <c r="DL20"/>
  <c r="BK20"/>
  <c r="DI20"/>
  <c r="BH20"/>
  <c r="DB20"/>
  <c r="BE20"/>
  <c r="T20"/>
  <c r="DJ20"/>
  <c r="AN20"/>
  <c r="BM20"/>
  <c r="CH20"/>
  <c r="DK20"/>
  <c r="AK20"/>
  <c r="BF20"/>
  <c r="CI20"/>
  <c r="CB20"/>
  <c r="DA20"/>
  <c r="AQ20"/>
  <c r="BP20"/>
  <c r="AM20"/>
  <c r="Q20"/>
  <c r="AA20"/>
  <c r="BD20"/>
  <c r="BA20"/>
  <c r="BJ20"/>
  <c r="AH20"/>
  <c r="CJ20"/>
  <c r="AI20"/>
  <c r="CG20"/>
  <c r="AF20"/>
  <c r="CP20"/>
  <c r="AS20"/>
  <c r="AX20"/>
  <c r="CA20"/>
  <c r="CZ20"/>
  <c r="V20"/>
  <c r="AY20"/>
  <c r="BX20"/>
  <c r="CW20"/>
  <c r="W20"/>
  <c r="AO20"/>
  <c r="BZ20"/>
  <c r="DC20"/>
  <c r="AC20"/>
  <c r="H21"/>
  <c r="G21" s="1"/>
  <c r="G131" i="20"/>
  <c r="H37" i="11"/>
  <c r="G37" s="1"/>
  <c r="O135" i="20"/>
  <c r="AM186" i="28" s="1"/>
  <c r="AE186" s="1"/>
  <c r="M135" i="20"/>
  <c r="AK186" i="28" s="1"/>
  <c r="AC186" s="1"/>
  <c r="G32"/>
  <c r="DK32" i="11"/>
  <c r="CE32"/>
  <c r="AY32"/>
  <c r="CV32"/>
  <c r="BE32"/>
  <c r="S32"/>
  <c r="BY32"/>
  <c r="AH32"/>
  <c r="CS32"/>
  <c r="BB32"/>
  <c r="Q32"/>
  <c r="CB32"/>
  <c r="AK32"/>
  <c r="DG32"/>
  <c r="CA32"/>
  <c r="AU32"/>
  <c r="CP32"/>
  <c r="AZ32"/>
  <c r="DJ32"/>
  <c r="BT32"/>
  <c r="AD32"/>
  <c r="CN32"/>
  <c r="AW32"/>
  <c r="DM32"/>
  <c r="BV32"/>
  <c r="AF32"/>
  <c r="CM32"/>
  <c r="BG32"/>
  <c r="DF32"/>
  <c r="BP32"/>
  <c r="AA32"/>
  <c r="CJ32"/>
  <c r="AS32"/>
  <c r="DD32"/>
  <c r="BM32"/>
  <c r="Y32"/>
  <c r="CL32"/>
  <c r="AV32"/>
  <c r="CY32"/>
  <c r="BS32"/>
  <c r="AM32"/>
  <c r="CF32"/>
  <c r="AO32"/>
  <c r="CZ32"/>
  <c r="BI32"/>
  <c r="V32"/>
  <c r="CC32"/>
  <c r="AL32"/>
  <c r="DB32"/>
  <c r="BL32"/>
  <c r="X32"/>
  <c r="CU32"/>
  <c r="BO32"/>
  <c r="AI32"/>
  <c r="BZ32"/>
  <c r="AJ32"/>
  <c r="CT32"/>
  <c r="BD32"/>
  <c r="R32"/>
  <c r="BX32"/>
  <c r="AG32"/>
  <c r="CW32"/>
  <c r="BF32"/>
  <c r="T32"/>
  <c r="CQ32"/>
  <c r="BK32"/>
  <c r="DL32"/>
  <c r="BU32"/>
  <c r="AE32"/>
  <c r="CO32"/>
  <c r="AX32"/>
  <c r="DI32"/>
  <c r="BR32"/>
  <c r="AC32"/>
  <c r="CR32"/>
  <c r="BA32"/>
  <c r="O32"/>
  <c r="M32" i="28" s="1"/>
  <c r="DC32" i="11"/>
  <c r="BW32"/>
  <c r="AQ32"/>
  <c r="CK32"/>
  <c r="AT32"/>
  <c r="DE32"/>
  <c r="BN32"/>
  <c r="Z32"/>
  <c r="CH32"/>
  <c r="AR32"/>
  <c r="DH32"/>
  <c r="BQ32"/>
  <c r="AB32"/>
  <c r="CI32"/>
  <c r="BC32"/>
  <c r="DA32"/>
  <c r="BJ32"/>
  <c r="W32"/>
  <c r="CD32"/>
  <c r="AN32"/>
  <c r="CX32"/>
  <c r="BH32"/>
  <c r="U32"/>
  <c r="CG32"/>
  <c r="AP32"/>
  <c r="M151" i="20"/>
  <c r="AK196" i="28" s="1"/>
  <c r="O147" i="20"/>
  <c r="AG101" i="28"/>
  <c r="Y101" s="1"/>
  <c r="Y100" s="1"/>
  <c r="I23" i="20"/>
  <c r="O23"/>
  <c r="AM102" i="28"/>
  <c r="AE102" s="1"/>
  <c r="AE100" s="1"/>
  <c r="AK133"/>
  <c r="K62" i="20"/>
  <c r="G30" i="28"/>
  <c r="DG30" i="11"/>
  <c r="CA30"/>
  <c r="AU30"/>
  <c r="DJ30"/>
  <c r="CD30"/>
  <c r="AX30"/>
  <c r="R30"/>
  <c r="CK30"/>
  <c r="BE30"/>
  <c r="Y30"/>
  <c r="CR30"/>
  <c r="BL30"/>
  <c r="AF30"/>
  <c r="CM30"/>
  <c r="BG30"/>
  <c r="AA30"/>
  <c r="CP30"/>
  <c r="BJ30"/>
  <c r="AD30"/>
  <c r="CW30"/>
  <c r="BQ30"/>
  <c r="AK30"/>
  <c r="DD30"/>
  <c r="BX30"/>
  <c r="AR30"/>
  <c r="CY30"/>
  <c r="BS30"/>
  <c r="AM30"/>
  <c r="DB30"/>
  <c r="BV30"/>
  <c r="AP30"/>
  <c r="DI30"/>
  <c r="CC30"/>
  <c r="AW30"/>
  <c r="Q30"/>
  <c r="CJ30"/>
  <c r="BD30"/>
  <c r="X30"/>
  <c r="CU30"/>
  <c r="BO30"/>
  <c r="AI30"/>
  <c r="CX30"/>
  <c r="BR30"/>
  <c r="AL30"/>
  <c r="DE30"/>
  <c r="BY30"/>
  <c r="AS30"/>
  <c r="DL30"/>
  <c r="CF30"/>
  <c r="AZ30"/>
  <c r="T30"/>
  <c r="CQ30"/>
  <c r="BK30"/>
  <c r="AE30"/>
  <c r="CT30"/>
  <c r="BN30"/>
  <c r="AH30"/>
  <c r="DA30"/>
  <c r="BU30"/>
  <c r="AO30"/>
  <c r="DH30"/>
  <c r="CB30"/>
  <c r="AV30"/>
  <c r="O30"/>
  <c r="DC30"/>
  <c r="BW30"/>
  <c r="AQ30"/>
  <c r="DF30"/>
  <c r="BZ30"/>
  <c r="AT30"/>
  <c r="DM30"/>
  <c r="CG30"/>
  <c r="BA30"/>
  <c r="U30"/>
  <c r="CN30"/>
  <c r="BH30"/>
  <c r="AB30"/>
  <c r="CI30"/>
  <c r="BC30"/>
  <c r="W30"/>
  <c r="CL30"/>
  <c r="BF30"/>
  <c r="Z30"/>
  <c r="CS30"/>
  <c r="BM30"/>
  <c r="AG30"/>
  <c r="CZ30"/>
  <c r="BT30"/>
  <c r="AN30"/>
  <c r="DK30"/>
  <c r="CE30"/>
  <c r="AY30"/>
  <c r="S30"/>
  <c r="CH30"/>
  <c r="BB30"/>
  <c r="V30"/>
  <c r="CO30"/>
  <c r="BI30"/>
  <c r="AC30"/>
  <c r="CV30"/>
  <c r="BP30"/>
  <c r="AJ30"/>
  <c r="AC71" i="28"/>
  <c r="AC70" s="1"/>
  <c r="AK70"/>
  <c r="O18" i="13"/>
  <c r="J22" i="14"/>
  <c r="J12"/>
  <c r="AG65" i="28"/>
  <c r="I17" i="13"/>
  <c r="H21" i="14"/>
  <c r="H11"/>
  <c r="AK65" i="28"/>
  <c r="AG83"/>
  <c r="AE128" l="1"/>
  <c r="H50" i="7"/>
  <c r="G50" s="1"/>
  <c r="H81" i="11" s="1"/>
  <c r="G81" s="1"/>
  <c r="H45" i="7"/>
  <c r="G45" s="1"/>
  <c r="H82" i="11" s="1"/>
  <c r="G82" s="1"/>
  <c r="AA100" i="28"/>
  <c r="AE196"/>
  <c r="AA129"/>
  <c r="AC100"/>
  <c r="Y121"/>
  <c r="F28" i="14"/>
  <c r="E24" i="24"/>
  <c r="F18" i="14"/>
  <c r="M235" i="28"/>
  <c r="G24" i="13"/>
  <c r="AE105" i="28"/>
  <c r="H35" i="7"/>
  <c r="G35" s="1"/>
  <c r="H77" i="11" s="1"/>
  <c r="G77" s="1"/>
  <c r="CS77" s="1"/>
  <c r="N17" i="2"/>
  <c r="Y129" i="28"/>
  <c r="AC121"/>
  <c r="AC196"/>
  <c r="AC193" s="1"/>
  <c r="Y105"/>
  <c r="G35"/>
  <c r="BY35" i="11"/>
  <c r="DL35"/>
  <c r="AZ35"/>
  <c r="CL35"/>
  <c r="Z35"/>
  <c r="DG35"/>
  <c r="CK35"/>
  <c r="Y35"/>
  <c r="BL35"/>
  <c r="CX35"/>
  <c r="AL35"/>
  <c r="AY35"/>
  <c r="DM35"/>
  <c r="BA35"/>
  <c r="CN35"/>
  <c r="AB35"/>
  <c r="BN35"/>
  <c r="BC35"/>
  <c r="DC35"/>
  <c r="CC35"/>
  <c r="Q35"/>
  <c r="BD35"/>
  <c r="CP35"/>
  <c r="AD35"/>
  <c r="S35"/>
  <c r="AS35"/>
  <c r="BP35"/>
  <c r="BV35"/>
  <c r="W35"/>
  <c r="DA35"/>
  <c r="DH35"/>
  <c r="AF35"/>
  <c r="BB35"/>
  <c r="CQ35"/>
  <c r="CO35"/>
  <c r="CF35"/>
  <c r="BF35"/>
  <c r="AU35"/>
  <c r="AO35"/>
  <c r="O35"/>
  <c r="M35" i="28" s="1"/>
  <c r="BS35" i="11"/>
  <c r="CW35"/>
  <c r="U35"/>
  <c r="AR35"/>
  <c r="AX35"/>
  <c r="AI35"/>
  <c r="CS35"/>
  <c r="CZ35"/>
  <c r="X35"/>
  <c r="AT35"/>
  <c r="BK35"/>
  <c r="BI35"/>
  <c r="AJ35"/>
  <c r="AP35"/>
  <c r="BW35"/>
  <c r="CR35"/>
  <c r="CH35"/>
  <c r="DK35"/>
  <c r="CG35"/>
  <c r="DD35"/>
  <c r="DJ35"/>
  <c r="AH35"/>
  <c r="CA35"/>
  <c r="BM35"/>
  <c r="CJ35"/>
  <c r="DF35"/>
  <c r="CY35"/>
  <c r="CM35"/>
  <c r="T35"/>
  <c r="CI35"/>
  <c r="CB35"/>
  <c r="BR35"/>
  <c r="AE35"/>
  <c r="BX35"/>
  <c r="CT35"/>
  <c r="AQ35"/>
  <c r="AW35"/>
  <c r="BZ35"/>
  <c r="AM35"/>
  <c r="AC35"/>
  <c r="BU35"/>
  <c r="BQ35"/>
  <c r="R35"/>
  <c r="BT35"/>
  <c r="AA35"/>
  <c r="BO35"/>
  <c r="BG35"/>
  <c r="CU35"/>
  <c r="BJ35"/>
  <c r="V35"/>
  <c r="AN35"/>
  <c r="DE35"/>
  <c r="BE35"/>
  <c r="AK35"/>
  <c r="DI35"/>
  <c r="CE35"/>
  <c r="CV35"/>
  <c r="AV35"/>
  <c r="BH35"/>
  <c r="AG35"/>
  <c r="DB35"/>
  <c r="CD35"/>
  <c r="H82" i="27"/>
  <c r="J82"/>
  <c r="M164" i="20"/>
  <c r="AK206" i="28" s="1"/>
  <c r="AC206" s="1"/>
  <c r="K82" i="27"/>
  <c r="R164" i="20"/>
  <c r="G82" i="27"/>
  <c r="K164" i="20"/>
  <c r="AI206" i="28" s="1"/>
  <c r="AA206" s="1"/>
  <c r="O164" i="20"/>
  <c r="AM206" i="28" s="1"/>
  <c r="AE206" s="1"/>
  <c r="L82" i="27"/>
  <c r="I164" i="20"/>
  <c r="AG206" i="28" s="1"/>
  <c r="Y206" s="1"/>
  <c r="I82" i="27"/>
  <c r="AK204" i="28"/>
  <c r="AC204" s="1"/>
  <c r="G100" i="20"/>
  <c r="H17" i="11"/>
  <c r="G17" s="1"/>
  <c r="H33"/>
  <c r="G33" s="1"/>
  <c r="G19" i="28"/>
  <c r="DC19" i="11"/>
  <c r="AQ19"/>
  <c r="BZ19"/>
  <c r="DM19"/>
  <c r="BA19"/>
  <c r="CN19"/>
  <c r="AB19"/>
  <c r="BC19"/>
  <c r="CL19"/>
  <c r="Z19"/>
  <c r="BM19"/>
  <c r="CZ19"/>
  <c r="AN19"/>
  <c r="CE19"/>
  <c r="S19"/>
  <c r="BB19"/>
  <c r="CO19"/>
  <c r="AC19"/>
  <c r="BP19"/>
  <c r="DG19"/>
  <c r="AU19"/>
  <c r="CD19"/>
  <c r="R19"/>
  <c r="BE19"/>
  <c r="CR19"/>
  <c r="AF19"/>
  <c r="BW19"/>
  <c r="CP19"/>
  <c r="CW19"/>
  <c r="U19"/>
  <c r="AR19"/>
  <c r="AM19"/>
  <c r="BF19"/>
  <c r="CC19"/>
  <c r="CJ19"/>
  <c r="DK19"/>
  <c r="AI19"/>
  <c r="AL19"/>
  <c r="BI19"/>
  <c r="CF19"/>
  <c r="CQ19"/>
  <c r="DJ19"/>
  <c r="AH19"/>
  <c r="AO19"/>
  <c r="BL19"/>
  <c r="BG19"/>
  <c r="BJ19"/>
  <c r="CG19"/>
  <c r="DD19"/>
  <c r="CY19"/>
  <c r="W19"/>
  <c r="AP19"/>
  <c r="AW19"/>
  <c r="BT19"/>
  <c r="CU19"/>
  <c r="CX19"/>
  <c r="V19"/>
  <c r="AS19"/>
  <c r="AZ19"/>
  <c r="CA19"/>
  <c r="CT19"/>
  <c r="DA19"/>
  <c r="Y19"/>
  <c r="AV19"/>
  <c r="AA19"/>
  <c r="AT19"/>
  <c r="BQ19"/>
  <c r="CI19"/>
  <c r="DB19"/>
  <c r="DI19"/>
  <c r="BD19"/>
  <c r="BO19"/>
  <c r="CH19"/>
  <c r="DL19"/>
  <c r="AJ19"/>
  <c r="BK19"/>
  <c r="CK19"/>
  <c r="DH19"/>
  <c r="BX19"/>
  <c r="AG19"/>
  <c r="DE19"/>
  <c r="BN19"/>
  <c r="O19"/>
  <c r="M19" i="28" s="1"/>
  <c r="AD19" i="11"/>
  <c r="BV19"/>
  <c r="AY19"/>
  <c r="T19"/>
  <c r="CB19"/>
  <c r="BS19"/>
  <c r="CV19"/>
  <c r="AK19"/>
  <c r="CS19"/>
  <c r="BR19"/>
  <c r="AE19"/>
  <c r="CM19"/>
  <c r="BH19"/>
  <c r="Q19"/>
  <c r="BY19"/>
  <c r="AX19"/>
  <c r="DF19"/>
  <c r="X19"/>
  <c r="BU19"/>
  <c r="AC105" i="28"/>
  <c r="AC95" s="1"/>
  <c r="I146" i="20"/>
  <c r="AG193" i="28" s="1"/>
  <c r="N78" i="2"/>
  <c r="G6" i="13" s="1"/>
  <c r="H81" i="27"/>
  <c r="G81"/>
  <c r="K163" i="20"/>
  <c r="R163"/>
  <c r="I81" i="27"/>
  <c r="I163" i="20"/>
  <c r="AG205" i="28" s="1"/>
  <c r="Y205" s="1"/>
  <c r="O163" i="20"/>
  <c r="J81" i="27"/>
  <c r="L81"/>
  <c r="M163" i="20"/>
  <c r="AK205" i="28" s="1"/>
  <c r="AC205" s="1"/>
  <c r="K81" i="27"/>
  <c r="AG204" i="28"/>
  <c r="Y204" s="1"/>
  <c r="Y193"/>
  <c r="G5" i="13"/>
  <c r="G14" i="20"/>
  <c r="H12" i="14"/>
  <c r="H22"/>
  <c r="N41" i="27"/>
  <c r="P41"/>
  <c r="O41"/>
  <c r="R92"/>
  <c r="O92"/>
  <c r="P92"/>
  <c r="Q92"/>
  <c r="N92"/>
  <c r="AE121" i="28"/>
  <c r="G18"/>
  <c r="CQ18" i="11"/>
  <c r="AM18"/>
  <c r="Q18"/>
  <c r="DM18"/>
  <c r="AA18"/>
  <c r="AE18"/>
  <c r="CC18"/>
  <c r="AB18"/>
  <c r="BV18"/>
  <c r="Y18"/>
  <c r="CM18"/>
  <c r="AH18"/>
  <c r="BK18"/>
  <c r="CJ18"/>
  <c r="DI18"/>
  <c r="AI18"/>
  <c r="BH18"/>
  <c r="CG18"/>
  <c r="DB18"/>
  <c r="AF18"/>
  <c r="BE18"/>
  <c r="CP18"/>
  <c r="T18"/>
  <c r="AS18"/>
  <c r="AX18"/>
  <c r="DJ18"/>
  <c r="CA18"/>
  <c r="AN18"/>
  <c r="CZ18"/>
  <c r="BM18"/>
  <c r="V18"/>
  <c r="CH18"/>
  <c r="AY18"/>
  <c r="DK18"/>
  <c r="BX18"/>
  <c r="AK18"/>
  <c r="CW18"/>
  <c r="BF18"/>
  <c r="W18"/>
  <c r="CI18"/>
  <c r="CB18"/>
  <c r="AO18"/>
  <c r="DA18"/>
  <c r="BZ18"/>
  <c r="AQ18"/>
  <c r="DC18"/>
  <c r="BP18"/>
  <c r="AC18"/>
  <c r="CO18"/>
  <c r="CK18"/>
  <c r="CN18"/>
  <c r="AL18"/>
  <c r="AZ18"/>
  <c r="BN18"/>
  <c r="BO18"/>
  <c r="BL18"/>
  <c r="BY18"/>
  <c r="BD18"/>
  <c r="CX18"/>
  <c r="BA18"/>
  <c r="CY18"/>
  <c r="BJ18"/>
  <c r="DL18"/>
  <c r="CT18"/>
  <c r="X18"/>
  <c r="AW18"/>
  <c r="BR18"/>
  <c r="CU18"/>
  <c r="U18"/>
  <c r="AP18"/>
  <c r="BS18"/>
  <c r="CR18"/>
  <c r="AD18"/>
  <c r="BG18"/>
  <c r="CF18"/>
  <c r="DE18"/>
  <c r="R18"/>
  <c r="CD18"/>
  <c r="AU18"/>
  <c r="DG18"/>
  <c r="BT18"/>
  <c r="AG18"/>
  <c r="CS18"/>
  <c r="BB18"/>
  <c r="S18"/>
  <c r="CE18"/>
  <c r="AR18"/>
  <c r="DD18"/>
  <c r="BQ18"/>
  <c r="Z18"/>
  <c r="CL18"/>
  <c r="BC18"/>
  <c r="O18"/>
  <c r="M18" i="28" s="1"/>
  <c r="AV18" i="11"/>
  <c r="DH18"/>
  <c r="BU18"/>
  <c r="AT18"/>
  <c r="DF18"/>
  <c r="BW18"/>
  <c r="AJ18"/>
  <c r="CV18"/>
  <c r="BI18"/>
  <c r="G23" i="28"/>
  <c r="DK23" i="11"/>
  <c r="CE23"/>
  <c r="AY23"/>
  <c r="S23"/>
  <c r="CH23"/>
  <c r="BB23"/>
  <c r="V23"/>
  <c r="CO23"/>
  <c r="BI23"/>
  <c r="AC23"/>
  <c r="CV23"/>
  <c r="BP23"/>
  <c r="AJ23"/>
  <c r="DG23"/>
  <c r="CA23"/>
  <c r="AU23"/>
  <c r="DJ23"/>
  <c r="CD23"/>
  <c r="AX23"/>
  <c r="R23"/>
  <c r="CK23"/>
  <c r="BE23"/>
  <c r="Y23"/>
  <c r="CR23"/>
  <c r="BL23"/>
  <c r="AF23"/>
  <c r="CM23"/>
  <c r="BG23"/>
  <c r="AA23"/>
  <c r="CP23"/>
  <c r="BJ23"/>
  <c r="AD23"/>
  <c r="CW23"/>
  <c r="BQ23"/>
  <c r="AK23"/>
  <c r="DD23"/>
  <c r="BX23"/>
  <c r="AR23"/>
  <c r="CY23"/>
  <c r="BS23"/>
  <c r="AM23"/>
  <c r="DB23"/>
  <c r="BV23"/>
  <c r="AP23"/>
  <c r="DI23"/>
  <c r="CC23"/>
  <c r="AW23"/>
  <c r="Q23"/>
  <c r="CJ23"/>
  <c r="BD23"/>
  <c r="X23"/>
  <c r="CU23"/>
  <c r="BO23"/>
  <c r="AI23"/>
  <c r="CX23"/>
  <c r="BR23"/>
  <c r="AL23"/>
  <c r="DE23"/>
  <c r="BY23"/>
  <c r="AS23"/>
  <c r="DL23"/>
  <c r="CF23"/>
  <c r="AZ23"/>
  <c r="T23"/>
  <c r="CQ23"/>
  <c r="BK23"/>
  <c r="AE23"/>
  <c r="CT23"/>
  <c r="BN23"/>
  <c r="AH23"/>
  <c r="DA23"/>
  <c r="BU23"/>
  <c r="AO23"/>
  <c r="DH23"/>
  <c r="CB23"/>
  <c r="AV23"/>
  <c r="O23"/>
  <c r="M23" i="28" s="1"/>
  <c r="DC23" i="11"/>
  <c r="BW23"/>
  <c r="AQ23"/>
  <c r="DF23"/>
  <c r="BZ23"/>
  <c r="AT23"/>
  <c r="DM23"/>
  <c r="CG23"/>
  <c r="BA23"/>
  <c r="U23"/>
  <c r="CN23"/>
  <c r="BH23"/>
  <c r="AB23"/>
  <c r="CI23"/>
  <c r="BC23"/>
  <c r="W23"/>
  <c r="CL23"/>
  <c r="BF23"/>
  <c r="Z23"/>
  <c r="CS23"/>
  <c r="BM23"/>
  <c r="AG23"/>
  <c r="CZ23"/>
  <c r="BT23"/>
  <c r="AN23"/>
  <c r="R71" i="27"/>
  <c r="P71"/>
  <c r="O71"/>
  <c r="N71"/>
  <c r="Q71"/>
  <c r="AI121" i="28"/>
  <c r="AK127"/>
  <c r="AC127" s="1"/>
  <c r="AC126" s="1"/>
  <c r="M54" i="20"/>
  <c r="AK126" i="28" s="1"/>
  <c r="AI127"/>
  <c r="AA127" s="1"/>
  <c r="K54" i="20"/>
  <c r="AI126" i="28" s="1"/>
  <c r="O74" i="27"/>
  <c r="P74"/>
  <c r="R74"/>
  <c r="N74"/>
  <c r="Q74"/>
  <c r="AK121" i="28"/>
  <c r="G34"/>
  <c r="CY34" i="11"/>
  <c r="BS34"/>
  <c r="AM34"/>
  <c r="DB34"/>
  <c r="BV34"/>
  <c r="CR34"/>
  <c r="BL34"/>
  <c r="AF34"/>
  <c r="AD34"/>
  <c r="AK34"/>
  <c r="AX34"/>
  <c r="BM34"/>
  <c r="DK34"/>
  <c r="CE34"/>
  <c r="AY34"/>
  <c r="S34"/>
  <c r="CH34"/>
  <c r="DD34"/>
  <c r="BX34"/>
  <c r="AR34"/>
  <c r="DE34"/>
  <c r="V34"/>
  <c r="AC34"/>
  <c r="AP34"/>
  <c r="BE34"/>
  <c r="DG34"/>
  <c r="CA34"/>
  <c r="AU34"/>
  <c r="DJ34"/>
  <c r="CD34"/>
  <c r="CZ34"/>
  <c r="BT34"/>
  <c r="AN34"/>
  <c r="CO34"/>
  <c r="DA34"/>
  <c r="U34"/>
  <c r="AH34"/>
  <c r="AW34"/>
  <c r="DC34"/>
  <c r="BW34"/>
  <c r="AQ34"/>
  <c r="DF34"/>
  <c r="BZ34"/>
  <c r="CV34"/>
  <c r="BP34"/>
  <c r="AJ34"/>
  <c r="BY34"/>
  <c r="CK34"/>
  <c r="DM34"/>
  <c r="Z34"/>
  <c r="AO34"/>
  <c r="CI34"/>
  <c r="BC34"/>
  <c r="W34"/>
  <c r="CL34"/>
  <c r="DH34"/>
  <c r="CB34"/>
  <c r="AV34"/>
  <c r="O34"/>
  <c r="M34" i="28" s="1"/>
  <c r="BJ34" i="11"/>
  <c r="BU34"/>
  <c r="CW34"/>
  <c r="R34"/>
  <c r="AG34"/>
  <c r="CU34"/>
  <c r="BO34"/>
  <c r="AI34"/>
  <c r="CX34"/>
  <c r="BR34"/>
  <c r="CN34"/>
  <c r="BH34"/>
  <c r="AB34"/>
  <c r="BB34"/>
  <c r="BI34"/>
  <c r="CG34"/>
  <c r="DI34"/>
  <c r="Y34"/>
  <c r="CQ34"/>
  <c r="BK34"/>
  <c r="AE34"/>
  <c r="CT34"/>
  <c r="CJ34"/>
  <c r="X34"/>
  <c r="BA34"/>
  <c r="CS34"/>
  <c r="CM34"/>
  <c r="AA34"/>
  <c r="DL34"/>
  <c r="AZ34"/>
  <c r="AL34"/>
  <c r="BF34"/>
  <c r="BN34"/>
  <c r="BD34"/>
  <c r="AT34"/>
  <c r="BQ34"/>
  <c r="Q34"/>
  <c r="BG34"/>
  <c r="CP34"/>
  <c r="CF34"/>
  <c r="T34"/>
  <c r="AS34"/>
  <c r="CC34"/>
  <c r="G39" i="28"/>
  <c r="CW39" i="11"/>
  <c r="CK39"/>
  <c r="AM39"/>
  <c r="AW39"/>
  <c r="AA39"/>
  <c r="X39"/>
  <c r="U39"/>
  <c r="CY39"/>
  <c r="BJ39"/>
  <c r="DL39"/>
  <c r="BK39"/>
  <c r="DI39"/>
  <c r="BH39"/>
  <c r="AP39"/>
  <c r="BS39"/>
  <c r="CR39"/>
  <c r="AD39"/>
  <c r="BG39"/>
  <c r="CF39"/>
  <c r="DE39"/>
  <c r="AE39"/>
  <c r="BD39"/>
  <c r="CC39"/>
  <c r="CX39"/>
  <c r="AB39"/>
  <c r="BA39"/>
  <c r="Z39"/>
  <c r="CL39"/>
  <c r="BC39"/>
  <c r="O39"/>
  <c r="M39" i="28" s="1"/>
  <c r="CB39" i="11"/>
  <c r="AO39"/>
  <c r="DA39"/>
  <c r="BZ39"/>
  <c r="AQ39"/>
  <c r="DC39"/>
  <c r="BP39"/>
  <c r="AC39"/>
  <c r="CO39"/>
  <c r="AX39"/>
  <c r="DJ39"/>
  <c r="CA39"/>
  <c r="AN39"/>
  <c r="CZ39"/>
  <c r="BM39"/>
  <c r="V39"/>
  <c r="CH39"/>
  <c r="AY39"/>
  <c r="DK39"/>
  <c r="BX39"/>
  <c r="AK39"/>
  <c r="CU39"/>
  <c r="CT39"/>
  <c r="AZ39"/>
  <c r="BL39"/>
  <c r="BY39"/>
  <c r="BR39"/>
  <c r="BV39"/>
  <c r="Y39"/>
  <c r="CM39"/>
  <c r="AH39"/>
  <c r="CJ39"/>
  <c r="AI39"/>
  <c r="CG39"/>
  <c r="DB39"/>
  <c r="AF39"/>
  <c r="BE39"/>
  <c r="CP39"/>
  <c r="T39"/>
  <c r="AS39"/>
  <c r="BN39"/>
  <c r="CQ39"/>
  <c r="Q39"/>
  <c r="AL39"/>
  <c r="BO39"/>
  <c r="CN39"/>
  <c r="DM39"/>
  <c r="BF39"/>
  <c r="W39"/>
  <c r="CI39"/>
  <c r="AV39"/>
  <c r="DH39"/>
  <c r="BU39"/>
  <c r="AT39"/>
  <c r="DF39"/>
  <c r="BW39"/>
  <c r="AJ39"/>
  <c r="CV39"/>
  <c r="BI39"/>
  <c r="R39"/>
  <c r="CD39"/>
  <c r="AU39"/>
  <c r="DG39"/>
  <c r="BT39"/>
  <c r="AG39"/>
  <c r="CS39"/>
  <c r="BB39"/>
  <c r="S39"/>
  <c r="CE39"/>
  <c r="AR39"/>
  <c r="DD39"/>
  <c r="BQ39"/>
  <c r="G145" i="2"/>
  <c r="F145" s="1"/>
  <c r="Q36" i="27"/>
  <c r="R36"/>
  <c r="O36"/>
  <c r="P36"/>
  <c r="N36"/>
  <c r="AA121" i="28"/>
  <c r="AG121"/>
  <c r="AG127"/>
  <c r="Y127" s="1"/>
  <c r="Y126" s="1"/>
  <c r="Y120" s="1"/>
  <c r="I54" i="20"/>
  <c r="AG126" i="28" s="1"/>
  <c r="AM127"/>
  <c r="AE127" s="1"/>
  <c r="AE126" s="1"/>
  <c r="O54" i="20"/>
  <c r="AA105" i="28"/>
  <c r="AA95" s="1"/>
  <c r="AK64"/>
  <c r="AC65"/>
  <c r="AC64" s="1"/>
  <c r="M20" i="13" s="1"/>
  <c r="AI132" i="28"/>
  <c r="AA133"/>
  <c r="AA132" s="1"/>
  <c r="O17" i="20"/>
  <c r="AM100" i="28"/>
  <c r="AM194"/>
  <c r="AE194" s="1"/>
  <c r="AE193" s="1"/>
  <c r="O146" i="20"/>
  <c r="AM193" i="28" s="1"/>
  <c r="G7" i="13"/>
  <c r="G129" i="20"/>
  <c r="Q91" i="27"/>
  <c r="N91"/>
  <c r="O91"/>
  <c r="P91"/>
  <c r="R91"/>
  <c r="L12" i="18"/>
  <c r="L13"/>
  <c r="L11"/>
  <c r="L45"/>
  <c r="L19"/>
  <c r="L18"/>
  <c r="L16"/>
  <c r="L20"/>
  <c r="L17"/>
  <c r="L43"/>
  <c r="AI113" i="28"/>
  <c r="AA113" s="1"/>
  <c r="AA110" s="1"/>
  <c r="K35" i="20"/>
  <c r="K34" s="1"/>
  <c r="AM113" i="28"/>
  <c r="AE113" s="1"/>
  <c r="AE110" s="1"/>
  <c r="O35" i="20"/>
  <c r="M134"/>
  <c r="AK185" i="28" s="1"/>
  <c r="AC185" s="1"/>
  <c r="L57" i="27"/>
  <c r="H57"/>
  <c r="K57"/>
  <c r="G57"/>
  <c r="J57"/>
  <c r="I57"/>
  <c r="R134" i="20"/>
  <c r="O134"/>
  <c r="AM185" i="28" s="1"/>
  <c r="AE185" s="1"/>
  <c r="K134" i="20"/>
  <c r="AI185" i="28" s="1"/>
  <c r="AA185" s="1"/>
  <c r="I134" i="20"/>
  <c r="AG185" i="28" s="1"/>
  <c r="Y185" s="1"/>
  <c r="G76"/>
  <c r="P21" i="29" s="1"/>
  <c r="X82" i="11"/>
  <c r="AF82"/>
  <c r="AN82"/>
  <c r="AV82"/>
  <c r="BD82"/>
  <c r="BM82"/>
  <c r="BU82"/>
  <c r="CC82"/>
  <c r="CK82"/>
  <c r="CS82"/>
  <c r="DB82"/>
  <c r="DJ82"/>
  <c r="S82"/>
  <c r="AC82"/>
  <c r="AK82"/>
  <c r="AS82"/>
  <c r="BA82"/>
  <c r="BJ82"/>
  <c r="BR82"/>
  <c r="BZ82"/>
  <c r="CH82"/>
  <c r="CP82"/>
  <c r="CX82"/>
  <c r="DG82"/>
  <c r="BF82"/>
  <c r="Y82"/>
  <c r="V82"/>
  <c r="AD82"/>
  <c r="AL82"/>
  <c r="AT82"/>
  <c r="BB82"/>
  <c r="BK82"/>
  <c r="BS82"/>
  <c r="CA82"/>
  <c r="CI82"/>
  <c r="CQ82"/>
  <c r="CY82"/>
  <c r="DH82"/>
  <c r="O82"/>
  <c r="M76" i="28" s="1"/>
  <c r="W82" i="11"/>
  <c r="AE82"/>
  <c r="AM82"/>
  <c r="AU82"/>
  <c r="BC82"/>
  <c r="BL82"/>
  <c r="BT82"/>
  <c r="CB82"/>
  <c r="CJ82"/>
  <c r="CR82"/>
  <c r="CZ82"/>
  <c r="DI82"/>
  <c r="T82"/>
  <c r="AB82"/>
  <c r="AJ82"/>
  <c r="AR82"/>
  <c r="AZ82"/>
  <c r="BI82"/>
  <c r="BQ82"/>
  <c r="BY82"/>
  <c r="CG82"/>
  <c r="CO82"/>
  <c r="CW82"/>
  <c r="DF82"/>
  <c r="DA82"/>
  <c r="U82"/>
  <c r="AG82"/>
  <c r="AO82"/>
  <c r="AW82"/>
  <c r="BE82"/>
  <c r="BN82"/>
  <c r="BV82"/>
  <c r="CD82"/>
  <c r="CL82"/>
  <c r="CT82"/>
  <c r="DC82"/>
  <c r="DK82"/>
  <c r="Q82"/>
  <c r="R82"/>
  <c r="Z82"/>
  <c r="AH82"/>
  <c r="AP82"/>
  <c r="AX82"/>
  <c r="BG82"/>
  <c r="BO82"/>
  <c r="BW82"/>
  <c r="CE82"/>
  <c r="CM82"/>
  <c r="CU82"/>
  <c r="DD82"/>
  <c r="DL82"/>
  <c r="AA82"/>
  <c r="AI82"/>
  <c r="AQ82"/>
  <c r="AY82"/>
  <c r="BH82"/>
  <c r="BP82"/>
  <c r="BX82"/>
  <c r="CF82"/>
  <c r="CN82"/>
  <c r="CV82"/>
  <c r="DE82"/>
  <c r="DM82"/>
  <c r="AG218" i="28"/>
  <c r="G10"/>
  <c r="P7" i="29" s="1"/>
  <c r="DC10" i="11"/>
  <c r="BW10"/>
  <c r="AQ10"/>
  <c r="DF10"/>
  <c r="BZ10"/>
  <c r="AT10"/>
  <c r="DM10"/>
  <c r="CG10"/>
  <c r="BA10"/>
  <c r="U10"/>
  <c r="CN10"/>
  <c r="BH10"/>
  <c r="AB10"/>
  <c r="CI10"/>
  <c r="BC10"/>
  <c r="W10"/>
  <c r="CL10"/>
  <c r="BF10"/>
  <c r="Z10"/>
  <c r="CS10"/>
  <c r="BM10"/>
  <c r="AG10"/>
  <c r="CZ10"/>
  <c r="BT10"/>
  <c r="AN10"/>
  <c r="DK10"/>
  <c r="CE10"/>
  <c r="AY10"/>
  <c r="S10"/>
  <c r="CH10"/>
  <c r="BB10"/>
  <c r="V10"/>
  <c r="CO10"/>
  <c r="BI10"/>
  <c r="AC10"/>
  <c r="CV10"/>
  <c r="BP10"/>
  <c r="AJ10"/>
  <c r="DG10"/>
  <c r="CA10"/>
  <c r="AU10"/>
  <c r="DJ10"/>
  <c r="CD10"/>
  <c r="AX10"/>
  <c r="R10"/>
  <c r="CK10"/>
  <c r="BE10"/>
  <c r="Y10"/>
  <c r="CR10"/>
  <c r="BL10"/>
  <c r="AF10"/>
  <c r="BG10"/>
  <c r="CP10"/>
  <c r="AD10"/>
  <c r="BQ10"/>
  <c r="DD10"/>
  <c r="AR10"/>
  <c r="BS10"/>
  <c r="DB10"/>
  <c r="AP10"/>
  <c r="CC10"/>
  <c r="Q10"/>
  <c r="BD10"/>
  <c r="CU10"/>
  <c r="AI10"/>
  <c r="BR10"/>
  <c r="DE10"/>
  <c r="AS10"/>
  <c r="CF10"/>
  <c r="T10"/>
  <c r="BK10"/>
  <c r="CT10"/>
  <c r="AH10"/>
  <c r="BU10"/>
  <c r="DH10"/>
  <c r="AV10"/>
  <c r="CM10"/>
  <c r="AA10"/>
  <c r="BJ10"/>
  <c r="CW10"/>
  <c r="AK10"/>
  <c r="BX10"/>
  <c r="CY10"/>
  <c r="AM10"/>
  <c r="BV10"/>
  <c r="DI10"/>
  <c r="AW10"/>
  <c r="CJ10"/>
  <c r="X10"/>
  <c r="BO10"/>
  <c r="CX10"/>
  <c r="AL10"/>
  <c r="BY10"/>
  <c r="DL10"/>
  <c r="AZ10"/>
  <c r="CQ10"/>
  <c r="AE10"/>
  <c r="BN10"/>
  <c r="DA10"/>
  <c r="AO10"/>
  <c r="CB10"/>
  <c r="O10"/>
  <c r="G80"/>
  <c r="G74" i="28" s="1"/>
  <c r="G75"/>
  <c r="P20" i="29" s="1"/>
  <c r="CH81" i="11"/>
  <c r="CR81"/>
  <c r="CK81"/>
  <c r="BZ81"/>
  <c r="CE81"/>
  <c r="BB81"/>
  <c r="CS81"/>
  <c r="W81"/>
  <c r="BN81"/>
  <c r="BH81"/>
  <c r="BE81"/>
  <c r="BP81"/>
  <c r="BW81"/>
  <c r="AI81"/>
  <c r="AV81"/>
  <c r="AL81"/>
  <c r="BY81"/>
  <c r="BQ81"/>
  <c r="DB81"/>
  <c r="AU81"/>
  <c r="BF81"/>
  <c r="DL81"/>
  <c r="AS81"/>
  <c r="BJ81"/>
  <c r="AT81"/>
  <c r="AK81"/>
  <c r="BU81"/>
  <c r="BI81"/>
  <c r="BC81"/>
  <c r="U81"/>
  <c r="AZ81"/>
  <c r="CT81"/>
  <c r="AP81"/>
  <c r="DK81"/>
  <c r="AF81"/>
  <c r="AO81"/>
  <c r="BM81"/>
  <c r="CW81"/>
  <c r="DJ81"/>
  <c r="CO81"/>
  <c r="CD81"/>
  <c r="CI81"/>
  <c r="BA81"/>
  <c r="CF81"/>
  <c r="AE81"/>
  <c r="CP81"/>
  <c r="AR81"/>
  <c r="AH81"/>
  <c r="DA81"/>
  <c r="CU81"/>
  <c r="CJ81"/>
  <c r="DI81"/>
  <c r="CN81"/>
  <c r="Z81"/>
  <c r="BV81"/>
  <c r="R81"/>
  <c r="CM81"/>
  <c r="AD81"/>
  <c r="T81"/>
  <c r="BS81"/>
  <c r="AX81"/>
  <c r="V81"/>
  <c r="AY81"/>
  <c r="AM81"/>
  <c r="DG81"/>
  <c r="Q81"/>
  <c r="DM81"/>
  <c r="CQ81"/>
  <c r="DD81"/>
  <c r="BT81"/>
  <c r="AQ81"/>
  <c r="CX81"/>
  <c r="O81"/>
  <c r="CG81"/>
  <c r="BK81"/>
  <c r="BX81"/>
  <c r="CA81"/>
  <c r="CY81"/>
  <c r="AJ81"/>
  <c r="AN81"/>
  <c r="BO81"/>
  <c r="AW81"/>
  <c r="CB81"/>
  <c r="AA81"/>
  <c r="CL81"/>
  <c r="X81"/>
  <c r="DE81"/>
  <c r="BR81"/>
  <c r="DF81"/>
  <c r="AC81"/>
  <c r="BL81"/>
  <c r="CV81"/>
  <c r="CZ81"/>
  <c r="AB81"/>
  <c r="CC81"/>
  <c r="DH81"/>
  <c r="BG81"/>
  <c r="Y81"/>
  <c r="BD81"/>
  <c r="S81"/>
  <c r="AG81"/>
  <c r="DC81"/>
  <c r="H85"/>
  <c r="G85" s="1"/>
  <c r="H59" i="7"/>
  <c r="G59" s="1"/>
  <c r="BD77" i="11"/>
  <c r="BI77"/>
  <c r="AL77"/>
  <c r="CY77"/>
  <c r="CI77"/>
  <c r="AX77"/>
  <c r="DF77"/>
  <c r="BS77"/>
  <c r="AJ77"/>
  <c r="CK77"/>
  <c r="BZ77"/>
  <c r="T77"/>
  <c r="BH77"/>
  <c r="DC77"/>
  <c r="DH77"/>
  <c r="CO77"/>
  <c r="BQ77"/>
  <c r="DM77"/>
  <c r="CA77"/>
  <c r="DK77"/>
  <c r="CW77"/>
  <c r="DA77"/>
  <c r="BK77"/>
  <c r="CE77"/>
  <c r="DJ77"/>
  <c r="BN77"/>
  <c r="H83"/>
  <c r="G83" s="1"/>
  <c r="P31" i="29"/>
  <c r="P8"/>
  <c r="H26" i="14"/>
  <c r="H16"/>
  <c r="I22" i="13"/>
  <c r="J24" i="14"/>
  <c r="O20" i="13"/>
  <c r="J14" i="14"/>
  <c r="G77" i="20"/>
  <c r="AM132" i="28"/>
  <c r="AE133"/>
  <c r="AE132" s="1"/>
  <c r="K17" i="20"/>
  <c r="AI100" i="28"/>
  <c r="AK100"/>
  <c r="M17" i="20"/>
  <c r="G140"/>
  <c r="H22" i="11"/>
  <c r="G22" s="1"/>
  <c r="O34" i="20"/>
  <c r="O95" i="27"/>
  <c r="H12" i="10" s="1"/>
  <c r="G12" s="1"/>
  <c r="H38" s="1"/>
  <c r="G38" s="1"/>
  <c r="AI139" i="28"/>
  <c r="AA139" s="1"/>
  <c r="J63" i="19"/>
  <c r="J65"/>
  <c r="M60" i="28"/>
  <c r="O65" i="11"/>
  <c r="M59" i="28" s="1"/>
  <c r="F82" i="2"/>
  <c r="M83" i="20"/>
  <c r="M81" s="1"/>
  <c r="I83"/>
  <c r="I81" s="1"/>
  <c r="O83"/>
  <c r="O81" s="1"/>
  <c r="K83"/>
  <c r="K81" s="1"/>
  <c r="AG184" i="28"/>
  <c r="AM184"/>
  <c r="I17" i="20"/>
  <c r="AG100" i="28"/>
  <c r="Y65"/>
  <c r="Y64" s="1"/>
  <c r="AG64"/>
  <c r="M30"/>
  <c r="AC133"/>
  <c r="AC132" s="1"/>
  <c r="AK132"/>
  <c r="G37"/>
  <c r="CO37" i="11"/>
  <c r="BI37"/>
  <c r="AC37"/>
  <c r="CV37"/>
  <c r="BP37"/>
  <c r="AJ37"/>
  <c r="DC37"/>
  <c r="BW37"/>
  <c r="AQ37"/>
  <c r="DF37"/>
  <c r="BZ37"/>
  <c r="AT37"/>
  <c r="DA37"/>
  <c r="BU37"/>
  <c r="AO37"/>
  <c r="DH37"/>
  <c r="CB37"/>
  <c r="AV37"/>
  <c r="O37"/>
  <c r="M37" i="28" s="1"/>
  <c r="CY37" i="11"/>
  <c r="BS37"/>
  <c r="AM37"/>
  <c r="DB37"/>
  <c r="BV37"/>
  <c r="AP37"/>
  <c r="DM37"/>
  <c r="CG37"/>
  <c r="BA37"/>
  <c r="U37"/>
  <c r="CN37"/>
  <c r="BH37"/>
  <c r="AB37"/>
  <c r="CU37"/>
  <c r="BO37"/>
  <c r="AI37"/>
  <c r="CX37"/>
  <c r="BR37"/>
  <c r="AL37"/>
  <c r="DI37"/>
  <c r="CC37"/>
  <c r="AW37"/>
  <c r="Q37"/>
  <c r="CJ37"/>
  <c r="BD37"/>
  <c r="X37"/>
  <c r="CQ37"/>
  <c r="BK37"/>
  <c r="AE37"/>
  <c r="CT37"/>
  <c r="BN37"/>
  <c r="AH37"/>
  <c r="DE37"/>
  <c r="BY37"/>
  <c r="AS37"/>
  <c r="DL37"/>
  <c r="CF37"/>
  <c r="AZ37"/>
  <c r="T37"/>
  <c r="CM37"/>
  <c r="BG37"/>
  <c r="AA37"/>
  <c r="CP37"/>
  <c r="BJ37"/>
  <c r="AD37"/>
  <c r="CK37"/>
  <c r="BE37"/>
  <c r="Y37"/>
  <c r="CR37"/>
  <c r="BL37"/>
  <c r="AF37"/>
  <c r="CI37"/>
  <c r="BC37"/>
  <c r="W37"/>
  <c r="CL37"/>
  <c r="BF37"/>
  <c r="Z37"/>
  <c r="CW37"/>
  <c r="BQ37"/>
  <c r="AK37"/>
  <c r="DD37"/>
  <c r="BX37"/>
  <c r="AR37"/>
  <c r="DK37"/>
  <c r="CE37"/>
  <c r="AY37"/>
  <c r="S37"/>
  <c r="CH37"/>
  <c r="BB37"/>
  <c r="V37"/>
  <c r="CS37"/>
  <c r="BM37"/>
  <c r="AG37"/>
  <c r="CZ37"/>
  <c r="BT37"/>
  <c r="AN37"/>
  <c r="DG37"/>
  <c r="CA37"/>
  <c r="AU37"/>
  <c r="DJ37"/>
  <c r="CD37"/>
  <c r="AX37"/>
  <c r="R37"/>
  <c r="G21" i="28"/>
  <c r="DG21" i="11"/>
  <c r="CA21"/>
  <c r="AU21"/>
  <c r="DJ21"/>
  <c r="CD21"/>
  <c r="AX21"/>
  <c r="R21"/>
  <c r="CK21"/>
  <c r="BE21"/>
  <c r="Y21"/>
  <c r="CR21"/>
  <c r="BL21"/>
  <c r="AF21"/>
  <c r="CM21"/>
  <c r="BG21"/>
  <c r="AA21"/>
  <c r="CP21"/>
  <c r="BJ21"/>
  <c r="AD21"/>
  <c r="CW21"/>
  <c r="BQ21"/>
  <c r="AK21"/>
  <c r="DD21"/>
  <c r="BX21"/>
  <c r="AR21"/>
  <c r="CY21"/>
  <c r="BS21"/>
  <c r="AM21"/>
  <c r="DB21"/>
  <c r="BV21"/>
  <c r="AP21"/>
  <c r="DI21"/>
  <c r="CC21"/>
  <c r="AW21"/>
  <c r="Q21"/>
  <c r="CJ21"/>
  <c r="BD21"/>
  <c r="X21"/>
  <c r="CU21"/>
  <c r="BO21"/>
  <c r="AI21"/>
  <c r="CX21"/>
  <c r="BR21"/>
  <c r="AL21"/>
  <c r="DE21"/>
  <c r="BY21"/>
  <c r="AS21"/>
  <c r="DL21"/>
  <c r="CF21"/>
  <c r="AZ21"/>
  <c r="T21"/>
  <c r="CQ21"/>
  <c r="BK21"/>
  <c r="AE21"/>
  <c r="CT21"/>
  <c r="BN21"/>
  <c r="AH21"/>
  <c r="DA21"/>
  <c r="BU21"/>
  <c r="AO21"/>
  <c r="DH21"/>
  <c r="CB21"/>
  <c r="AV21"/>
  <c r="O21"/>
  <c r="M21" i="28" s="1"/>
  <c r="DC21" i="11"/>
  <c r="BW21"/>
  <c r="AQ21"/>
  <c r="DF21"/>
  <c r="BZ21"/>
  <c r="AT21"/>
  <c r="DM21"/>
  <c r="CG21"/>
  <c r="BA21"/>
  <c r="U21"/>
  <c r="CN21"/>
  <c r="BH21"/>
  <c r="AB21"/>
  <c r="CI21"/>
  <c r="BC21"/>
  <c r="W21"/>
  <c r="CL21"/>
  <c r="BF21"/>
  <c r="Z21"/>
  <c r="CS21"/>
  <c r="BM21"/>
  <c r="AG21"/>
  <c r="CZ21"/>
  <c r="BT21"/>
  <c r="AN21"/>
  <c r="DK21"/>
  <c r="CE21"/>
  <c r="AY21"/>
  <c r="S21"/>
  <c r="CH21"/>
  <c r="BB21"/>
  <c r="V21"/>
  <c r="CO21"/>
  <c r="BI21"/>
  <c r="AC21"/>
  <c r="CV21"/>
  <c r="BP21"/>
  <c r="AJ21"/>
  <c r="I51" i="27"/>
  <c r="H51"/>
  <c r="G51"/>
  <c r="O70" i="20"/>
  <c r="AM140" i="28" s="1"/>
  <c r="AE140" s="1"/>
  <c r="AE137" s="1"/>
  <c r="K70" i="20"/>
  <c r="AI140" i="28" s="1"/>
  <c r="AA140" s="1"/>
  <c r="L51" i="27"/>
  <c r="R70" i="20"/>
  <c r="R76" s="1"/>
  <c r="I70"/>
  <c r="J51" i="27"/>
  <c r="K51"/>
  <c r="M70" i="20"/>
  <c r="Y219" i="28"/>
  <c r="Y218" s="1"/>
  <c r="AC219"/>
  <c r="AC218" s="1"/>
  <c r="AA219"/>
  <c r="AA218" s="1"/>
  <c r="AE219"/>
  <c r="AE218" s="1"/>
  <c r="L46" i="18"/>
  <c r="L44"/>
  <c r="L25"/>
  <c r="L26"/>
  <c r="AG113" i="28"/>
  <c r="Y113" s="1"/>
  <c r="Y110" s="1"/>
  <c r="I35" i="20"/>
  <c r="I34" s="1"/>
  <c r="AK113" i="28"/>
  <c r="AC113" s="1"/>
  <c r="AC110" s="1"/>
  <c r="M35" i="20"/>
  <c r="M34" s="1"/>
  <c r="T13" i="29"/>
  <c r="T30"/>
  <c r="T5"/>
  <c r="T15"/>
  <c r="T7"/>
  <c r="T12"/>
  <c r="T33"/>
  <c r="T14"/>
  <c r="T4"/>
  <c r="O104" i="20"/>
  <c r="O102" s="1"/>
  <c r="O100" s="1"/>
  <c r="AM168" i="28" s="1"/>
  <c r="AE168" s="1"/>
  <c r="K104" i="20"/>
  <c r="K102" s="1"/>
  <c r="K100" s="1"/>
  <c r="AI168" i="28" s="1"/>
  <c r="AA168" s="1"/>
  <c r="I104" i="20"/>
  <c r="I102" s="1"/>
  <c r="I100" s="1"/>
  <c r="AG168" i="28" s="1"/>
  <c r="Y168" s="1"/>
  <c r="M104" i="20"/>
  <c r="M102" s="1"/>
  <c r="M100" s="1"/>
  <c r="AK168" i="28" s="1"/>
  <c r="AC168" s="1"/>
  <c r="F103" i="2"/>
  <c r="J88" i="19"/>
  <c r="H64" i="11" s="1"/>
  <c r="G64" s="1"/>
  <c r="L4" i="29"/>
  <c r="L14"/>
  <c r="L33"/>
  <c r="L12"/>
  <c r="L7"/>
  <c r="L15"/>
  <c r="L5"/>
  <c r="L30"/>
  <c r="L13"/>
  <c r="H56" i="7"/>
  <c r="G56" s="1"/>
  <c r="H79" i="11" s="1"/>
  <c r="G79" s="1"/>
  <c r="H54" i="7"/>
  <c r="G54" s="1"/>
  <c r="G86" i="28"/>
  <c r="P32" i="29" s="1"/>
  <c r="CN92" i="11"/>
  <c r="DA92"/>
  <c r="BD92"/>
  <c r="S92"/>
  <c r="AG92"/>
  <c r="AD92"/>
  <c r="AE92"/>
  <c r="AR92"/>
  <c r="CS92"/>
  <c r="AV92"/>
  <c r="CP92"/>
  <c r="AO92"/>
  <c r="CQ92"/>
  <c r="BB92"/>
  <c r="DD92"/>
  <c r="G89"/>
  <c r="G83" i="28" s="1"/>
  <c r="BM92" i="11"/>
  <c r="CL92"/>
  <c r="O92"/>
  <c r="AK92"/>
  <c r="BJ92"/>
  <c r="CM92"/>
  <c r="DL92"/>
  <c r="AH92"/>
  <c r="BK92"/>
  <c r="CJ92"/>
  <c r="V92"/>
  <c r="AY92"/>
  <c r="BX92"/>
  <c r="AW92"/>
  <c r="DI92"/>
  <c r="BV92"/>
  <c r="AM92"/>
  <c r="CY92"/>
  <c r="BL92"/>
  <c r="U92"/>
  <c r="CG92"/>
  <c r="AT92"/>
  <c r="DF92"/>
  <c r="BW92"/>
  <c r="AJ92"/>
  <c r="CV92"/>
  <c r="BE92"/>
  <c r="R92"/>
  <c r="CD92"/>
  <c r="AU92"/>
  <c r="DG92"/>
  <c r="BT92"/>
  <c r="AS92"/>
  <c r="DE92"/>
  <c r="BR92"/>
  <c r="AI92"/>
  <c r="CU92"/>
  <c r="BH92"/>
  <c r="BG92"/>
  <c r="DH92"/>
  <c r="CF92"/>
  <c r="BQ92"/>
  <c r="BN92"/>
  <c r="CE92"/>
  <c r="Z92"/>
  <c r="CB92"/>
  <c r="AA92"/>
  <c r="BU92"/>
  <c r="X92"/>
  <c r="CH92"/>
  <c r="Q92"/>
  <c r="AP92"/>
  <c r="BS92"/>
  <c r="CR92"/>
  <c r="DM92"/>
  <c r="AQ92"/>
  <c r="BP92"/>
  <c r="CK92"/>
  <c r="DJ92"/>
  <c r="AN92"/>
  <c r="BY92"/>
  <c r="CX92"/>
  <c r="AB92"/>
  <c r="BF92"/>
  <c r="CI92"/>
  <c r="CO92"/>
  <c r="W92"/>
  <c r="T92"/>
  <c r="AC92"/>
  <c r="BC92"/>
  <c r="CW92"/>
  <c r="AZ92"/>
  <c r="CT92"/>
  <c r="BI92"/>
  <c r="DK92"/>
  <c r="CC92"/>
  <c r="DB92"/>
  <c r="AF92"/>
  <c r="BA92"/>
  <c r="BZ92"/>
  <c r="DC92"/>
  <c r="Y92"/>
  <c r="AX92"/>
  <c r="CA92"/>
  <c r="CZ92"/>
  <c r="AL92"/>
  <c r="BO92"/>
  <c r="G5" i="28"/>
  <c r="P4" i="29" s="1"/>
  <c r="DK5" i="11"/>
  <c r="DK194" s="1"/>
  <c r="CE5"/>
  <c r="CE194" s="1"/>
  <c r="AY5"/>
  <c r="AY194" s="1"/>
  <c r="S5"/>
  <c r="CH5"/>
  <c r="CH194" s="1"/>
  <c r="BB5"/>
  <c r="BB194" s="1"/>
  <c r="V5"/>
  <c r="CO5"/>
  <c r="CO194" s="1"/>
  <c r="BI5"/>
  <c r="BI194" s="1"/>
  <c r="AC5"/>
  <c r="CV5"/>
  <c r="CV194" s="1"/>
  <c r="BP5"/>
  <c r="BP194" s="1"/>
  <c r="AJ5"/>
  <c r="DG5"/>
  <c r="DG194" s="1"/>
  <c r="CA5"/>
  <c r="CA194" s="1"/>
  <c r="AU5"/>
  <c r="DJ5"/>
  <c r="DJ194" s="1"/>
  <c r="CD5"/>
  <c r="CD194" s="1"/>
  <c r="AX5"/>
  <c r="AX194" s="1"/>
  <c r="R5"/>
  <c r="CK5"/>
  <c r="CK194" s="1"/>
  <c r="BE5"/>
  <c r="BE194" s="1"/>
  <c r="Y5"/>
  <c r="CR5"/>
  <c r="CR194" s="1"/>
  <c r="BL5"/>
  <c r="BL194" s="1"/>
  <c r="AF5"/>
  <c r="CM5"/>
  <c r="CM194" s="1"/>
  <c r="BG5"/>
  <c r="BG194" s="1"/>
  <c r="AA5"/>
  <c r="CP5"/>
  <c r="CP194" s="1"/>
  <c r="BJ5"/>
  <c r="BJ194" s="1"/>
  <c r="AD5"/>
  <c r="CW5"/>
  <c r="CW194" s="1"/>
  <c r="BQ5"/>
  <c r="BQ194" s="1"/>
  <c r="AK5"/>
  <c r="DD5"/>
  <c r="DD194" s="1"/>
  <c r="BX5"/>
  <c r="BX194" s="1"/>
  <c r="AR5"/>
  <c r="CY5"/>
  <c r="CY194" s="1"/>
  <c r="BS5"/>
  <c r="BS194" s="1"/>
  <c r="AM5"/>
  <c r="DB5"/>
  <c r="DB194" s="1"/>
  <c r="BV5"/>
  <c r="BV194" s="1"/>
  <c r="AP5"/>
  <c r="DI5"/>
  <c r="DI194" s="1"/>
  <c r="CC5"/>
  <c r="CC194" s="1"/>
  <c r="AW5"/>
  <c r="AW194" s="1"/>
  <c r="Q5"/>
  <c r="CJ5"/>
  <c r="CJ194" s="1"/>
  <c r="BD5"/>
  <c r="BD194" s="1"/>
  <c r="X5"/>
  <c r="G4"/>
  <c r="CU5"/>
  <c r="CU194" s="1"/>
  <c r="BO5"/>
  <c r="BO194" s="1"/>
  <c r="AI5"/>
  <c r="CX5"/>
  <c r="CX194" s="1"/>
  <c r="BR5"/>
  <c r="BR194" s="1"/>
  <c r="AL5"/>
  <c r="DE5"/>
  <c r="DE194" s="1"/>
  <c r="BY5"/>
  <c r="BY194" s="1"/>
  <c r="AS5"/>
  <c r="DL5"/>
  <c r="DL194" s="1"/>
  <c r="CF5"/>
  <c r="CF194" s="1"/>
  <c r="AZ5"/>
  <c r="AZ194" s="1"/>
  <c r="T5"/>
  <c r="CQ5"/>
  <c r="CQ194" s="1"/>
  <c r="BK5"/>
  <c r="BK194" s="1"/>
  <c r="AE5"/>
  <c r="CT5"/>
  <c r="CT194" s="1"/>
  <c r="BN5"/>
  <c r="BN194" s="1"/>
  <c r="AH5"/>
  <c r="DA5"/>
  <c r="DA194" s="1"/>
  <c r="BU5"/>
  <c r="BU194" s="1"/>
  <c r="AO5"/>
  <c r="DH5"/>
  <c r="DH194" s="1"/>
  <c r="CB5"/>
  <c r="CB194" s="1"/>
  <c r="AV5"/>
  <c r="AV194" s="1"/>
  <c r="O5"/>
  <c r="DC5"/>
  <c r="DC194" s="1"/>
  <c r="BW5"/>
  <c r="BW194" s="1"/>
  <c r="AQ5"/>
  <c r="DF5"/>
  <c r="DF194" s="1"/>
  <c r="BZ5"/>
  <c r="BZ194" s="1"/>
  <c r="AT5"/>
  <c r="DM5"/>
  <c r="DM194" s="1"/>
  <c r="CG5"/>
  <c r="CG194" s="1"/>
  <c r="BA5"/>
  <c r="BA194" s="1"/>
  <c r="U5"/>
  <c r="CN5"/>
  <c r="CN194" s="1"/>
  <c r="BH5"/>
  <c r="BH194" s="1"/>
  <c r="AB5"/>
  <c r="CI5"/>
  <c r="CI194" s="1"/>
  <c r="BC5"/>
  <c r="BC194" s="1"/>
  <c r="W5"/>
  <c r="CL5"/>
  <c r="CL194" s="1"/>
  <c r="BF5"/>
  <c r="BF194" s="1"/>
  <c r="Z5"/>
  <c r="CS5"/>
  <c r="CS194" s="1"/>
  <c r="BM5"/>
  <c r="BM194" s="1"/>
  <c r="AG5"/>
  <c r="CZ5"/>
  <c r="CZ194" s="1"/>
  <c r="BT5"/>
  <c r="BT194" s="1"/>
  <c r="AN5"/>
  <c r="H38" i="7"/>
  <c r="G38" s="1"/>
  <c r="H78" i="11" s="1"/>
  <c r="G78" s="1"/>
  <c r="H26" i="7"/>
  <c r="G26" s="1"/>
  <c r="H10"/>
  <c r="G10" s="1"/>
  <c r="H13"/>
  <c r="G13" s="1"/>
  <c r="H5"/>
  <c r="G5" s="1"/>
  <c r="H6" s="1"/>
  <c r="G6" s="1"/>
  <c r="H72" i="11" s="1"/>
  <c r="G72" s="1"/>
  <c r="H63" i="7"/>
  <c r="G63" s="1"/>
  <c r="H84" i="11" s="1"/>
  <c r="G84" s="1"/>
  <c r="H21" i="7"/>
  <c r="G21" s="1"/>
  <c r="H29"/>
  <c r="G29" s="1"/>
  <c r="H18"/>
  <c r="G18" s="1"/>
  <c r="P30" i="29"/>
  <c r="H87" i="11"/>
  <c r="G87" s="1"/>
  <c r="P33" i="29"/>
  <c r="H167" i="11"/>
  <c r="G167" s="1"/>
  <c r="H170"/>
  <c r="G170" s="1"/>
  <c r="G240" i="28"/>
  <c r="DE192" i="11"/>
  <c r="V192"/>
  <c r="BB192"/>
  <c r="CH192"/>
  <c r="AE192"/>
  <c r="BK192"/>
  <c r="CQ192"/>
  <c r="X192"/>
  <c r="BD192"/>
  <c r="CJ192"/>
  <c r="Q192"/>
  <c r="AW192"/>
  <c r="CC192"/>
  <c r="DI192"/>
  <c r="S192"/>
  <c r="BR192"/>
  <c r="AU192"/>
  <c r="DG192"/>
  <c r="BT192"/>
  <c r="AG192"/>
  <c r="CS192"/>
  <c r="W192"/>
  <c r="AP192"/>
  <c r="BV192"/>
  <c r="DB192"/>
  <c r="AY192"/>
  <c r="CE192"/>
  <c r="DK192"/>
  <c r="AR192"/>
  <c r="BX192"/>
  <c r="DD192"/>
  <c r="AK192"/>
  <c r="BQ192"/>
  <c r="CW192"/>
  <c r="AA192"/>
  <c r="AT192"/>
  <c r="BZ192"/>
  <c r="DF192"/>
  <c r="BC192"/>
  <c r="CI192"/>
  <c r="O192"/>
  <c r="M240" i="28" s="1"/>
  <c r="AF192" i="11"/>
  <c r="BL192"/>
  <c r="CR192"/>
  <c r="Y192"/>
  <c r="BE192"/>
  <c r="CK192"/>
  <c r="AH192"/>
  <c r="BN192"/>
  <c r="CT192"/>
  <c r="AQ192"/>
  <c r="BW192"/>
  <c r="DC192"/>
  <c r="AJ192"/>
  <c r="BP192"/>
  <c r="CV192"/>
  <c r="AC192"/>
  <c r="BI192"/>
  <c r="CO192"/>
  <c r="AL192"/>
  <c r="CX192"/>
  <c r="CA192"/>
  <c r="AN192"/>
  <c r="CZ192"/>
  <c r="BM192"/>
  <c r="Z192"/>
  <c r="BF192"/>
  <c r="CL192"/>
  <c r="AI192"/>
  <c r="BO192"/>
  <c r="CU192"/>
  <c r="AB192"/>
  <c r="BH192"/>
  <c r="CN192"/>
  <c r="U192"/>
  <c r="BA192"/>
  <c r="CG192"/>
  <c r="DM192"/>
  <c r="AD192"/>
  <c r="BJ192"/>
  <c r="CP192"/>
  <c r="AM192"/>
  <c r="BS192"/>
  <c r="CY192"/>
  <c r="AV192"/>
  <c r="CB192"/>
  <c r="DH192"/>
  <c r="AO192"/>
  <c r="BU192"/>
  <c r="DA192"/>
  <c r="R192"/>
  <c r="AX192"/>
  <c r="CD192"/>
  <c r="DJ192"/>
  <c r="BG192"/>
  <c r="CM192"/>
  <c r="T192"/>
  <c r="AZ192"/>
  <c r="CF192"/>
  <c r="DL192"/>
  <c r="AS192"/>
  <c r="BY192"/>
  <c r="M18" i="13"/>
  <c r="M14" i="28"/>
  <c r="AG132"/>
  <c r="Y133"/>
  <c r="Y132" s="1"/>
  <c r="AA193"/>
  <c r="AE95"/>
  <c r="Y95"/>
  <c r="F69" i="2"/>
  <c r="K146" i="20"/>
  <c r="AI193" i="28" s="1"/>
  <c r="M146" i="20"/>
  <c r="AK193" i="28" s="1"/>
  <c r="K10" i="19"/>
  <c r="J10" s="1"/>
  <c r="J11" s="1"/>
  <c r="J13" s="1"/>
  <c r="AK184" i="28"/>
  <c r="AI184"/>
  <c r="AA126" l="1"/>
  <c r="AI120"/>
  <c r="AC120"/>
  <c r="AH77" i="11"/>
  <c r="CP77"/>
  <c r="AC77"/>
  <c r="AU77"/>
  <c r="AW77"/>
  <c r="Q77"/>
  <c r="Z77"/>
  <c r="BE77"/>
  <c r="AI77"/>
  <c r="AR77"/>
  <c r="DD77"/>
  <c r="BB77"/>
  <c r="BU77"/>
  <c r="BM77"/>
  <c r="AQ77"/>
  <c r="CU77"/>
  <c r="BV77"/>
  <c r="CJ77"/>
  <c r="AN77"/>
  <c r="AD77"/>
  <c r="AK77"/>
  <c r="AT77"/>
  <c r="CZ77"/>
  <c r="O77"/>
  <c r="M71" i="28" s="1"/>
  <c r="Y77" i="11"/>
  <c r="BL77"/>
  <c r="DE77"/>
  <c r="DL77"/>
  <c r="AB77"/>
  <c r="U77"/>
  <c r="AF77"/>
  <c r="BP77"/>
  <c r="CL77"/>
  <c r="AS77"/>
  <c r="X77"/>
  <c r="BO77"/>
  <c r="CM77"/>
  <c r="V77"/>
  <c r="CD77"/>
  <c r="AO77"/>
  <c r="CR77"/>
  <c r="BC77"/>
  <c r="CQ77"/>
  <c r="DB77"/>
  <c r="CN77"/>
  <c r="CC77"/>
  <c r="AY77"/>
  <c r="AA77"/>
  <c r="CF77"/>
  <c r="AE77"/>
  <c r="AV77"/>
  <c r="CT77"/>
  <c r="AE120" i="28"/>
  <c r="AE109" s="1"/>
  <c r="BX77" i="11"/>
  <c r="CB77"/>
  <c r="BF77"/>
  <c r="CV77"/>
  <c r="S77"/>
  <c r="BJ77"/>
  <c r="BY77"/>
  <c r="AP77"/>
  <c r="AG77"/>
  <c r="AZ77"/>
  <c r="BT77"/>
  <c r="CX77"/>
  <c r="CG77"/>
  <c r="BG77"/>
  <c r="R77"/>
  <c r="DI77"/>
  <c r="BR77"/>
  <c r="BW77"/>
  <c r="CH77"/>
  <c r="DG77"/>
  <c r="G71" i="28"/>
  <c r="P17" i="29" s="1"/>
  <c r="W77" i="11"/>
  <c r="AM77"/>
  <c r="BA77"/>
  <c r="Q94" i="27"/>
  <c r="R95"/>
  <c r="H13" i="10" s="1"/>
  <c r="G13" s="1"/>
  <c r="M132" i="20"/>
  <c r="M131" s="1"/>
  <c r="N205" i="2"/>
  <c r="G13" i="13" s="1"/>
  <c r="P95" i="27"/>
  <c r="H11" i="10" s="1"/>
  <c r="G11" s="1"/>
  <c r="H37" s="1"/>
  <c r="G37" s="1"/>
  <c r="O132" i="20"/>
  <c r="O131" s="1"/>
  <c r="P94" i="27"/>
  <c r="P96" s="1"/>
  <c r="I161" i="20"/>
  <c r="I132"/>
  <c r="I131" s="1"/>
  <c r="Y203" i="28"/>
  <c r="Y202" s="1"/>
  <c r="N95" i="27"/>
  <c r="H10" i="10" s="1"/>
  <c r="G10" s="1"/>
  <c r="H36" s="1"/>
  <c r="G36" s="1"/>
  <c r="Q95" i="27"/>
  <c r="H9" i="10" s="1"/>
  <c r="G9" s="1"/>
  <c r="H35" s="1"/>
  <c r="G35" s="1"/>
  <c r="M48" i="20"/>
  <c r="R94" i="27"/>
  <c r="R96" s="1"/>
  <c r="O94"/>
  <c r="O98" s="1"/>
  <c r="AC203" i="28"/>
  <c r="AC202" s="1"/>
  <c r="AM205"/>
  <c r="AE205" s="1"/>
  <c r="AE203" s="1"/>
  <c r="AE202" s="1"/>
  <c r="O161" i="20"/>
  <c r="AI205" i="28"/>
  <c r="AA205" s="1"/>
  <c r="AA203" s="1"/>
  <c r="K161" i="20"/>
  <c r="G33" i="28"/>
  <c r="CW33" i="11"/>
  <c r="AK33"/>
  <c r="CE33"/>
  <c r="CN33"/>
  <c r="CZ33"/>
  <c r="O33"/>
  <c r="M33" i="28" s="1"/>
  <c r="Z33" i="11"/>
  <c r="BM33"/>
  <c r="CX33"/>
  <c r="AI33"/>
  <c r="AR33"/>
  <c r="BB33"/>
  <c r="BK33"/>
  <c r="CO33"/>
  <c r="AC33"/>
  <c r="BT33"/>
  <c r="CD33"/>
  <c r="CM33"/>
  <c r="CY33"/>
  <c r="DA33"/>
  <c r="AO33"/>
  <c r="CJ33"/>
  <c r="CU33"/>
  <c r="DH33"/>
  <c r="V33"/>
  <c r="AE33"/>
  <c r="BQ33"/>
  <c r="DB33"/>
  <c r="AN33"/>
  <c r="AX33"/>
  <c r="BG33"/>
  <c r="BP33"/>
  <c r="CS33"/>
  <c r="AG33"/>
  <c r="BZ33"/>
  <c r="CI33"/>
  <c r="CR33"/>
  <c r="DG33"/>
  <c r="T33"/>
  <c r="BI33"/>
  <c r="CT33"/>
  <c r="AD33"/>
  <c r="AM33"/>
  <c r="AV33"/>
  <c r="BF33"/>
  <c r="BA33"/>
  <c r="S33"/>
  <c r="AL33"/>
  <c r="CC33"/>
  <c r="BD33"/>
  <c r="BW33"/>
  <c r="DE33"/>
  <c r="CP33"/>
  <c r="R33"/>
  <c r="AJ33"/>
  <c r="Y33"/>
  <c r="AT33"/>
  <c r="AH33"/>
  <c r="CQ33"/>
  <c r="DD33"/>
  <c r="CB33"/>
  <c r="AW33"/>
  <c r="BN33"/>
  <c r="AP33"/>
  <c r="AY33"/>
  <c r="AA33"/>
  <c r="BE33"/>
  <c r="X33"/>
  <c r="BL33"/>
  <c r="DM33"/>
  <c r="BJ33"/>
  <c r="CL33"/>
  <c r="Q33"/>
  <c r="W33"/>
  <c r="BY33"/>
  <c r="DC33"/>
  <c r="CA33"/>
  <c r="DF33"/>
  <c r="BX33"/>
  <c r="AQ33"/>
  <c r="CG33"/>
  <c r="BS33"/>
  <c r="AU33"/>
  <c r="CV33"/>
  <c r="AF33"/>
  <c r="AS33"/>
  <c r="BH33"/>
  <c r="CK33"/>
  <c r="DL33"/>
  <c r="BC33"/>
  <c r="BV33"/>
  <c r="U33"/>
  <c r="AB33"/>
  <c r="DI33"/>
  <c r="DK33"/>
  <c r="BR33"/>
  <c r="AZ33"/>
  <c r="DJ33"/>
  <c r="BU33"/>
  <c r="CF33"/>
  <c r="BO33"/>
  <c r="CH33"/>
  <c r="G28"/>
  <c r="G28" i="28" s="1"/>
  <c r="P10" i="29" s="1"/>
  <c r="K132" i="20"/>
  <c r="K131" s="1"/>
  <c r="O67"/>
  <c r="AM137" i="28" s="1"/>
  <c r="AM131" s="1"/>
  <c r="AA202"/>
  <c r="G17"/>
  <c r="CI17" i="11"/>
  <c r="DD17"/>
  <c r="BG17"/>
  <c r="CB17"/>
  <c r="BV17"/>
  <c r="O17"/>
  <c r="M17" i="28" s="1"/>
  <c r="DL17" i="11"/>
  <c r="DI17"/>
  <c r="CW17"/>
  <c r="AV17"/>
  <c r="CT17"/>
  <c r="AS17"/>
  <c r="CU17"/>
  <c r="AP17"/>
  <c r="BH17"/>
  <c r="CG17"/>
  <c r="DF17"/>
  <c r="AF17"/>
  <c r="BE17"/>
  <c r="CD17"/>
  <c r="DG17"/>
  <c r="AC17"/>
  <c r="BB17"/>
  <c r="CE17"/>
  <c r="CZ17"/>
  <c r="Z17"/>
  <c r="BC17"/>
  <c r="CY17"/>
  <c r="AZ17"/>
  <c r="BY17"/>
  <c r="AO17"/>
  <c r="BO17"/>
  <c r="AK17"/>
  <c r="DH17"/>
  <c r="T17"/>
  <c r="AI17"/>
  <c r="DB17"/>
  <c r="U17"/>
  <c r="BZ17"/>
  <c r="BL17"/>
  <c r="R17"/>
  <c r="CA17"/>
  <c r="BI17"/>
  <c r="S17"/>
  <c r="BT17"/>
  <c r="BF17"/>
  <c r="DA17"/>
  <c r="AD17"/>
  <c r="BQ17"/>
  <c r="CQ17"/>
  <c r="AM17"/>
  <c r="AA17"/>
  <c r="AH17"/>
  <c r="DE17"/>
  <c r="Q17"/>
  <c r="AB17"/>
  <c r="DM17"/>
  <c r="BW17"/>
  <c r="Y17"/>
  <c r="DJ17"/>
  <c r="BP17"/>
  <c r="V17"/>
  <c r="DK17"/>
  <c r="BM17"/>
  <c r="W17"/>
  <c r="AE17"/>
  <c r="AL17"/>
  <c r="CM17"/>
  <c r="BR17"/>
  <c r="CN17"/>
  <c r="DC17"/>
  <c r="AU17"/>
  <c r="CH17"/>
  <c r="CS17"/>
  <c r="CX17"/>
  <c r="BN17"/>
  <c r="BU17"/>
  <c r="CC17"/>
  <c r="AQ17"/>
  <c r="AJ17"/>
  <c r="AN17"/>
  <c r="AW17"/>
  <c r="CJ17"/>
  <c r="BK17"/>
  <c r="BS17"/>
  <c r="CR17"/>
  <c r="CV17"/>
  <c r="AG17"/>
  <c r="X17"/>
  <c r="BX17"/>
  <c r="BA17"/>
  <c r="CK17"/>
  <c r="CO17"/>
  <c r="CP17"/>
  <c r="BJ17"/>
  <c r="BD17"/>
  <c r="AT17"/>
  <c r="AX17"/>
  <c r="AY17"/>
  <c r="AR17"/>
  <c r="CF17"/>
  <c r="CL17"/>
  <c r="M161" i="20"/>
  <c r="H22" i="7"/>
  <c r="G22" s="1"/>
  <c r="H74" i="11" s="1"/>
  <c r="G74" s="1"/>
  <c r="AX74" s="1"/>
  <c r="H14" i="7"/>
  <c r="G14" s="1"/>
  <c r="H73" i="11" s="1"/>
  <c r="G73" s="1"/>
  <c r="AZ73" s="1"/>
  <c r="AC109" i="28"/>
  <c r="N94" i="27"/>
  <c r="N96" s="1"/>
  <c r="AA120" i="28"/>
  <c r="AA109" s="1"/>
  <c r="K67" i="20"/>
  <c r="O48"/>
  <c r="AM126" i="28"/>
  <c r="AM120" s="1"/>
  <c r="AG120"/>
  <c r="I48" i="20"/>
  <c r="G63" i="27"/>
  <c r="H63"/>
  <c r="I142" i="20"/>
  <c r="AG191" i="28" s="1"/>
  <c r="Y191" s="1"/>
  <c r="L63" i="27"/>
  <c r="K142" i="20"/>
  <c r="AI191" i="28" s="1"/>
  <c r="AA191" s="1"/>
  <c r="R142" i="20"/>
  <c r="K63" i="27"/>
  <c r="I63"/>
  <c r="M142" i="20"/>
  <c r="AK191" i="28" s="1"/>
  <c r="AC191" s="1"/>
  <c r="O142" i="20"/>
  <c r="AM191" i="28" s="1"/>
  <c r="AE191" s="1"/>
  <c r="J63" i="27"/>
  <c r="AK120" i="28"/>
  <c r="K48" i="20"/>
  <c r="K33" s="1"/>
  <c r="F147" i="2"/>
  <c r="J66" i="19"/>
  <c r="H59" i="11" s="1"/>
  <c r="G59" s="1"/>
  <c r="AI110" i="28"/>
  <c r="AI109" s="1"/>
  <c r="AQ74" i="11"/>
  <c r="G72" i="28"/>
  <c r="P18" i="29" s="1"/>
  <c r="DI78" i="11"/>
  <c r="CQ78"/>
  <c r="AY78"/>
  <c r="AI78"/>
  <c r="DM78"/>
  <c r="AR78"/>
  <c r="CK78"/>
  <c r="AU78"/>
  <c r="CX78"/>
  <c r="T78"/>
  <c r="CG78"/>
  <c r="BI78"/>
  <c r="CE78"/>
  <c r="AV78"/>
  <c r="DD78"/>
  <c r="AK78"/>
  <c r="BV78"/>
  <c r="R78"/>
  <c r="CT78"/>
  <c r="O78"/>
  <c r="M72" i="28" s="1"/>
  <c r="BX78" i="11"/>
  <c r="CM78"/>
  <c r="CS78"/>
  <c r="CY78"/>
  <c r="CF78"/>
  <c r="BR78"/>
  <c r="BZ78"/>
  <c r="AP78"/>
  <c r="AS78"/>
  <c r="CU78"/>
  <c r="CR78"/>
  <c r="BY78"/>
  <c r="CD78"/>
  <c r="AE78"/>
  <c r="BG78"/>
  <c r="CV78"/>
  <c r="AQ78"/>
  <c r="U78"/>
  <c r="BS78"/>
  <c r="Y78"/>
  <c r="BL78"/>
  <c r="CW78"/>
  <c r="AW78"/>
  <c r="DE78"/>
  <c r="DA78"/>
  <c r="AM78"/>
  <c r="DG78"/>
  <c r="CN78"/>
  <c r="AN78"/>
  <c r="CH78"/>
  <c r="BQ78"/>
  <c r="CZ78"/>
  <c r="CO78"/>
  <c r="BU78"/>
  <c r="BW78"/>
  <c r="BC78"/>
  <c r="AC78"/>
  <c r="AZ78"/>
  <c r="V78"/>
  <c r="AT78"/>
  <c r="CB78"/>
  <c r="CA78"/>
  <c r="BT78"/>
  <c r="AH78"/>
  <c r="BA78"/>
  <c r="AA78"/>
  <c r="AX78"/>
  <c r="AD78"/>
  <c r="BE78"/>
  <c r="X78"/>
  <c r="DL78"/>
  <c r="CL78"/>
  <c r="BM78"/>
  <c r="CI78"/>
  <c r="BD78"/>
  <c r="AG78"/>
  <c r="AO78"/>
  <c r="DH78"/>
  <c r="DC78"/>
  <c r="DK78"/>
  <c r="BB78"/>
  <c r="AL78"/>
  <c r="AB78"/>
  <c r="W78"/>
  <c r="CJ78"/>
  <c r="DF78"/>
  <c r="Z78"/>
  <c r="BN78"/>
  <c r="BP78"/>
  <c r="DB78"/>
  <c r="BH78"/>
  <c r="Q78"/>
  <c r="BJ78"/>
  <c r="BK78"/>
  <c r="CP78"/>
  <c r="BO78"/>
  <c r="AJ78"/>
  <c r="DJ78"/>
  <c r="CC78"/>
  <c r="S78"/>
  <c r="BF78"/>
  <c r="AF78"/>
  <c r="BF195"/>
  <c r="BF196"/>
  <c r="CI195"/>
  <c r="CI196"/>
  <c r="BW195"/>
  <c r="BW196"/>
  <c r="CB195"/>
  <c r="CB196"/>
  <c r="DA195"/>
  <c r="DA196"/>
  <c r="AZ196"/>
  <c r="AZ195"/>
  <c r="BY195"/>
  <c r="BY196"/>
  <c r="CX195"/>
  <c r="CX196"/>
  <c r="BD195"/>
  <c r="BD196"/>
  <c r="CC195"/>
  <c r="CC196"/>
  <c r="DB195"/>
  <c r="DB196"/>
  <c r="BQ195"/>
  <c r="BQ196"/>
  <c r="CP195"/>
  <c r="CP196"/>
  <c r="BE195"/>
  <c r="BE196"/>
  <c r="CD195"/>
  <c r="CD196"/>
  <c r="DG195"/>
  <c r="DG196"/>
  <c r="AG140" i="28"/>
  <c r="Y140" s="1"/>
  <c r="Y137" s="1"/>
  <c r="Y131" s="1"/>
  <c r="I67" i="20"/>
  <c r="Y109" i="28"/>
  <c r="I20" i="13"/>
  <c r="H14" i="14"/>
  <c r="H24"/>
  <c r="AG95" i="28"/>
  <c r="AG183"/>
  <c r="AG182" s="1"/>
  <c r="Y184"/>
  <c r="Y183" s="1"/>
  <c r="Y182" s="1"/>
  <c r="O80" i="20"/>
  <c r="O77" s="1"/>
  <c r="O6" i="13" s="1"/>
  <c r="AM149" i="28"/>
  <c r="M80" i="20"/>
  <c r="M77" s="1"/>
  <c r="M6" i="13" s="1"/>
  <c r="AK149" i="28"/>
  <c r="AK95"/>
  <c r="AE131"/>
  <c r="H64" i="7"/>
  <c r="G64" s="1"/>
  <c r="G76" i="11"/>
  <c r="G70" i="28" s="1"/>
  <c r="AM95"/>
  <c r="K15" i="19"/>
  <c r="J15" s="1"/>
  <c r="H15"/>
  <c r="G208" i="28"/>
  <c r="DB167" i="11"/>
  <c r="BV167"/>
  <c r="AP167"/>
  <c r="DI167"/>
  <c r="CC167"/>
  <c r="AW167"/>
  <c r="Q167"/>
  <c r="CJ167"/>
  <c r="BD167"/>
  <c r="X167"/>
  <c r="CQ167"/>
  <c r="BK167"/>
  <c r="AE167"/>
  <c r="CH167"/>
  <c r="BB167"/>
  <c r="V167"/>
  <c r="CO167"/>
  <c r="BI167"/>
  <c r="AC167"/>
  <c r="CV167"/>
  <c r="BP167"/>
  <c r="AJ167"/>
  <c r="DC167"/>
  <c r="BW167"/>
  <c r="AQ167"/>
  <c r="DJ167"/>
  <c r="CD167"/>
  <c r="AX167"/>
  <c r="R167"/>
  <c r="CK167"/>
  <c r="BE167"/>
  <c r="Y167"/>
  <c r="CR167"/>
  <c r="BL167"/>
  <c r="AF167"/>
  <c r="CI167"/>
  <c r="BC167"/>
  <c r="W167"/>
  <c r="CP167"/>
  <c r="BJ167"/>
  <c r="AD167"/>
  <c r="CW167"/>
  <c r="BQ167"/>
  <c r="AK167"/>
  <c r="DD167"/>
  <c r="BX167"/>
  <c r="AR167"/>
  <c r="DK167"/>
  <c r="CE167"/>
  <c r="AY167"/>
  <c r="S167"/>
  <c r="CL167"/>
  <c r="BF167"/>
  <c r="Z167"/>
  <c r="CS167"/>
  <c r="BM167"/>
  <c r="AG167"/>
  <c r="CZ167"/>
  <c r="BT167"/>
  <c r="AN167"/>
  <c r="DG167"/>
  <c r="CA167"/>
  <c r="AU167"/>
  <c r="CX167"/>
  <c r="BR167"/>
  <c r="AL167"/>
  <c r="DE167"/>
  <c r="BY167"/>
  <c r="AS167"/>
  <c r="DL167"/>
  <c r="CF167"/>
  <c r="AZ167"/>
  <c r="T167"/>
  <c r="CM167"/>
  <c r="BG167"/>
  <c r="AA167"/>
  <c r="CT167"/>
  <c r="BN167"/>
  <c r="AH167"/>
  <c r="DA167"/>
  <c r="BU167"/>
  <c r="AO167"/>
  <c r="DH167"/>
  <c r="CB167"/>
  <c r="AV167"/>
  <c r="O167"/>
  <c r="CY167"/>
  <c r="BS167"/>
  <c r="AM167"/>
  <c r="DF167"/>
  <c r="BZ167"/>
  <c r="AT167"/>
  <c r="DM167"/>
  <c r="CG167"/>
  <c r="BA167"/>
  <c r="U167"/>
  <c r="CN167"/>
  <c r="BH167"/>
  <c r="AB167"/>
  <c r="CU167"/>
  <c r="BO167"/>
  <c r="AI167"/>
  <c r="G81" i="28"/>
  <c r="P27" i="29" s="1"/>
  <c r="DL87" i="11"/>
  <c r="AO87"/>
  <c r="BU87"/>
  <c r="DA87"/>
  <c r="AH87"/>
  <c r="BN87"/>
  <c r="CT87"/>
  <c r="AE87"/>
  <c r="BK87"/>
  <c r="CQ87"/>
  <c r="X87"/>
  <c r="BD87"/>
  <c r="CJ87"/>
  <c r="Y87"/>
  <c r="CK87"/>
  <c r="AX87"/>
  <c r="DJ87"/>
  <c r="CA87"/>
  <c r="AN87"/>
  <c r="CZ87"/>
  <c r="AC87"/>
  <c r="BI87"/>
  <c r="CO87"/>
  <c r="V87"/>
  <c r="BB87"/>
  <c r="CH87"/>
  <c r="S87"/>
  <c r="AY87"/>
  <c r="CE87"/>
  <c r="DK87"/>
  <c r="AR87"/>
  <c r="BX87"/>
  <c r="DD87"/>
  <c r="Q87"/>
  <c r="AW87"/>
  <c r="CC87"/>
  <c r="DI87"/>
  <c r="AP87"/>
  <c r="BV87"/>
  <c r="DB87"/>
  <c r="AM87"/>
  <c r="BS87"/>
  <c r="CY87"/>
  <c r="AV87"/>
  <c r="CB87"/>
  <c r="DH87"/>
  <c r="AK87"/>
  <c r="BQ87"/>
  <c r="CW87"/>
  <c r="AD87"/>
  <c r="BJ87"/>
  <c r="CP87"/>
  <c r="AA87"/>
  <c r="BG87"/>
  <c r="CM87"/>
  <c r="T87"/>
  <c r="AZ87"/>
  <c r="CF87"/>
  <c r="G86"/>
  <c r="G80" i="28" s="1"/>
  <c r="BE87" i="11"/>
  <c r="R87"/>
  <c r="CD87"/>
  <c r="AU87"/>
  <c r="DG87"/>
  <c r="BT87"/>
  <c r="AS87"/>
  <c r="BY87"/>
  <c r="DE87"/>
  <c r="AL87"/>
  <c r="BR87"/>
  <c r="CX87"/>
  <c r="AI87"/>
  <c r="BO87"/>
  <c r="CU87"/>
  <c r="AB87"/>
  <c r="BH87"/>
  <c r="CN87"/>
  <c r="AG87"/>
  <c r="BM87"/>
  <c r="CS87"/>
  <c r="Z87"/>
  <c r="BF87"/>
  <c r="CL87"/>
  <c r="W87"/>
  <c r="BC87"/>
  <c r="CI87"/>
  <c r="O87"/>
  <c r="AF87"/>
  <c r="BL87"/>
  <c r="CR87"/>
  <c r="U87"/>
  <c r="BA87"/>
  <c r="CG87"/>
  <c r="DM87"/>
  <c r="AT87"/>
  <c r="BZ87"/>
  <c r="DF87"/>
  <c r="AQ87"/>
  <c r="BW87"/>
  <c r="DC87"/>
  <c r="AJ87"/>
  <c r="BP87"/>
  <c r="CV87"/>
  <c r="DL72"/>
  <c r="AS72"/>
  <c r="CG72"/>
  <c r="DB72"/>
  <c r="AH72"/>
  <c r="G66" i="28"/>
  <c r="P12" i="29" s="1"/>
  <c r="CH72" i="11"/>
  <c r="CI72"/>
  <c r="CJ72"/>
  <c r="DH72"/>
  <c r="BM72"/>
  <c r="T72"/>
  <c r="DK72"/>
  <c r="DI72"/>
  <c r="BF72"/>
  <c r="AI72"/>
  <c r="AN72"/>
  <c r="AT72"/>
  <c r="BH72"/>
  <c r="R72"/>
  <c r="BT72"/>
  <c r="S72"/>
  <c r="BQ72"/>
  <c r="O72"/>
  <c r="AO72"/>
  <c r="DC72"/>
  <c r="BN72"/>
  <c r="Q72"/>
  <c r="BO72"/>
  <c r="DM72"/>
  <c r="BL72"/>
  <c r="AA72"/>
  <c r="BY72"/>
  <c r="CA72"/>
  <c r="V72"/>
  <c r="BX72"/>
  <c r="W72"/>
  <c r="BU72"/>
  <c r="AJ72"/>
  <c r="CT72"/>
  <c r="AW72"/>
  <c r="CU72"/>
  <c r="AP72"/>
  <c r="CR72"/>
  <c r="BG72"/>
  <c r="DE72"/>
  <c r="DG72"/>
  <c r="BB72"/>
  <c r="DD72"/>
  <c r="BC72"/>
  <c r="DA72"/>
  <c r="BP72"/>
  <c r="AE72"/>
  <c r="CC72"/>
  <c r="AB72"/>
  <c r="BV72"/>
  <c r="Y72"/>
  <c r="CM72"/>
  <c r="BW72"/>
  <c r="AF72"/>
  <c r="DJ72"/>
  <c r="CV72"/>
  <c r="CP72"/>
  <c r="AK72"/>
  <c r="BK72"/>
  <c r="BE72"/>
  <c r="AU72"/>
  <c r="CS72"/>
  <c r="AR72"/>
  <c r="CL72"/>
  <c r="BZ72"/>
  <c r="AC72"/>
  <c r="CQ72"/>
  <c r="AL72"/>
  <c r="CN72"/>
  <c r="AM72"/>
  <c r="CK72"/>
  <c r="AZ72"/>
  <c r="AX72"/>
  <c r="CZ72"/>
  <c r="AY72"/>
  <c r="CW72"/>
  <c r="AV72"/>
  <c r="DF72"/>
  <c r="BI72"/>
  <c r="X72"/>
  <c r="BR72"/>
  <c r="U72"/>
  <c r="BS72"/>
  <c r="AD72"/>
  <c r="CF72"/>
  <c r="CD72"/>
  <c r="AG72"/>
  <c r="CE72"/>
  <c r="Z72"/>
  <c r="CB72"/>
  <c r="AQ72"/>
  <c r="CO72"/>
  <c r="BD72"/>
  <c r="CX72"/>
  <c r="BA72"/>
  <c r="CY72"/>
  <c r="BJ72"/>
  <c r="G67" i="28"/>
  <c r="P13" i="29" s="1"/>
  <c r="CB73" i="11"/>
  <c r="CA73"/>
  <c r="BT195"/>
  <c r="BT196"/>
  <c r="CS195"/>
  <c r="CS196"/>
  <c r="BH195"/>
  <c r="BH196"/>
  <c r="CG195"/>
  <c r="CG196"/>
  <c r="DF195"/>
  <c r="DF196"/>
  <c r="M5" i="28"/>
  <c r="O4" i="11"/>
  <c r="BN195"/>
  <c r="BN196"/>
  <c r="CQ195"/>
  <c r="CQ196"/>
  <c r="DL195"/>
  <c r="DL196"/>
  <c r="BO195"/>
  <c r="BO196"/>
  <c r="G4" i="28"/>
  <c r="BS195" i="11"/>
  <c r="BS196"/>
  <c r="DD195"/>
  <c r="DD196"/>
  <c r="BG195"/>
  <c r="BG196"/>
  <c r="CR195"/>
  <c r="CR196"/>
  <c r="BP195"/>
  <c r="BP196"/>
  <c r="CO195"/>
  <c r="CO196"/>
  <c r="BB195"/>
  <c r="BB196"/>
  <c r="CE195"/>
  <c r="CE196"/>
  <c r="CL79"/>
  <c r="CK79"/>
  <c r="CB79"/>
  <c r="CW79"/>
  <c r="AB79"/>
  <c r="BN79"/>
  <c r="BT79"/>
  <c r="DG79"/>
  <c r="BK79"/>
  <c r="BI79"/>
  <c r="CY79"/>
  <c r="AU79"/>
  <c r="S79"/>
  <c r="AL79"/>
  <c r="O79"/>
  <c r="M73" i="28" s="1"/>
  <c r="AI79" i="11"/>
  <c r="AG79"/>
  <c r="BV79"/>
  <c r="BS79"/>
  <c r="DK79"/>
  <c r="DA79"/>
  <c r="CP79"/>
  <c r="CZ79"/>
  <c r="CI79"/>
  <c r="CD79"/>
  <c r="W79"/>
  <c r="BA79"/>
  <c r="CV79"/>
  <c r="Z79"/>
  <c r="BR79"/>
  <c r="AE79"/>
  <c r="BL79"/>
  <c r="AQ79"/>
  <c r="CU79"/>
  <c r="AT79"/>
  <c r="BO79"/>
  <c r="CS79"/>
  <c r="CJ79"/>
  <c r="AY79"/>
  <c r="AH79"/>
  <c r="CN79"/>
  <c r="DC79"/>
  <c r="CC79"/>
  <c r="DL79"/>
  <c r="AK79"/>
  <c r="V79"/>
  <c r="DH79"/>
  <c r="CR79"/>
  <c r="X79"/>
  <c r="AS79"/>
  <c r="DJ79"/>
  <c r="BD79"/>
  <c r="G73" i="28"/>
  <c r="P19" i="29" s="1"/>
  <c r="Y79" i="11"/>
  <c r="BH79"/>
  <c r="AN79"/>
  <c r="CF79"/>
  <c r="BB79"/>
  <c r="BY79"/>
  <c r="BQ79"/>
  <c r="AP79"/>
  <c r="AZ79"/>
  <c r="BX79"/>
  <c r="Q79"/>
  <c r="DI79"/>
  <c r="BM79"/>
  <c r="CT79"/>
  <c r="DB79"/>
  <c r="CG79"/>
  <c r="AX79"/>
  <c r="BF79"/>
  <c r="CX79"/>
  <c r="DD79"/>
  <c r="AO79"/>
  <c r="BW79"/>
  <c r="CO79"/>
  <c r="DF79"/>
  <c r="AA79"/>
  <c r="AC79"/>
  <c r="CE79"/>
  <c r="BU79"/>
  <c r="AD79"/>
  <c r="T79"/>
  <c r="BP79"/>
  <c r="BE79"/>
  <c r="AR79"/>
  <c r="AF79"/>
  <c r="AW79"/>
  <c r="AM79"/>
  <c r="DE79"/>
  <c r="U79"/>
  <c r="CA79"/>
  <c r="BJ79"/>
  <c r="AV79"/>
  <c r="AJ79"/>
  <c r="R79"/>
  <c r="CM79"/>
  <c r="CQ79"/>
  <c r="DM79"/>
  <c r="CH79"/>
  <c r="BC79"/>
  <c r="BZ79"/>
  <c r="BG79"/>
  <c r="G58" i="28"/>
  <c r="V64" i="11"/>
  <c r="W64"/>
  <c r="Q64"/>
  <c r="Y64"/>
  <c r="AG64"/>
  <c r="AO64"/>
  <c r="AW64"/>
  <c r="BE64"/>
  <c r="BN64"/>
  <c r="BV64"/>
  <c r="CD64"/>
  <c r="CL64"/>
  <c r="CT64"/>
  <c r="DC64"/>
  <c r="DK64"/>
  <c r="AH64"/>
  <c r="AT64"/>
  <c r="BB64"/>
  <c r="BK64"/>
  <c r="BS64"/>
  <c r="CA64"/>
  <c r="CI64"/>
  <c r="CQ64"/>
  <c r="CY64"/>
  <c r="DH64"/>
  <c r="O64"/>
  <c r="M58" i="28" s="1"/>
  <c r="R64" i="11"/>
  <c r="AE64"/>
  <c r="AY64"/>
  <c r="BH64"/>
  <c r="BP64"/>
  <c r="BX64"/>
  <c r="CF64"/>
  <c r="CN64"/>
  <c r="CV64"/>
  <c r="DE64"/>
  <c r="DM64"/>
  <c r="S64"/>
  <c r="AI64"/>
  <c r="T64"/>
  <c r="AB64"/>
  <c r="AJ64"/>
  <c r="AR64"/>
  <c r="AZ64"/>
  <c r="BI64"/>
  <c r="BQ64"/>
  <c r="BY64"/>
  <c r="CG64"/>
  <c r="CO64"/>
  <c r="CW64"/>
  <c r="DF64"/>
  <c r="DA64"/>
  <c r="AL64"/>
  <c r="AM64"/>
  <c r="U64"/>
  <c r="AC64"/>
  <c r="AK64"/>
  <c r="AS64"/>
  <c r="BA64"/>
  <c r="BJ64"/>
  <c r="BR64"/>
  <c r="BZ64"/>
  <c r="CH64"/>
  <c r="CP64"/>
  <c r="CX64"/>
  <c r="DG64"/>
  <c r="BF64"/>
  <c r="AP64"/>
  <c r="AX64"/>
  <c r="BG64"/>
  <c r="BO64"/>
  <c r="BW64"/>
  <c r="CE64"/>
  <c r="CM64"/>
  <c r="CU64"/>
  <c r="DD64"/>
  <c r="DL64"/>
  <c r="AD64"/>
  <c r="AQ64"/>
  <c r="BC64"/>
  <c r="BL64"/>
  <c r="BT64"/>
  <c r="CB64"/>
  <c r="CJ64"/>
  <c r="CR64"/>
  <c r="CZ64"/>
  <c r="DI64"/>
  <c r="Z64"/>
  <c r="AA64"/>
  <c r="AU64"/>
  <c r="X64"/>
  <c r="AF64"/>
  <c r="AN64"/>
  <c r="AV64"/>
  <c r="BD64"/>
  <c r="BM64"/>
  <c r="BU64"/>
  <c r="CC64"/>
  <c r="CK64"/>
  <c r="CS64"/>
  <c r="DB64"/>
  <c r="DJ64"/>
  <c r="AI183" i="28"/>
  <c r="AI182" s="1"/>
  <c r="AA184"/>
  <c r="AA183" s="1"/>
  <c r="AA182" s="1"/>
  <c r="AK183"/>
  <c r="AK182" s="1"/>
  <c r="AC184"/>
  <c r="AC183" s="1"/>
  <c r="AC182" s="1"/>
  <c r="P97" i="27"/>
  <c r="Q99"/>
  <c r="Q97"/>
  <c r="Q96"/>
  <c r="Q98"/>
  <c r="G213" i="28"/>
  <c r="CT170" i="11"/>
  <c r="BN170"/>
  <c r="AH170"/>
  <c r="DA170"/>
  <c r="BU170"/>
  <c r="AO170"/>
  <c r="DG170"/>
  <c r="CA170"/>
  <c r="AU170"/>
  <c r="CN170"/>
  <c r="BT170"/>
  <c r="AZ170"/>
  <c r="AB170"/>
  <c r="CP170"/>
  <c r="BJ170"/>
  <c r="AD170"/>
  <c r="CW170"/>
  <c r="BQ170"/>
  <c r="DL170"/>
  <c r="DC170"/>
  <c r="BW170"/>
  <c r="AQ170"/>
  <c r="BX170"/>
  <c r="BD170"/>
  <c r="BL170"/>
  <c r="DB170"/>
  <c r="BV170"/>
  <c r="AP170"/>
  <c r="DI170"/>
  <c r="CC170"/>
  <c r="AW170"/>
  <c r="CR170"/>
  <c r="CI170"/>
  <c r="BC170"/>
  <c r="W170"/>
  <c r="Q170"/>
  <c r="CF170"/>
  <c r="AV170"/>
  <c r="CH170"/>
  <c r="BB170"/>
  <c r="V170"/>
  <c r="CO170"/>
  <c r="BI170"/>
  <c r="DD170"/>
  <c r="CU170"/>
  <c r="BO170"/>
  <c r="AI170"/>
  <c r="AR170"/>
  <c r="AF170"/>
  <c r="U170"/>
  <c r="DJ170"/>
  <c r="CD170"/>
  <c r="AX170"/>
  <c r="R170"/>
  <c r="CK170"/>
  <c r="BE170"/>
  <c r="CZ170"/>
  <c r="CQ170"/>
  <c r="BK170"/>
  <c r="AE170"/>
  <c r="AG170"/>
  <c r="X170"/>
  <c r="CB170"/>
  <c r="DF170"/>
  <c r="BZ170"/>
  <c r="AT170"/>
  <c r="DM170"/>
  <c r="CG170"/>
  <c r="BA170"/>
  <c r="CV170"/>
  <c r="CM170"/>
  <c r="BG170"/>
  <c r="AA170"/>
  <c r="Y170"/>
  <c r="O170"/>
  <c r="AK170"/>
  <c r="T170"/>
  <c r="CL170"/>
  <c r="BF170"/>
  <c r="Z170"/>
  <c r="CS170"/>
  <c r="BM170"/>
  <c r="DH170"/>
  <c r="CY170"/>
  <c r="BS170"/>
  <c r="AM170"/>
  <c r="BH170"/>
  <c r="AN170"/>
  <c r="AC170"/>
  <c r="CX170"/>
  <c r="BR170"/>
  <c r="AL170"/>
  <c r="DE170"/>
  <c r="BY170"/>
  <c r="AS170"/>
  <c r="DK170"/>
  <c r="CE170"/>
  <c r="AY170"/>
  <c r="S170"/>
  <c r="CJ170"/>
  <c r="BP170"/>
  <c r="AJ170"/>
  <c r="G78" i="28"/>
  <c r="P24" i="29" s="1"/>
  <c r="CR84" i="11"/>
  <c r="BL84"/>
  <c r="AF84"/>
  <c r="CI84"/>
  <c r="BC84"/>
  <c r="W84"/>
  <c r="CL84"/>
  <c r="BF84"/>
  <c r="Z84"/>
  <c r="CS84"/>
  <c r="BM84"/>
  <c r="AG84"/>
  <c r="DD84"/>
  <c r="BX84"/>
  <c r="AR84"/>
  <c r="DK84"/>
  <c r="CE84"/>
  <c r="AY84"/>
  <c r="S84"/>
  <c r="CH84"/>
  <c r="BB84"/>
  <c r="V84"/>
  <c r="CO84"/>
  <c r="BI84"/>
  <c r="AC84"/>
  <c r="CJ84"/>
  <c r="BD84"/>
  <c r="X84"/>
  <c r="CQ84"/>
  <c r="BK84"/>
  <c r="AE84"/>
  <c r="CT84"/>
  <c r="BN84"/>
  <c r="AH84"/>
  <c r="DA84"/>
  <c r="BU84"/>
  <c r="AO84"/>
  <c r="DL84"/>
  <c r="CF84"/>
  <c r="AZ84"/>
  <c r="T84"/>
  <c r="CM84"/>
  <c r="BG84"/>
  <c r="AA84"/>
  <c r="CP84"/>
  <c r="BJ84"/>
  <c r="AD84"/>
  <c r="CW84"/>
  <c r="BQ84"/>
  <c r="AK84"/>
  <c r="DH84"/>
  <c r="CB84"/>
  <c r="AV84"/>
  <c r="O84"/>
  <c r="M78" i="28" s="1"/>
  <c r="CY84" i="11"/>
  <c r="BS84"/>
  <c r="AM84"/>
  <c r="DB84"/>
  <c r="BV84"/>
  <c r="AP84"/>
  <c r="DI84"/>
  <c r="CC84"/>
  <c r="AW84"/>
  <c r="Q84"/>
  <c r="CN84"/>
  <c r="BH84"/>
  <c r="AB84"/>
  <c r="CU84"/>
  <c r="BO84"/>
  <c r="AI84"/>
  <c r="CX84"/>
  <c r="BR84"/>
  <c r="AL84"/>
  <c r="DE84"/>
  <c r="BY84"/>
  <c r="AS84"/>
  <c r="CZ84"/>
  <c r="BT84"/>
  <c r="AN84"/>
  <c r="DG84"/>
  <c r="CA84"/>
  <c r="AU84"/>
  <c r="DJ84"/>
  <c r="CD84"/>
  <c r="AX84"/>
  <c r="R84"/>
  <c r="CK84"/>
  <c r="BE84"/>
  <c r="Y84"/>
  <c r="CV84"/>
  <c r="BP84"/>
  <c r="AJ84"/>
  <c r="DC84"/>
  <c r="BW84"/>
  <c r="AQ84"/>
  <c r="DF84"/>
  <c r="BZ84"/>
  <c r="AT84"/>
  <c r="DM84"/>
  <c r="CG84"/>
  <c r="BA84"/>
  <c r="U84"/>
  <c r="H30" i="7"/>
  <c r="G30" s="1"/>
  <c r="H75" i="11" s="1"/>
  <c r="G75" s="1"/>
  <c r="CZ195"/>
  <c r="CZ196"/>
  <c r="BM195"/>
  <c r="BM196"/>
  <c r="CL195"/>
  <c r="CL196"/>
  <c r="BC195"/>
  <c r="BC196"/>
  <c r="CN195"/>
  <c r="CN196"/>
  <c r="BA196"/>
  <c r="BA195"/>
  <c r="DM195"/>
  <c r="DM196"/>
  <c r="BZ195"/>
  <c r="BZ196"/>
  <c r="DC195"/>
  <c r="DC196"/>
  <c r="AV195"/>
  <c r="AV196"/>
  <c r="DH195"/>
  <c r="DH196"/>
  <c r="BU195"/>
  <c r="BU196"/>
  <c r="CT195"/>
  <c r="CT196"/>
  <c r="BK195"/>
  <c r="BK196"/>
  <c r="CF195"/>
  <c r="CF196"/>
  <c r="DE195"/>
  <c r="DE196"/>
  <c r="BR195"/>
  <c r="BR196"/>
  <c r="CU195"/>
  <c r="CU196"/>
  <c r="CJ195"/>
  <c r="CJ196"/>
  <c r="AW196"/>
  <c r="AW195"/>
  <c r="DI195"/>
  <c r="DI196"/>
  <c r="BV195"/>
  <c r="BV196"/>
  <c r="CY195"/>
  <c r="CY196"/>
  <c r="BX195"/>
  <c r="BX196"/>
  <c r="CW195"/>
  <c r="CW196"/>
  <c r="BJ195"/>
  <c r="BJ196"/>
  <c r="CM195"/>
  <c r="CM196"/>
  <c r="BL195"/>
  <c r="BL196"/>
  <c r="CK195"/>
  <c r="CK196"/>
  <c r="AX195"/>
  <c r="AX196"/>
  <c r="DJ195"/>
  <c r="DJ196"/>
  <c r="CA195"/>
  <c r="CA196"/>
  <c r="CV195"/>
  <c r="CV196"/>
  <c r="BI195"/>
  <c r="BI196"/>
  <c r="CH195"/>
  <c r="CH196"/>
  <c r="AY195"/>
  <c r="AY196"/>
  <c r="DK195"/>
  <c r="DK196"/>
  <c r="O89"/>
  <c r="M86" i="28"/>
  <c r="AK110"/>
  <c r="AK109" s="1"/>
  <c r="M33" i="20"/>
  <c r="AG110" i="28"/>
  <c r="AG109" s="1"/>
  <c r="I33" i="20"/>
  <c r="AK140" i="28"/>
  <c r="AC140" s="1"/>
  <c r="AC137" s="1"/>
  <c r="AC131" s="1"/>
  <c r="M67" i="20"/>
  <c r="I76"/>
  <c r="M76"/>
  <c r="O76"/>
  <c r="K76"/>
  <c r="AM183" i="28"/>
  <c r="AM182" s="1"/>
  <c r="AE184"/>
  <c r="AE183" s="1"/>
  <c r="AE182" s="1"/>
  <c r="K80" i="20"/>
  <c r="K77" s="1"/>
  <c r="K6" i="13" s="1"/>
  <c r="AI149" i="28"/>
  <c r="I80" i="20"/>
  <c r="I77" s="1"/>
  <c r="I6" i="13" s="1"/>
  <c r="AG149" i="28"/>
  <c r="AA137"/>
  <c r="AA131" s="1"/>
  <c r="O99" i="27"/>
  <c r="O97"/>
  <c r="AM110" i="28"/>
  <c r="O33" i="20"/>
  <c r="G22" i="28"/>
  <c r="DM22" i="11"/>
  <c r="CG22"/>
  <c r="BA22"/>
  <c r="U22"/>
  <c r="CN22"/>
  <c r="BH22"/>
  <c r="AB22"/>
  <c r="CU22"/>
  <c r="BO22"/>
  <c r="AI22"/>
  <c r="CX22"/>
  <c r="BR22"/>
  <c r="AL22"/>
  <c r="DI22"/>
  <c r="CC22"/>
  <c r="AW22"/>
  <c r="Q22"/>
  <c r="CJ22"/>
  <c r="BD22"/>
  <c r="X22"/>
  <c r="CQ22"/>
  <c r="BK22"/>
  <c r="AE22"/>
  <c r="CT22"/>
  <c r="BN22"/>
  <c r="AH22"/>
  <c r="DE22"/>
  <c r="BY22"/>
  <c r="AS22"/>
  <c r="DL22"/>
  <c r="CF22"/>
  <c r="AZ22"/>
  <c r="T22"/>
  <c r="CM22"/>
  <c r="BG22"/>
  <c r="AA22"/>
  <c r="CP22"/>
  <c r="BJ22"/>
  <c r="AD22"/>
  <c r="CK22"/>
  <c r="BE22"/>
  <c r="Y22"/>
  <c r="CR22"/>
  <c r="BL22"/>
  <c r="AF22"/>
  <c r="CI22"/>
  <c r="BC22"/>
  <c r="W22"/>
  <c r="CL22"/>
  <c r="BF22"/>
  <c r="Z22"/>
  <c r="CW22"/>
  <c r="BQ22"/>
  <c r="AK22"/>
  <c r="DD22"/>
  <c r="BX22"/>
  <c r="AR22"/>
  <c r="DK22"/>
  <c r="CE22"/>
  <c r="AY22"/>
  <c r="S22"/>
  <c r="CH22"/>
  <c r="BB22"/>
  <c r="V22"/>
  <c r="CS22"/>
  <c r="BM22"/>
  <c r="AG22"/>
  <c r="CZ22"/>
  <c r="BT22"/>
  <c r="AN22"/>
  <c r="DG22"/>
  <c r="CA22"/>
  <c r="AU22"/>
  <c r="DJ22"/>
  <c r="CD22"/>
  <c r="AX22"/>
  <c r="R22"/>
  <c r="CO22"/>
  <c r="BI22"/>
  <c r="AC22"/>
  <c r="CV22"/>
  <c r="BP22"/>
  <c r="AJ22"/>
  <c r="DC22"/>
  <c r="BW22"/>
  <c r="AQ22"/>
  <c r="DF22"/>
  <c r="BZ22"/>
  <c r="AT22"/>
  <c r="DA22"/>
  <c r="BU22"/>
  <c r="AO22"/>
  <c r="DH22"/>
  <c r="CB22"/>
  <c r="AV22"/>
  <c r="O22"/>
  <c r="CY22"/>
  <c r="BS22"/>
  <c r="AM22"/>
  <c r="DB22"/>
  <c r="BV22"/>
  <c r="AP22"/>
  <c r="AI95" i="28"/>
  <c r="G200" i="20"/>
  <c r="G77" i="28"/>
  <c r="P23" i="29" s="1"/>
  <c r="CL83" i="11"/>
  <c r="BF83"/>
  <c r="Z83"/>
  <c r="CS83"/>
  <c r="BM83"/>
  <c r="AG83"/>
  <c r="CZ83"/>
  <c r="BT83"/>
  <c r="AN83"/>
  <c r="DG83"/>
  <c r="CA83"/>
  <c r="AU83"/>
  <c r="CX83"/>
  <c r="BR83"/>
  <c r="AL83"/>
  <c r="DE83"/>
  <c r="BY83"/>
  <c r="AS83"/>
  <c r="DL83"/>
  <c r="CF83"/>
  <c r="BV83"/>
  <c r="DI83"/>
  <c r="AW83"/>
  <c r="CJ83"/>
  <c r="X83"/>
  <c r="BK83"/>
  <c r="CH83"/>
  <c r="V83"/>
  <c r="BI83"/>
  <c r="CV83"/>
  <c r="AZ83"/>
  <c r="T83"/>
  <c r="CM83"/>
  <c r="BG83"/>
  <c r="AA83"/>
  <c r="CT83"/>
  <c r="BN83"/>
  <c r="AH83"/>
  <c r="DA83"/>
  <c r="BU83"/>
  <c r="AO83"/>
  <c r="DH83"/>
  <c r="CB83"/>
  <c r="AV83"/>
  <c r="O83"/>
  <c r="M77" i="28" s="1"/>
  <c r="CY83" i="11"/>
  <c r="BS83"/>
  <c r="AM83"/>
  <c r="DF83"/>
  <c r="BZ83"/>
  <c r="AT83"/>
  <c r="DM83"/>
  <c r="CG83"/>
  <c r="BA83"/>
  <c r="U83"/>
  <c r="CN83"/>
  <c r="BH83"/>
  <c r="AB83"/>
  <c r="CU83"/>
  <c r="BO83"/>
  <c r="AI83"/>
  <c r="DB83"/>
  <c r="AP83"/>
  <c r="CC83"/>
  <c r="Q83"/>
  <c r="BD83"/>
  <c r="CQ83"/>
  <c r="AE83"/>
  <c r="BB83"/>
  <c r="CO83"/>
  <c r="AC83"/>
  <c r="BP83"/>
  <c r="AJ83"/>
  <c r="DC83"/>
  <c r="BW83"/>
  <c r="AQ83"/>
  <c r="DJ83"/>
  <c r="CD83"/>
  <c r="AX83"/>
  <c r="R83"/>
  <c r="CK83"/>
  <c r="BE83"/>
  <c r="Y83"/>
  <c r="CR83"/>
  <c r="BL83"/>
  <c r="AF83"/>
  <c r="CI83"/>
  <c r="BC83"/>
  <c r="W83"/>
  <c r="CP83"/>
  <c r="BJ83"/>
  <c r="AD83"/>
  <c r="CW83"/>
  <c r="BQ83"/>
  <c r="AK83"/>
  <c r="DD83"/>
  <c r="BX83"/>
  <c r="AR83"/>
  <c r="DK83"/>
  <c r="CE83"/>
  <c r="AY83"/>
  <c r="S83"/>
  <c r="G79" i="28"/>
  <c r="P25" i="29" s="1"/>
  <c r="DJ85" i="11"/>
  <c r="CD85"/>
  <c r="AX85"/>
  <c r="R85"/>
  <c r="CK85"/>
  <c r="BE85"/>
  <c r="Y85"/>
  <c r="CR85"/>
  <c r="BL85"/>
  <c r="AF85"/>
  <c r="CI85"/>
  <c r="BC85"/>
  <c r="W85"/>
  <c r="CP85"/>
  <c r="BJ85"/>
  <c r="AD85"/>
  <c r="CW85"/>
  <c r="BQ85"/>
  <c r="AK85"/>
  <c r="DD85"/>
  <c r="BX85"/>
  <c r="AR85"/>
  <c r="DK85"/>
  <c r="CE85"/>
  <c r="AY85"/>
  <c r="S85"/>
  <c r="CL85"/>
  <c r="BF85"/>
  <c r="Z85"/>
  <c r="CS85"/>
  <c r="BM85"/>
  <c r="AG85"/>
  <c r="CZ85"/>
  <c r="BT85"/>
  <c r="AN85"/>
  <c r="DG85"/>
  <c r="CA85"/>
  <c r="AU85"/>
  <c r="CX85"/>
  <c r="BR85"/>
  <c r="AL85"/>
  <c r="DE85"/>
  <c r="BY85"/>
  <c r="AS85"/>
  <c r="DL85"/>
  <c r="CF85"/>
  <c r="AZ85"/>
  <c r="T85"/>
  <c r="CM85"/>
  <c r="BG85"/>
  <c r="AA85"/>
  <c r="CT85"/>
  <c r="BN85"/>
  <c r="AH85"/>
  <c r="DA85"/>
  <c r="BU85"/>
  <c r="AO85"/>
  <c r="DH85"/>
  <c r="CB85"/>
  <c r="AV85"/>
  <c r="O85"/>
  <c r="M79" i="28" s="1"/>
  <c r="CY85" i="11"/>
  <c r="BS85"/>
  <c r="AM85"/>
  <c r="DF85"/>
  <c r="BZ85"/>
  <c r="AT85"/>
  <c r="DM85"/>
  <c r="CG85"/>
  <c r="BA85"/>
  <c r="U85"/>
  <c r="CN85"/>
  <c r="BH85"/>
  <c r="AB85"/>
  <c r="CU85"/>
  <c r="BO85"/>
  <c r="AI85"/>
  <c r="DB85"/>
  <c r="BV85"/>
  <c r="AP85"/>
  <c r="DI85"/>
  <c r="CC85"/>
  <c r="AW85"/>
  <c r="Q85"/>
  <c r="CJ85"/>
  <c r="BD85"/>
  <c r="X85"/>
  <c r="CQ85"/>
  <c r="BK85"/>
  <c r="AE85"/>
  <c r="CH85"/>
  <c r="BB85"/>
  <c r="V85"/>
  <c r="CO85"/>
  <c r="BI85"/>
  <c r="AC85"/>
  <c r="CV85"/>
  <c r="BP85"/>
  <c r="AJ85"/>
  <c r="DC85"/>
  <c r="BW85"/>
  <c r="AQ85"/>
  <c r="O80"/>
  <c r="M74" i="28" s="1"/>
  <c r="M75"/>
  <c r="M10"/>
  <c r="G12" i="11"/>
  <c r="Y92" i="28" l="1"/>
  <c r="N206" i="2"/>
  <c r="O96" i="27"/>
  <c r="P99"/>
  <c r="P98"/>
  <c r="O61" i="20"/>
  <c r="R98" i="27"/>
  <c r="CD74" i="11"/>
  <c r="BH74"/>
  <c r="N97" i="27"/>
  <c r="H34" i="10"/>
  <c r="G34" s="1"/>
  <c r="AE92" i="28"/>
  <c r="DH74" i="11"/>
  <c r="U74"/>
  <c r="H39" i="10"/>
  <c r="G39" s="1"/>
  <c r="CS74" i="11"/>
  <c r="R97" i="27"/>
  <c r="AC92" i="28"/>
  <c r="R99" i="27"/>
  <c r="AG203" i="28"/>
  <c r="AG202" s="1"/>
  <c r="I160" i="20"/>
  <c r="N99" i="27"/>
  <c r="O28" i="11"/>
  <c r="M28" i="28" s="1"/>
  <c r="O160" i="20"/>
  <c r="AM203" i="28"/>
  <c r="AM202" s="1"/>
  <c r="AK203"/>
  <c r="AK202" s="1"/>
  <c r="M160" i="20"/>
  <c r="AM109" i="28"/>
  <c r="N98" i="27"/>
  <c r="K160" i="20"/>
  <c r="AI203" i="28"/>
  <c r="AI202" s="1"/>
  <c r="CQ73" i="11"/>
  <c r="AL74"/>
  <c r="AN74"/>
  <c r="BL74"/>
  <c r="AG73"/>
  <c r="BN73"/>
  <c r="AG74"/>
  <c r="DB74"/>
  <c r="AY74"/>
  <c r="BT74"/>
  <c r="DG74"/>
  <c r="BA74"/>
  <c r="AZ74"/>
  <c r="DD74"/>
  <c r="BK74"/>
  <c r="CE74"/>
  <c r="DF74"/>
  <c r="BG74"/>
  <c r="CL74"/>
  <c r="BS74"/>
  <c r="DK73"/>
  <c r="DL73"/>
  <c r="BD73"/>
  <c r="BT73"/>
  <c r="BQ74"/>
  <c r="CN74"/>
  <c r="Q74"/>
  <c r="CX74"/>
  <c r="AW74"/>
  <c r="V74"/>
  <c r="BM74"/>
  <c r="CA74"/>
  <c r="BG73"/>
  <c r="CS73"/>
  <c r="BC73"/>
  <c r="G71"/>
  <c r="G65" i="28" s="1"/>
  <c r="R73" i="11"/>
  <c r="BM73"/>
  <c r="AA73"/>
  <c r="BR73"/>
  <c r="AQ73"/>
  <c r="AH73"/>
  <c r="V73"/>
  <c r="W74"/>
  <c r="BW74"/>
  <c r="R74"/>
  <c r="BO74"/>
  <c r="AU74"/>
  <c r="AK74"/>
  <c r="CT74"/>
  <c r="Y74"/>
  <c r="AD74"/>
  <c r="BY74"/>
  <c r="O74"/>
  <c r="M68" i="28" s="1"/>
  <c r="CW73" i="11"/>
  <c r="AS73"/>
  <c r="CL73"/>
  <c r="BY73"/>
  <c r="W73"/>
  <c r="AI73"/>
  <c r="AV73"/>
  <c r="AB73"/>
  <c r="CU73"/>
  <c r="BU73"/>
  <c r="BA73"/>
  <c r="Q73"/>
  <c r="BV73"/>
  <c r="CF73"/>
  <c r="BK73"/>
  <c r="AY73"/>
  <c r="AR73"/>
  <c r="DE73"/>
  <c r="AS74"/>
  <c r="CC74"/>
  <c r="CP74"/>
  <c r="BI74"/>
  <c r="T74"/>
  <c r="CI74"/>
  <c r="CR74"/>
  <c r="CB74"/>
  <c r="CZ74"/>
  <c r="BJ74"/>
  <c r="G68" i="28"/>
  <c r="P14" i="29" s="1"/>
  <c r="BC74" i="11"/>
  <c r="DI74"/>
  <c r="CM74"/>
  <c r="BF73"/>
  <c r="AL73"/>
  <c r="DA73"/>
  <c r="CI73"/>
  <c r="BO73"/>
  <c r="AE73"/>
  <c r="DF73"/>
  <c r="CZ73"/>
  <c r="BQ73"/>
  <c r="AU73"/>
  <c r="BL73"/>
  <c r="CE73"/>
  <c r="DH73"/>
  <c r="BP74"/>
  <c r="AA74"/>
  <c r="BX74"/>
  <c r="CQ74"/>
  <c r="AB74"/>
  <c r="DM74"/>
  <c r="BE74"/>
  <c r="CV74"/>
  <c r="DE74"/>
  <c r="CH74"/>
  <c r="Z74"/>
  <c r="AM74"/>
  <c r="CG74"/>
  <c r="CJ74"/>
  <c r="CF74"/>
  <c r="DJ74"/>
  <c r="BR74"/>
  <c r="DC74"/>
  <c r="AI74"/>
  <c r="CY74"/>
  <c r="BV74"/>
  <c r="O76"/>
  <c r="M70" i="28" s="1"/>
  <c r="U73" i="11"/>
  <c r="CT73"/>
  <c r="CJ73"/>
  <c r="BZ73"/>
  <c r="BP73"/>
  <c r="AP73"/>
  <c r="AT73"/>
  <c r="AJ73"/>
  <c r="DI73"/>
  <c r="DC73"/>
  <c r="CO73"/>
  <c r="BS73"/>
  <c r="DG73"/>
  <c r="CM73"/>
  <c r="DM73"/>
  <c r="CC73"/>
  <c r="AC73"/>
  <c r="CY73"/>
  <c r="BJ73"/>
  <c r="BH73"/>
  <c r="X73"/>
  <c r="AO73"/>
  <c r="CN73"/>
  <c r="DB73"/>
  <c r="AW73"/>
  <c r="CD73"/>
  <c r="AJ74"/>
  <c r="AF74"/>
  <c r="BF74"/>
  <c r="BU74"/>
  <c r="S74"/>
  <c r="BB74"/>
  <c r="AV74"/>
  <c r="BN74"/>
  <c r="AR74"/>
  <c r="AT74"/>
  <c r="BD74"/>
  <c r="AP74"/>
  <c r="CO74"/>
  <c r="CU74"/>
  <c r="CK74"/>
  <c r="DL74"/>
  <c r="BZ74"/>
  <c r="AH74"/>
  <c r="AE74"/>
  <c r="DK74"/>
  <c r="DA74"/>
  <c r="X74"/>
  <c r="CW74"/>
  <c r="AC74"/>
  <c r="AO74"/>
  <c r="BW73"/>
  <c r="BI73"/>
  <c r="AM73"/>
  <c r="Y73"/>
  <c r="S73"/>
  <c r="DD73"/>
  <c r="CR73"/>
  <c r="CH73"/>
  <c r="BX73"/>
  <c r="AX73"/>
  <c r="AN73"/>
  <c r="AD73"/>
  <c r="T73"/>
  <c r="CV73"/>
  <c r="DJ73"/>
  <c r="CP73"/>
  <c r="Z73"/>
  <c r="AF73"/>
  <c r="CX73"/>
  <c r="BE73"/>
  <c r="AK73"/>
  <c r="BB73"/>
  <c r="CK73"/>
  <c r="O73"/>
  <c r="M67" i="28" s="1"/>
  <c r="CG73" i="11"/>
  <c r="O14" i="20"/>
  <c r="O5" i="13" s="1"/>
  <c r="AA92" i="28"/>
  <c r="AI137"/>
  <c r="AI131" s="1"/>
  <c r="K61" i="20"/>
  <c r="K14" s="1"/>
  <c r="K5" i="13" s="1"/>
  <c r="G66" i="27"/>
  <c r="K65"/>
  <c r="L66"/>
  <c r="R145" i="20"/>
  <c r="I145"/>
  <c r="K144"/>
  <c r="J65" i="27"/>
  <c r="I65"/>
  <c r="L65"/>
  <c r="M144" i="20"/>
  <c r="R144"/>
  <c r="I66" i="27"/>
  <c r="G65"/>
  <c r="G95" s="1"/>
  <c r="H65"/>
  <c r="M145" i="20"/>
  <c r="O144"/>
  <c r="H66" i="27"/>
  <c r="K66"/>
  <c r="J66"/>
  <c r="K145" i="20"/>
  <c r="O145"/>
  <c r="I144"/>
  <c r="S96" i="27"/>
  <c r="AC239" i="28" s="1"/>
  <c r="AC237" s="1"/>
  <c r="M25" i="13" s="1"/>
  <c r="AK137" i="28"/>
  <c r="AK131" s="1"/>
  <c r="M61" i="20"/>
  <c r="M14" s="1"/>
  <c r="M213" i="28"/>
  <c r="M4"/>
  <c r="F11" i="14"/>
  <c r="F21"/>
  <c r="G17" i="13"/>
  <c r="E5" i="24"/>
  <c r="M66" i="28"/>
  <c r="AK148"/>
  <c r="AK145" s="1"/>
  <c r="AC149"/>
  <c r="AC148" s="1"/>
  <c r="AC145" s="1"/>
  <c r="AM148"/>
  <c r="AM145" s="1"/>
  <c r="AE149"/>
  <c r="AE148" s="1"/>
  <c r="AE145" s="1"/>
  <c r="AG137"/>
  <c r="AG131" s="1"/>
  <c r="I61" i="20"/>
  <c r="I14" s="1"/>
  <c r="G12" i="28"/>
  <c r="P9" i="29" s="1"/>
  <c r="F30" i="14"/>
  <c r="G9" i="11"/>
  <c r="H4" i="9"/>
  <c r="G4" s="1"/>
  <c r="H6" s="1"/>
  <c r="G6" s="1"/>
  <c r="N207" i="2"/>
  <c r="G14" i="13"/>
  <c r="G201" i="20"/>
  <c r="M22" i="28"/>
  <c r="O12" i="11"/>
  <c r="S97" i="27"/>
  <c r="AA239" i="28" s="1"/>
  <c r="AA237" s="1"/>
  <c r="K25" i="13" s="1"/>
  <c r="AG148" i="28"/>
  <c r="AG145" s="1"/>
  <c r="Y149"/>
  <c r="Y148" s="1"/>
  <c r="Y145" s="1"/>
  <c r="AI148"/>
  <c r="AI145" s="1"/>
  <c r="AA149"/>
  <c r="AA148" s="1"/>
  <c r="AA145" s="1"/>
  <c r="F16" i="14"/>
  <c r="M83" i="28"/>
  <c r="F26" i="14"/>
  <c r="G22" i="13"/>
  <c r="E16" i="24"/>
  <c r="DL75" i="11"/>
  <c r="CJ75"/>
  <c r="AD75"/>
  <c r="DI75"/>
  <c r="CQ75"/>
  <c r="AV75"/>
  <c r="T75"/>
  <c r="CX75"/>
  <c r="BF75"/>
  <c r="AO75"/>
  <c r="CG75"/>
  <c r="AW75"/>
  <c r="DK75"/>
  <c r="BW75"/>
  <c r="G69" i="28"/>
  <c r="P15" i="29" s="1"/>
  <c r="DE75" i="11"/>
  <c r="CH75"/>
  <c r="AA75"/>
  <c r="BC75"/>
  <c r="AY75"/>
  <c r="CU75"/>
  <c r="AL75"/>
  <c r="CV75"/>
  <c r="BJ75"/>
  <c r="DG75"/>
  <c r="BS75"/>
  <c r="BX75"/>
  <c r="CP75"/>
  <c r="BH75"/>
  <c r="AP75"/>
  <c r="BB75"/>
  <c r="BK75"/>
  <c r="AU75"/>
  <c r="CD75"/>
  <c r="DD75"/>
  <c r="DA75"/>
  <c r="Q75"/>
  <c r="AZ75"/>
  <c r="X75"/>
  <c r="AE75"/>
  <c r="BI75"/>
  <c r="CN75"/>
  <c r="CE75"/>
  <c r="CS75"/>
  <c r="DB75"/>
  <c r="AH75"/>
  <c r="BM75"/>
  <c r="BV75"/>
  <c r="CI75"/>
  <c r="DH75"/>
  <c r="BT75"/>
  <c r="CW75"/>
  <c r="AN75"/>
  <c r="AI75"/>
  <c r="CB75"/>
  <c r="BZ75"/>
  <c r="BY75"/>
  <c r="S75"/>
  <c r="BL75"/>
  <c r="CC75"/>
  <c r="V75"/>
  <c r="AM75"/>
  <c r="DF75"/>
  <c r="AK75"/>
  <c r="CT75"/>
  <c r="R75"/>
  <c r="AR75"/>
  <c r="BA75"/>
  <c r="W75"/>
  <c r="AG75"/>
  <c r="BP75"/>
  <c r="BU75"/>
  <c r="DC75"/>
  <c r="DM75"/>
  <c r="Z75"/>
  <c r="AJ75"/>
  <c r="AQ75"/>
  <c r="CM75"/>
  <c r="DJ75"/>
  <c r="AB75"/>
  <c r="AS75"/>
  <c r="BO75"/>
  <c r="CZ75"/>
  <c r="AC75"/>
  <c r="AT75"/>
  <c r="CL75"/>
  <c r="AF75"/>
  <c r="AX75"/>
  <c r="CF75"/>
  <c r="Y75"/>
  <c r="BG75"/>
  <c r="BQ75"/>
  <c r="CY75"/>
  <c r="O75"/>
  <c r="M69" i="28" s="1"/>
  <c r="BN75" i="11"/>
  <c r="CR75"/>
  <c r="CK75"/>
  <c r="U75"/>
  <c r="BD75"/>
  <c r="BE75"/>
  <c r="BR75"/>
  <c r="CA75"/>
  <c r="CO75"/>
  <c r="G70"/>
  <c r="G64" i="28" s="1"/>
  <c r="M81"/>
  <c r="O86" i="11"/>
  <c r="M208" i="28"/>
  <c r="H16" i="19"/>
  <c r="G16" s="1"/>
  <c r="G15"/>
  <c r="DH59" i="11"/>
  <c r="CZ59"/>
  <c r="CR59"/>
  <c r="CJ59"/>
  <c r="CB59"/>
  <c r="BT59"/>
  <c r="BL59"/>
  <c r="BD59"/>
  <c r="AV59"/>
  <c r="AN59"/>
  <c r="AF59"/>
  <c r="X59"/>
  <c r="DK59"/>
  <c r="DC59"/>
  <c r="CU59"/>
  <c r="CM59"/>
  <c r="CE59"/>
  <c r="BW59"/>
  <c r="BO59"/>
  <c r="BG59"/>
  <c r="AY59"/>
  <c r="AQ59"/>
  <c r="AI59"/>
  <c r="AA59"/>
  <c r="S59"/>
  <c r="R59"/>
  <c r="AH59"/>
  <c r="AX59"/>
  <c r="BN59"/>
  <c r="CD59"/>
  <c r="CT59"/>
  <c r="DJ59"/>
  <c r="DI59"/>
  <c r="DA59"/>
  <c r="CS59"/>
  <c r="CK59"/>
  <c r="CC59"/>
  <c r="BU59"/>
  <c r="BM59"/>
  <c r="BE59"/>
  <c r="AW59"/>
  <c r="AO59"/>
  <c r="AG59"/>
  <c r="Y59"/>
  <c r="Q59"/>
  <c r="AD59"/>
  <c r="AT59"/>
  <c r="BJ59"/>
  <c r="BZ59"/>
  <c r="CP59"/>
  <c r="DF59"/>
  <c r="DL59"/>
  <c r="DD59"/>
  <c r="CV59"/>
  <c r="CN59"/>
  <c r="CF59"/>
  <c r="BX59"/>
  <c r="BP59"/>
  <c r="BH59"/>
  <c r="AZ59"/>
  <c r="AR59"/>
  <c r="AJ59"/>
  <c r="AB59"/>
  <c r="T59"/>
  <c r="DG59"/>
  <c r="CY59"/>
  <c r="CQ59"/>
  <c r="CI59"/>
  <c r="CA59"/>
  <c r="BS59"/>
  <c r="BK59"/>
  <c r="BC59"/>
  <c r="AU59"/>
  <c r="AM59"/>
  <c r="AE59"/>
  <c r="W59"/>
  <c r="O59"/>
  <c r="Z59"/>
  <c r="AP59"/>
  <c r="BF59"/>
  <c r="BV59"/>
  <c r="CL59"/>
  <c r="DB59"/>
  <c r="DM59"/>
  <c r="DE59"/>
  <c r="CW59"/>
  <c r="CO59"/>
  <c r="CG59"/>
  <c r="BY59"/>
  <c r="BQ59"/>
  <c r="BI59"/>
  <c r="BA59"/>
  <c r="AS59"/>
  <c r="AK59"/>
  <c r="AC59"/>
  <c r="U59"/>
  <c r="V59"/>
  <c r="AL59"/>
  <c r="BB59"/>
  <c r="BR59"/>
  <c r="CH59"/>
  <c r="CX59"/>
  <c r="S99" i="27" l="1"/>
  <c r="AE239" i="28" s="1"/>
  <c r="AE237" s="1"/>
  <c r="H41" i="10"/>
  <c r="G41" s="1"/>
  <c r="H42" s="1"/>
  <c r="G42" s="1"/>
  <c r="S98" i="27"/>
  <c r="Y239" i="28" s="1"/>
  <c r="Y237" s="1"/>
  <c r="L95" i="27"/>
  <c r="R177" i="20"/>
  <c r="M177" s="1"/>
  <c r="I143"/>
  <c r="H95" i="27"/>
  <c r="I95"/>
  <c r="K95"/>
  <c r="J95"/>
  <c r="O177" i="20"/>
  <c r="I177"/>
  <c r="K177"/>
  <c r="O143"/>
  <c r="M143"/>
  <c r="K143"/>
  <c r="I5" i="13"/>
  <c r="M5"/>
  <c r="K16" i="19"/>
  <c r="J16" s="1"/>
  <c r="F25" i="14"/>
  <c r="G21" i="13"/>
  <c r="M80" i="28"/>
  <c r="F15" i="14"/>
  <c r="E15" i="24"/>
  <c r="H185" i="11"/>
  <c r="G185" s="1"/>
  <c r="H118"/>
  <c r="G118" s="1"/>
  <c r="H152"/>
  <c r="G152" s="1"/>
  <c r="H171"/>
  <c r="G171" s="1"/>
  <c r="H153"/>
  <c r="G153" s="1"/>
  <c r="H159"/>
  <c r="G159" s="1"/>
  <c r="H99"/>
  <c r="G99" s="1"/>
  <c r="H158"/>
  <c r="G158" s="1"/>
  <c r="H107"/>
  <c r="G107" s="1"/>
  <c r="H110"/>
  <c r="G110" s="1"/>
  <c r="H131"/>
  <c r="G131" s="1"/>
  <c r="H123"/>
  <c r="G123" s="1"/>
  <c r="H112"/>
  <c r="G112" s="1"/>
  <c r="H184"/>
  <c r="G184" s="1"/>
  <c r="H174"/>
  <c r="G174" s="1"/>
  <c r="H132"/>
  <c r="G132" s="1"/>
  <c r="H137"/>
  <c r="G137" s="1"/>
  <c r="H173"/>
  <c r="G173" s="1"/>
  <c r="H155"/>
  <c r="G155" s="1"/>
  <c r="H113"/>
  <c r="G113" s="1"/>
  <c r="H126"/>
  <c r="G126" s="1"/>
  <c r="H142"/>
  <c r="G142" s="1"/>
  <c r="H129"/>
  <c r="G129" s="1"/>
  <c r="H140"/>
  <c r="G140" s="1"/>
  <c r="H117"/>
  <c r="G117" s="1"/>
  <c r="H106"/>
  <c r="G106" s="1"/>
  <c r="H111"/>
  <c r="G111" s="1"/>
  <c r="H125"/>
  <c r="G125" s="1"/>
  <c r="H177"/>
  <c r="G177" s="1"/>
  <c r="H104"/>
  <c r="G104" s="1"/>
  <c r="H124"/>
  <c r="G124" s="1"/>
  <c r="H130"/>
  <c r="G130" s="1"/>
  <c r="H162"/>
  <c r="G162" s="1"/>
  <c r="H148"/>
  <c r="G148" s="1"/>
  <c r="H139"/>
  <c r="G139" s="1"/>
  <c r="H176"/>
  <c r="G176" s="1"/>
  <c r="H179"/>
  <c r="G179" s="1"/>
  <c r="H101"/>
  <c r="G101" s="1"/>
  <c r="H135"/>
  <c r="G135" s="1"/>
  <c r="H165"/>
  <c r="G165" s="1"/>
  <c r="H168"/>
  <c r="G168" s="1"/>
  <c r="H115"/>
  <c r="G115" s="1"/>
  <c r="H145"/>
  <c r="G145" s="1"/>
  <c r="H133"/>
  <c r="G133" s="1"/>
  <c r="H161"/>
  <c r="G161" s="1"/>
  <c r="H114"/>
  <c r="G114" s="1"/>
  <c r="H146"/>
  <c r="G146" s="1"/>
  <c r="H121"/>
  <c r="G121" s="1"/>
  <c r="H150"/>
  <c r="G150" s="1"/>
  <c r="H160"/>
  <c r="G160" s="1"/>
  <c r="H181"/>
  <c r="G181" s="1"/>
  <c r="H103"/>
  <c r="G103" s="1"/>
  <c r="H151"/>
  <c r="G151" s="1"/>
  <c r="H141"/>
  <c r="G141" s="1"/>
  <c r="H100"/>
  <c r="G100" s="1"/>
  <c r="H120"/>
  <c r="G120" s="1"/>
  <c r="H138"/>
  <c r="G138" s="1"/>
  <c r="H182"/>
  <c r="G182" s="1"/>
  <c r="H147"/>
  <c r="G147" s="1"/>
  <c r="H149"/>
  <c r="G149" s="1"/>
  <c r="H172"/>
  <c r="G172" s="1"/>
  <c r="H144"/>
  <c r="G144" s="1"/>
  <c r="H116"/>
  <c r="G116" s="1"/>
  <c r="H134"/>
  <c r="G134" s="1"/>
  <c r="H183"/>
  <c r="G183" s="1"/>
  <c r="H178"/>
  <c r="G178" s="1"/>
  <c r="H163"/>
  <c r="G163" s="1"/>
  <c r="I25" i="13"/>
  <c r="H19" i="14"/>
  <c r="H29"/>
  <c r="G17" i="19"/>
  <c r="J20" s="1"/>
  <c r="H191" i="11"/>
  <c r="G191" s="1"/>
  <c r="H190"/>
  <c r="G190" s="1"/>
  <c r="M12" i="28"/>
  <c r="O9" i="11"/>
  <c r="N208" i="2"/>
  <c r="G15" i="13"/>
  <c r="G202" i="20"/>
  <c r="G9" i="28"/>
  <c r="O71" i="11"/>
  <c r="M65" i="28" s="1"/>
  <c r="O70" i="11"/>
  <c r="J29" i="14"/>
  <c r="O25" i="13"/>
  <c r="J19" i="14"/>
  <c r="I141" i="20" l="1"/>
  <c r="AG192" i="28"/>
  <c r="Y192" s="1"/>
  <c r="Y190" s="1"/>
  <c r="Y189" s="1"/>
  <c r="Y180" s="1"/>
  <c r="Y91" s="1"/>
  <c r="Y90" s="1"/>
  <c r="D34" i="18"/>
  <c r="K141" i="20"/>
  <c r="AI192" i="28"/>
  <c r="AA192" s="1"/>
  <c r="AA190" s="1"/>
  <c r="AA189" s="1"/>
  <c r="AA180" s="1"/>
  <c r="AA91" s="1"/>
  <c r="AA90" s="1"/>
  <c r="O141" i="20"/>
  <c r="AM192" i="28"/>
  <c r="AE192" s="1"/>
  <c r="AE190" s="1"/>
  <c r="AE189" s="1"/>
  <c r="AE180" s="1"/>
  <c r="AE91" s="1"/>
  <c r="AE90" s="1"/>
  <c r="AK192"/>
  <c r="AC192" s="1"/>
  <c r="AC190" s="1"/>
  <c r="AC189" s="1"/>
  <c r="AC180" s="1"/>
  <c r="AC91" s="1"/>
  <c r="AC90" s="1"/>
  <c r="M23" i="13" s="1"/>
  <c r="M141" i="20"/>
  <c r="J22" i="19"/>
  <c r="J23" s="1"/>
  <c r="M64" i="28"/>
  <c r="F14" i="14"/>
  <c r="E12" i="24"/>
  <c r="F24" i="14"/>
  <c r="G20" i="13"/>
  <c r="M9" i="28"/>
  <c r="F12" i="14"/>
  <c r="E6" i="24"/>
  <c r="F22" i="14"/>
  <c r="G18" i="13"/>
  <c r="CQ190" i="11"/>
  <c r="CQ197" s="1"/>
  <c r="CQ198" s="1"/>
  <c r="AD190"/>
  <c r="AY190"/>
  <c r="AY197" s="1"/>
  <c r="AY198" s="1"/>
  <c r="AK190"/>
  <c r="CB190"/>
  <c r="CB197" s="1"/>
  <c r="CB198" s="1"/>
  <c r="BY190"/>
  <c r="BY197" s="1"/>
  <c r="BY198" s="1"/>
  <c r="CP190"/>
  <c r="CP197" s="1"/>
  <c r="CP198" s="1"/>
  <c r="CD190"/>
  <c r="CD197" s="1"/>
  <c r="CD198" s="1"/>
  <c r="CN190"/>
  <c r="CN197" s="1"/>
  <c r="CN198" s="1"/>
  <c r="CU190"/>
  <c r="CU197" s="1"/>
  <c r="CU198" s="1"/>
  <c r="AW190"/>
  <c r="AW197" s="1"/>
  <c r="AW198" s="1"/>
  <c r="CR190"/>
  <c r="CR197" s="1"/>
  <c r="CR198" s="1"/>
  <c r="BR190"/>
  <c r="BR197" s="1"/>
  <c r="BR198" s="1"/>
  <c r="AL190"/>
  <c r="BP190"/>
  <c r="BP197" s="1"/>
  <c r="BP198" s="1"/>
  <c r="BM190"/>
  <c r="BM197" s="1"/>
  <c r="BM198" s="1"/>
  <c r="AR190"/>
  <c r="AH190"/>
  <c r="DH190"/>
  <c r="DH197" s="1"/>
  <c r="DH198" s="1"/>
  <c r="S190"/>
  <c r="AZ190"/>
  <c r="AZ197" s="1"/>
  <c r="AZ198" s="1"/>
  <c r="R190"/>
  <c r="DL190"/>
  <c r="DL197" s="1"/>
  <c r="DL198" s="1"/>
  <c r="DI190"/>
  <c r="DI197" s="1"/>
  <c r="DI198" s="1"/>
  <c r="AI190"/>
  <c r="CA190"/>
  <c r="CA197" s="1"/>
  <c r="CA198" s="1"/>
  <c r="AM190"/>
  <c r="AC190"/>
  <c r="DG190"/>
  <c r="DG197" s="1"/>
  <c r="DG198" s="1"/>
  <c r="AS190"/>
  <c r="BX190"/>
  <c r="BX197" s="1"/>
  <c r="BX198" s="1"/>
  <c r="BU190"/>
  <c r="BU197" s="1"/>
  <c r="BU198" s="1"/>
  <c r="Z190"/>
  <c r="BC190"/>
  <c r="BC197" s="1"/>
  <c r="BC198" s="1"/>
  <c r="Y190"/>
  <c r="AN190"/>
  <c r="CX190"/>
  <c r="CX197" s="1"/>
  <c r="CX198" s="1"/>
  <c r="CF190"/>
  <c r="CF197" s="1"/>
  <c r="CF198" s="1"/>
  <c r="CE190"/>
  <c r="CE197" s="1"/>
  <c r="CE198" s="1"/>
  <c r="AO190"/>
  <c r="BJ190"/>
  <c r="BJ197" s="1"/>
  <c r="BJ198" s="1"/>
  <c r="CG190"/>
  <c r="CG197" s="1"/>
  <c r="CG198" s="1"/>
  <c r="DB190"/>
  <c r="DB197" s="1"/>
  <c r="DB198" s="1"/>
  <c r="CW190"/>
  <c r="CW197" s="1"/>
  <c r="CW198" s="1"/>
  <c r="BK190"/>
  <c r="BK197" s="1"/>
  <c r="BK198" s="1"/>
  <c r="AB190"/>
  <c r="BE190"/>
  <c r="BE197" s="1"/>
  <c r="BE198" s="1"/>
  <c r="DC190"/>
  <c r="DC197" s="1"/>
  <c r="DC198" s="1"/>
  <c r="DM190"/>
  <c r="DM197" s="1"/>
  <c r="DM198" s="1"/>
  <c r="BL190"/>
  <c r="BL197" s="1"/>
  <c r="BL198" s="1"/>
  <c r="BW190"/>
  <c r="BW197" s="1"/>
  <c r="BW198" s="1"/>
  <c r="AE190"/>
  <c r="CV190"/>
  <c r="CV197" s="1"/>
  <c r="CV198" s="1"/>
  <c r="AA190"/>
  <c r="DK190"/>
  <c r="DK197" s="1"/>
  <c r="DK198" s="1"/>
  <c r="AP190"/>
  <c r="BB190"/>
  <c r="BB197" s="1"/>
  <c r="BB198" s="1"/>
  <c r="BD190"/>
  <c r="BD197" s="1"/>
  <c r="BD198" s="1"/>
  <c r="CO190"/>
  <c r="CO197" s="1"/>
  <c r="CO198" s="1"/>
  <c r="G189"/>
  <c r="G237" i="28" s="1"/>
  <c r="AT190" i="11"/>
  <c r="O190"/>
  <c r="CK190"/>
  <c r="CK197" s="1"/>
  <c r="CK198" s="1"/>
  <c r="AU190"/>
  <c r="DJ190"/>
  <c r="DJ197" s="1"/>
  <c r="DJ198" s="1"/>
  <c r="DE190"/>
  <c r="DE197" s="1"/>
  <c r="DE198" s="1"/>
  <c r="DD190"/>
  <c r="DD197" s="1"/>
  <c r="DD198" s="1"/>
  <c r="DA190"/>
  <c r="DA197" s="1"/>
  <c r="DA198" s="1"/>
  <c r="BS190"/>
  <c r="BS197" s="1"/>
  <c r="BS198" s="1"/>
  <c r="BF190"/>
  <c r="BF197" s="1"/>
  <c r="BF198" s="1"/>
  <c r="Q190"/>
  <c r="BZ190"/>
  <c r="BZ197" s="1"/>
  <c r="BZ198" s="1"/>
  <c r="BN190"/>
  <c r="BN197" s="1"/>
  <c r="BN198" s="1"/>
  <c r="BT190"/>
  <c r="BT197" s="1"/>
  <c r="BT198" s="1"/>
  <c r="BA190"/>
  <c r="BA197" s="1"/>
  <c r="BA198" s="1"/>
  <c r="CH190"/>
  <c r="CH197" s="1"/>
  <c r="CH198" s="1"/>
  <c r="AV190"/>
  <c r="AV197" s="1"/>
  <c r="AV198" s="1"/>
  <c r="U190"/>
  <c r="CY190"/>
  <c r="CY197" s="1"/>
  <c r="CY198" s="1"/>
  <c r="BQ190"/>
  <c r="BQ197" s="1"/>
  <c r="BQ198" s="1"/>
  <c r="T190"/>
  <c r="BV190"/>
  <c r="BV197" s="1"/>
  <c r="BV198" s="1"/>
  <c r="BH190"/>
  <c r="BH197" s="1"/>
  <c r="BH198" s="1"/>
  <c r="X190"/>
  <c r="CI190"/>
  <c r="CI197" s="1"/>
  <c r="CI198" s="1"/>
  <c r="BO190"/>
  <c r="BO197" s="1"/>
  <c r="BO198" s="1"/>
  <c r="AG190"/>
  <c r="DF190"/>
  <c r="DF197" s="1"/>
  <c r="DF198" s="1"/>
  <c r="CT190"/>
  <c r="CT197" s="1"/>
  <c r="CT198" s="1"/>
  <c r="CJ190"/>
  <c r="CJ197" s="1"/>
  <c r="CJ198" s="1"/>
  <c r="BG190"/>
  <c r="BG197" s="1"/>
  <c r="BG198" s="1"/>
  <c r="CC190"/>
  <c r="CC197" s="1"/>
  <c r="CC198" s="1"/>
  <c r="AJ190"/>
  <c r="W190"/>
  <c r="CZ190"/>
  <c r="CZ197" s="1"/>
  <c r="CZ198" s="1"/>
  <c r="AQ190"/>
  <c r="AF190"/>
  <c r="CM190"/>
  <c r="CM197" s="1"/>
  <c r="CM198" s="1"/>
  <c r="BI190"/>
  <c r="BI197" s="1"/>
  <c r="BI198" s="1"/>
  <c r="CL190"/>
  <c r="CL197" s="1"/>
  <c r="CL198" s="1"/>
  <c r="V190"/>
  <c r="AX190"/>
  <c r="AX197" s="1"/>
  <c r="AX198" s="1"/>
  <c r="G238" i="28"/>
  <c r="CS190" i="11"/>
  <c r="CS197" s="1"/>
  <c r="CS198" s="1"/>
  <c r="E34" i="18"/>
  <c r="J21" i="19"/>
  <c r="CF178" i="11"/>
  <c r="CR178"/>
  <c r="CA178"/>
  <c r="G226" i="28"/>
  <c r="AU178" i="11"/>
  <c r="BA178"/>
  <c r="AQ178"/>
  <c r="BN178"/>
  <c r="BJ178"/>
  <c r="DE178"/>
  <c r="AB178"/>
  <c r="R178"/>
  <c r="O178"/>
  <c r="M226" i="28" s="1"/>
  <c r="AZ178" i="11"/>
  <c r="BT178"/>
  <c r="BZ178"/>
  <c r="BP178"/>
  <c r="DL178"/>
  <c r="CS178"/>
  <c r="X178"/>
  <c r="CP178"/>
  <c r="BM178"/>
  <c r="CM178"/>
  <c r="CW178"/>
  <c r="DC178"/>
  <c r="Q178"/>
  <c r="DM178"/>
  <c r="CT178"/>
  <c r="DG178"/>
  <c r="DD178"/>
  <c r="CI178"/>
  <c r="AR178"/>
  <c r="AH178"/>
  <c r="BD178"/>
  <c r="BX178"/>
  <c r="Y178"/>
  <c r="S178"/>
  <c r="DH178"/>
  <c r="AE178"/>
  <c r="Z178"/>
  <c r="BQ178"/>
  <c r="BG178"/>
  <c r="CC178"/>
  <c r="BS178"/>
  <c r="AI178"/>
  <c r="CO178"/>
  <c r="DB178"/>
  <c r="DJ178"/>
  <c r="CZ178"/>
  <c r="BE178"/>
  <c r="BB178"/>
  <c r="BO178"/>
  <c r="AV178"/>
  <c r="AS178"/>
  <c r="BF178"/>
  <c r="U178"/>
  <c r="BC178"/>
  <c r="AL178"/>
  <c r="AF178"/>
  <c r="AC178"/>
  <c r="AP178"/>
  <c r="W178"/>
  <c r="T178"/>
  <c r="AG178"/>
  <c r="AD178"/>
  <c r="V178"/>
  <c r="AY178"/>
  <c r="CQ178"/>
  <c r="BU178"/>
  <c r="CE178"/>
  <c r="CX178"/>
  <c r="BV178"/>
  <c r="CG178"/>
  <c r="AJ178"/>
  <c r="BK178"/>
  <c r="AN178"/>
  <c r="AX178"/>
  <c r="CJ178"/>
  <c r="DK178"/>
  <c r="BH178"/>
  <c r="CU178"/>
  <c r="CL178"/>
  <c r="AT178"/>
  <c r="DF178"/>
  <c r="AO178"/>
  <c r="CD178"/>
  <c r="CN178"/>
  <c r="BR178"/>
  <c r="DI178"/>
  <c r="CB178"/>
  <c r="CH178"/>
  <c r="CK178"/>
  <c r="CV178"/>
  <c r="AK178"/>
  <c r="AM178"/>
  <c r="BL178"/>
  <c r="CY178"/>
  <c r="AA178"/>
  <c r="BW178"/>
  <c r="AW178"/>
  <c r="DA178"/>
  <c r="BI178"/>
  <c r="BY178"/>
  <c r="DF134"/>
  <c r="AH134"/>
  <c r="CS134"/>
  <c r="DD134"/>
  <c r="CT134"/>
  <c r="CA134"/>
  <c r="BW134"/>
  <c r="CE134"/>
  <c r="BY134"/>
  <c r="BP134"/>
  <c r="O134"/>
  <c r="M160" i="28" s="1"/>
  <c r="X134" i="11"/>
  <c r="CD134"/>
  <c r="AR134"/>
  <c r="CI134"/>
  <c r="BQ134"/>
  <c r="V134"/>
  <c r="AD134"/>
  <c r="BI134"/>
  <c r="CU134"/>
  <c r="BL134"/>
  <c r="CF134"/>
  <c r="AQ134"/>
  <c r="Q134"/>
  <c r="AA134"/>
  <c r="DL134"/>
  <c r="DJ134"/>
  <c r="AV134"/>
  <c r="AE134"/>
  <c r="BE134"/>
  <c r="AJ134"/>
  <c r="AI134"/>
  <c r="BC134"/>
  <c r="BK134"/>
  <c r="Y134"/>
  <c r="U134"/>
  <c r="BR134"/>
  <c r="CQ134"/>
  <c r="CK134"/>
  <c r="CZ134"/>
  <c r="BT134"/>
  <c r="AM134"/>
  <c r="DI134"/>
  <c r="AO134"/>
  <c r="Z134"/>
  <c r="CN134"/>
  <c r="AC134"/>
  <c r="R134"/>
  <c r="AN134"/>
  <c r="DM134"/>
  <c r="BV134"/>
  <c r="CP134"/>
  <c r="DC134"/>
  <c r="BM134"/>
  <c r="AK134"/>
  <c r="W134"/>
  <c r="BN134"/>
  <c r="AB134"/>
  <c r="BO134"/>
  <c r="BU134"/>
  <c r="BS134"/>
  <c r="AT134"/>
  <c r="T134"/>
  <c r="CW134"/>
  <c r="AP134"/>
  <c r="DG134"/>
  <c r="CL134"/>
  <c r="DE134"/>
  <c r="AS134"/>
  <c r="BJ134"/>
  <c r="AL134"/>
  <c r="BX134"/>
  <c r="AF134"/>
  <c r="CR134"/>
  <c r="CX134"/>
  <c r="DH134"/>
  <c r="AW134"/>
  <c r="S134"/>
  <c r="CY134"/>
  <c r="CV134"/>
  <c r="BA134"/>
  <c r="BZ134"/>
  <c r="BB134"/>
  <c r="AZ134"/>
  <c r="AY134"/>
  <c r="CH134"/>
  <c r="CG134"/>
  <c r="DK134"/>
  <c r="CB134"/>
  <c r="DB134"/>
  <c r="CC134"/>
  <c r="AG134"/>
  <c r="DA134"/>
  <c r="BG134"/>
  <c r="BD134"/>
  <c r="AX134"/>
  <c r="CO134"/>
  <c r="AU134"/>
  <c r="BH134"/>
  <c r="CM134"/>
  <c r="CJ134"/>
  <c r="BF134"/>
  <c r="G160" i="28"/>
  <c r="BW144" i="11"/>
  <c r="AU144"/>
  <c r="AW144"/>
  <c r="BL144"/>
  <c r="CF144"/>
  <c r="BY144"/>
  <c r="DL144"/>
  <c r="CG144"/>
  <c r="CD144"/>
  <c r="CU144"/>
  <c r="AQ144"/>
  <c r="BK144"/>
  <c r="Q144"/>
  <c r="R144"/>
  <c r="CY144"/>
  <c r="BT144"/>
  <c r="AT144"/>
  <c r="BA144"/>
  <c r="DG144"/>
  <c r="U144"/>
  <c r="BX144"/>
  <c r="X144"/>
  <c r="AA144"/>
  <c r="Z144"/>
  <c r="DH144"/>
  <c r="AN144"/>
  <c r="AX144"/>
  <c r="CP144"/>
  <c r="CI144"/>
  <c r="BH144"/>
  <c r="T144"/>
  <c r="AL144"/>
  <c r="AF144"/>
  <c r="CK144"/>
  <c r="BI144"/>
  <c r="AZ144"/>
  <c r="BC144"/>
  <c r="S144"/>
  <c r="AP144"/>
  <c r="AB144"/>
  <c r="CZ144"/>
  <c r="BN144"/>
  <c r="CJ144"/>
  <c r="CM144"/>
  <c r="CL144"/>
  <c r="DA144"/>
  <c r="BS144"/>
  <c r="CC144"/>
  <c r="BO144"/>
  <c r="CQ144"/>
  <c r="BJ144"/>
  <c r="BR144"/>
  <c r="AO144"/>
  <c r="AD144"/>
  <c r="AM144"/>
  <c r="AJ144"/>
  <c r="AS144"/>
  <c r="CS144"/>
  <c r="BM144"/>
  <c r="CA144"/>
  <c r="O144"/>
  <c r="V144"/>
  <c r="DE144"/>
  <c r="DF144"/>
  <c r="BE144"/>
  <c r="BV144"/>
  <c r="AI144"/>
  <c r="CV144"/>
  <c r="DI144"/>
  <c r="CE144"/>
  <c r="CH144"/>
  <c r="BU144"/>
  <c r="CB144"/>
  <c r="AE144"/>
  <c r="DM144"/>
  <c r="DB144"/>
  <c r="CN144"/>
  <c r="BB144"/>
  <c r="BG144"/>
  <c r="BF144"/>
  <c r="AC144"/>
  <c r="W144"/>
  <c r="Y144"/>
  <c r="CX144"/>
  <c r="CR144"/>
  <c r="DK144"/>
  <c r="CT144"/>
  <c r="CW144"/>
  <c r="AG144"/>
  <c r="BP144"/>
  <c r="BZ144"/>
  <c r="AV144"/>
  <c r="DD144"/>
  <c r="AY144"/>
  <c r="AH144"/>
  <c r="AK144"/>
  <c r="AR144"/>
  <c r="DJ144"/>
  <c r="DC144"/>
  <c r="BQ144"/>
  <c r="BD144"/>
  <c r="CO144"/>
  <c r="G170" i="28"/>
  <c r="R149" i="11"/>
  <c r="DF149"/>
  <c r="CO149"/>
  <c r="AZ149"/>
  <c r="CW149"/>
  <c r="CI149"/>
  <c r="U149"/>
  <c r="G175" i="28"/>
  <c r="BY149" i="11"/>
  <c r="CQ149"/>
  <c r="CD149"/>
  <c r="CG149"/>
  <c r="BT149"/>
  <c r="BG149"/>
  <c r="BJ149"/>
  <c r="CB149"/>
  <c r="BB149"/>
  <c r="BS149"/>
  <c r="AG149"/>
  <c r="AH149"/>
  <c r="AY149"/>
  <c r="BD149"/>
  <c r="BE149"/>
  <c r="BF149"/>
  <c r="T149"/>
  <c r="AK149"/>
  <c r="DB149"/>
  <c r="CF149"/>
  <c r="BU149"/>
  <c r="DG149"/>
  <c r="Q149"/>
  <c r="CU149"/>
  <c r="BR149"/>
  <c r="DC149"/>
  <c r="CE149"/>
  <c r="AP149"/>
  <c r="AC149"/>
  <c r="AF149"/>
  <c r="AI149"/>
  <c r="DE149"/>
  <c r="DH149"/>
  <c r="DK149"/>
  <c r="CC149"/>
  <c r="AQ149"/>
  <c r="BH149"/>
  <c r="AS149"/>
  <c r="W149"/>
  <c r="BM149"/>
  <c r="BP149"/>
  <c r="AT149"/>
  <c r="AU149"/>
  <c r="AV149"/>
  <c r="CT149"/>
  <c r="CR149"/>
  <c r="CS149"/>
  <c r="BC149"/>
  <c r="AN149"/>
  <c r="AD149"/>
  <c r="CX149"/>
  <c r="DD149"/>
  <c r="BX149"/>
  <c r="AE149"/>
  <c r="AA149"/>
  <c r="DA149"/>
  <c r="DI149"/>
  <c r="AL149"/>
  <c r="DJ149"/>
  <c r="CY149"/>
  <c r="AR149"/>
  <c r="CA149"/>
  <c r="AJ149"/>
  <c r="Y149"/>
  <c r="BQ149"/>
  <c r="BV149"/>
  <c r="BK149"/>
  <c r="CM149"/>
  <c r="BL149"/>
  <c r="BA149"/>
  <c r="CL149"/>
  <c r="CJ149"/>
  <c r="DL149"/>
  <c r="CK149"/>
  <c r="BZ149"/>
  <c r="S149"/>
  <c r="X149"/>
  <c r="CV149"/>
  <c r="AO149"/>
  <c r="DM149"/>
  <c r="AW149"/>
  <c r="V149"/>
  <c r="BN149"/>
  <c r="AM149"/>
  <c r="AB149"/>
  <c r="CZ149"/>
  <c r="BI149"/>
  <c r="AX149"/>
  <c r="CP149"/>
  <c r="BO149"/>
  <c r="Z149"/>
  <c r="CH149"/>
  <c r="BW149"/>
  <c r="O149"/>
  <c r="M175" i="28" s="1"/>
  <c r="CN149" i="11"/>
  <c r="G230" i="28"/>
  <c r="BD182" i="11"/>
  <c r="AH182"/>
  <c r="BA182"/>
  <c r="CE182"/>
  <c r="CB182"/>
  <c r="DM182"/>
  <c r="AR182"/>
  <c r="AQ182"/>
  <c r="CQ182"/>
  <c r="CX182"/>
  <c r="DD182"/>
  <c r="BF182"/>
  <c r="CF182"/>
  <c r="BG182"/>
  <c r="AE182"/>
  <c r="DH182"/>
  <c r="CI182"/>
  <c r="AS182"/>
  <c r="AL182"/>
  <c r="DK182"/>
  <c r="BU182"/>
  <c r="AC182"/>
  <c r="X182"/>
  <c r="CG182"/>
  <c r="AT182"/>
  <c r="DJ182"/>
  <c r="BS182"/>
  <c r="BE182"/>
  <c r="DL182"/>
  <c r="CS182"/>
  <c r="BL182"/>
  <c r="BN182"/>
  <c r="BO182"/>
  <c r="CZ182"/>
  <c r="CH182"/>
  <c r="DC182"/>
  <c r="R182"/>
  <c r="CO182"/>
  <c r="BH182"/>
  <c r="AX182"/>
  <c r="AU182"/>
  <c r="CV182"/>
  <c r="BR182"/>
  <c r="CY182"/>
  <c r="CL182"/>
  <c r="CK182"/>
  <c r="AN182"/>
  <c r="S182"/>
  <c r="BB182"/>
  <c r="BV182"/>
  <c r="W182"/>
  <c r="AO182"/>
  <c r="DA182"/>
  <c r="O182"/>
  <c r="M230" i="28" s="1"/>
  <c r="AW182" i="11"/>
  <c r="AG182"/>
  <c r="Z182"/>
  <c r="DI182"/>
  <c r="Y182"/>
  <c r="BY182"/>
  <c r="CM182"/>
  <c r="AI182"/>
  <c r="AZ182"/>
  <c r="BC182"/>
  <c r="T182"/>
  <c r="CC182"/>
  <c r="AM182"/>
  <c r="AV182"/>
  <c r="DE182"/>
  <c r="AD182"/>
  <c r="BX182"/>
  <c r="AY182"/>
  <c r="U182"/>
  <c r="CJ182"/>
  <c r="BK182"/>
  <c r="AK182"/>
  <c r="BP182"/>
  <c r="CD182"/>
  <c r="Q182"/>
  <c r="DG182"/>
  <c r="AJ182"/>
  <c r="CP182"/>
  <c r="DF182"/>
  <c r="CN182"/>
  <c r="AP182"/>
  <c r="CA182"/>
  <c r="AA182"/>
  <c r="BM182"/>
  <c r="AF182"/>
  <c r="BZ182"/>
  <c r="DB182"/>
  <c r="BT182"/>
  <c r="CT182"/>
  <c r="BW182"/>
  <c r="V182"/>
  <c r="BI182"/>
  <c r="AB182"/>
  <c r="BJ182"/>
  <c r="CW182"/>
  <c r="CR182"/>
  <c r="CU182"/>
  <c r="BQ182"/>
  <c r="CN120"/>
  <c r="S120"/>
  <c r="BW120"/>
  <c r="DG120"/>
  <c r="BN120"/>
  <c r="CH120"/>
  <c r="CA120"/>
  <c r="BI120"/>
  <c r="BQ120"/>
  <c r="AS120"/>
  <c r="BK120"/>
  <c r="AX120"/>
  <c r="BV120"/>
  <c r="BU120"/>
  <c r="AL120"/>
  <c r="BL120"/>
  <c r="BX120"/>
  <c r="BM120"/>
  <c r="BZ120"/>
  <c r="T120"/>
  <c r="G146" i="28"/>
  <c r="CR120" i="11"/>
  <c r="DI120"/>
  <c r="CV120"/>
  <c r="CY120"/>
  <c r="CL120"/>
  <c r="BY120"/>
  <c r="CU120"/>
  <c r="X120"/>
  <c r="Y120"/>
  <c r="Z120"/>
  <c r="CM120"/>
  <c r="CT120"/>
  <c r="AW120"/>
  <c r="DJ120"/>
  <c r="AB120"/>
  <c r="DL120"/>
  <c r="AZ120"/>
  <c r="CK120"/>
  <c r="W120"/>
  <c r="AN120"/>
  <c r="O120"/>
  <c r="AJ120"/>
  <c r="CX120"/>
  <c r="AG120"/>
  <c r="AM120"/>
  <c r="DA120"/>
  <c r="BO120"/>
  <c r="BA120"/>
  <c r="AA120"/>
  <c r="BR120"/>
  <c r="DM120"/>
  <c r="AT120"/>
  <c r="V120"/>
  <c r="CZ120"/>
  <c r="CJ120"/>
  <c r="CS120"/>
  <c r="BB120"/>
  <c r="AQ120"/>
  <c r="AV120"/>
  <c r="AD120"/>
  <c r="DK120"/>
  <c r="BG120"/>
  <c r="AR120"/>
  <c r="CC120"/>
  <c r="DE120"/>
  <c r="CD120"/>
  <c r="AF120"/>
  <c r="CW120"/>
  <c r="CE120"/>
  <c r="AC120"/>
  <c r="AK120"/>
  <c r="Q120"/>
  <c r="CO120"/>
  <c r="AH120"/>
  <c r="CI120"/>
  <c r="CG120"/>
  <c r="AY120"/>
  <c r="R120"/>
  <c r="AI120"/>
  <c r="BD120"/>
  <c r="CF120"/>
  <c r="BE120"/>
  <c r="BC120"/>
  <c r="U120"/>
  <c r="AE120"/>
  <c r="BS120"/>
  <c r="BF120"/>
  <c r="CQ120"/>
  <c r="BP120"/>
  <c r="AO120"/>
  <c r="DF120"/>
  <c r="DD120"/>
  <c r="AP120"/>
  <c r="CB120"/>
  <c r="DB120"/>
  <c r="AU120"/>
  <c r="DC120"/>
  <c r="DH120"/>
  <c r="CP120"/>
  <c r="BH120"/>
  <c r="BT120"/>
  <c r="BJ120"/>
  <c r="DL141"/>
  <c r="Y141"/>
  <c r="DF141"/>
  <c r="G167" i="28"/>
  <c r="DB141" i="11"/>
  <c r="DE141"/>
  <c r="CV141"/>
  <c r="CY141"/>
  <c r="S141"/>
  <c r="DA141"/>
  <c r="DH141"/>
  <c r="DK141"/>
  <c r="CT141"/>
  <c r="CW141"/>
  <c r="CN141"/>
  <c r="BY141"/>
  <c r="CK141"/>
  <c r="AS141"/>
  <c r="AJ141"/>
  <c r="AM141"/>
  <c r="BB141"/>
  <c r="AO141"/>
  <c r="AV141"/>
  <c r="AY141"/>
  <c r="AH141"/>
  <c r="AK141"/>
  <c r="AL141"/>
  <c r="DJ141"/>
  <c r="AQ141"/>
  <c r="AI141"/>
  <c r="R141"/>
  <c r="U141"/>
  <c r="AR141"/>
  <c r="AE141"/>
  <c r="AD141"/>
  <c r="AG141"/>
  <c r="X141"/>
  <c r="AA141"/>
  <c r="Z141"/>
  <c r="CC141"/>
  <c r="CX141"/>
  <c r="BO141"/>
  <c r="BR141"/>
  <c r="BN141"/>
  <c r="BJ141"/>
  <c r="DG141"/>
  <c r="T141"/>
  <c r="O141"/>
  <c r="M167" i="28" s="1"/>
  <c r="DM141" i="11"/>
  <c r="CE141"/>
  <c r="BK141"/>
  <c r="AN141"/>
  <c r="AC141"/>
  <c r="AX141"/>
  <c r="BH141"/>
  <c r="AU141"/>
  <c r="AT141"/>
  <c r="AW141"/>
  <c r="BD141"/>
  <c r="BG141"/>
  <c r="BF141"/>
  <c r="BI141"/>
  <c r="AZ141"/>
  <c r="BC141"/>
  <c r="BZ141"/>
  <c r="BS141"/>
  <c r="CU141"/>
  <c r="CD141"/>
  <c r="CG141"/>
  <c r="DD141"/>
  <c r="CQ141"/>
  <c r="CP141"/>
  <c r="CS141"/>
  <c r="CJ141"/>
  <c r="CM141"/>
  <c r="CL141"/>
  <c r="AF141"/>
  <c r="Q141"/>
  <c r="CZ141"/>
  <c r="BT141"/>
  <c r="BW141"/>
  <c r="BV141"/>
  <c r="CO141"/>
  <c r="CF141"/>
  <c r="CI141"/>
  <c r="CH141"/>
  <c r="BU141"/>
  <c r="CB141"/>
  <c r="CA141"/>
  <c r="BP141"/>
  <c r="CR141"/>
  <c r="DC141"/>
  <c r="BL141"/>
  <c r="BX141"/>
  <c r="AB141"/>
  <c r="DI141"/>
  <c r="V141"/>
  <c r="BE141"/>
  <c r="BQ141"/>
  <c r="BM141"/>
  <c r="BA141"/>
  <c r="W141"/>
  <c r="AP141"/>
  <c r="DE103"/>
  <c r="BI103"/>
  <c r="BX103"/>
  <c r="DG103"/>
  <c r="BJ103"/>
  <c r="DD103"/>
  <c r="Q103"/>
  <c r="BG103"/>
  <c r="BY103"/>
  <c r="DI103"/>
  <c r="CJ103"/>
  <c r="DK103"/>
  <c r="AZ103"/>
  <c r="DB103"/>
  <c r="BK103"/>
  <c r="DM103"/>
  <c r="R103"/>
  <c r="AJ103"/>
  <c r="CI103"/>
  <c r="CW103"/>
  <c r="AY103"/>
  <c r="AP103"/>
  <c r="AU103"/>
  <c r="AL103"/>
  <c r="AS103"/>
  <c r="AG103"/>
  <c r="BE103"/>
  <c r="AM103"/>
  <c r="BA103"/>
  <c r="CM103"/>
  <c r="DJ103"/>
  <c r="Y103"/>
  <c r="CP103"/>
  <c r="X103"/>
  <c r="CT103"/>
  <c r="DF103"/>
  <c r="AF103"/>
  <c r="CQ103"/>
  <c r="DC103"/>
  <c r="DA103"/>
  <c r="CU103"/>
  <c r="CF103"/>
  <c r="AC103"/>
  <c r="DL103"/>
  <c r="CX103"/>
  <c r="BZ103"/>
  <c r="S103"/>
  <c r="CN103"/>
  <c r="CG103"/>
  <c r="CD103"/>
  <c r="BS103"/>
  <c r="AV103"/>
  <c r="BU103"/>
  <c r="BR103"/>
  <c r="AD103"/>
  <c r="AN103"/>
  <c r="BL103"/>
  <c r="CK103"/>
  <c r="CH103"/>
  <c r="AA103"/>
  <c r="BP103"/>
  <c r="BH103"/>
  <c r="DH103"/>
  <c r="AH103"/>
  <c r="W103"/>
  <c r="BQ103"/>
  <c r="CY103"/>
  <c r="AR103"/>
  <c r="AW103"/>
  <c r="BT103"/>
  <c r="CL103"/>
  <c r="BB103"/>
  <c r="AX103"/>
  <c r="CR103"/>
  <c r="BF103"/>
  <c r="CB103"/>
  <c r="AQ103"/>
  <c r="CV103"/>
  <c r="V103"/>
  <c r="U103"/>
  <c r="CA103"/>
  <c r="CZ103"/>
  <c r="BV103"/>
  <c r="AB103"/>
  <c r="BO103"/>
  <c r="BM103"/>
  <c r="BC103"/>
  <c r="AI103"/>
  <c r="CS103"/>
  <c r="AK103"/>
  <c r="CE103"/>
  <c r="CC103"/>
  <c r="AT103"/>
  <c r="O103"/>
  <c r="CO103"/>
  <c r="T103"/>
  <c r="AE103"/>
  <c r="BD103"/>
  <c r="Z103"/>
  <c r="G110" i="28"/>
  <c r="BW103" i="11"/>
  <c r="BN103"/>
  <c r="AO103"/>
  <c r="CX160"/>
  <c r="CQ160"/>
  <c r="AK160"/>
  <c r="AM160"/>
  <c r="CM160"/>
  <c r="AH160"/>
  <c r="CI160"/>
  <c r="DI160"/>
  <c r="CV160"/>
  <c r="CJ160"/>
  <c r="CE160"/>
  <c r="R160"/>
  <c r="BA160"/>
  <c r="CL160"/>
  <c r="W160"/>
  <c r="AZ160"/>
  <c r="BE160"/>
  <c r="BZ160"/>
  <c r="AV160"/>
  <c r="V160"/>
  <c r="AC160"/>
  <c r="AJ160"/>
  <c r="T160"/>
  <c r="BO160"/>
  <c r="BR160"/>
  <c r="AN160"/>
  <c r="BM160"/>
  <c r="BS160"/>
  <c r="BH160"/>
  <c r="DA160"/>
  <c r="CB160"/>
  <c r="CD160"/>
  <c r="AE160"/>
  <c r="DE160"/>
  <c r="G186" i="28"/>
  <c r="DK160" i="11"/>
  <c r="S160"/>
  <c r="AB160"/>
  <c r="AU160"/>
  <c r="AW160"/>
  <c r="AF160"/>
  <c r="BT160"/>
  <c r="AX160"/>
  <c r="CG160"/>
  <c r="U160"/>
  <c r="AS160"/>
  <c r="BW160"/>
  <c r="BD160"/>
  <c r="BY160"/>
  <c r="BG160"/>
  <c r="CY160"/>
  <c r="DD160"/>
  <c r="CS160"/>
  <c r="BK160"/>
  <c r="BX160"/>
  <c r="AY160"/>
  <c r="DH160"/>
  <c r="BI160"/>
  <c r="CT160"/>
  <c r="CP160"/>
  <c r="O160"/>
  <c r="M186" i="28" s="1"/>
  <c r="AQ160" i="11"/>
  <c r="CO160"/>
  <c r="DC160"/>
  <c r="Q160"/>
  <c r="BU160"/>
  <c r="CA160"/>
  <c r="BP160"/>
  <c r="AG160"/>
  <c r="AO160"/>
  <c r="CZ160"/>
  <c r="BQ160"/>
  <c r="BV160"/>
  <c r="DF160"/>
  <c r="X160"/>
  <c r="DB160"/>
  <c r="AI160"/>
  <c r="AP160"/>
  <c r="AR160"/>
  <c r="BL160"/>
  <c r="AL160"/>
  <c r="CK160"/>
  <c r="DG160"/>
  <c r="CF160"/>
  <c r="BB160"/>
  <c r="DJ160"/>
  <c r="BF160"/>
  <c r="DL160"/>
  <c r="AT160"/>
  <c r="AD160"/>
  <c r="CR160"/>
  <c r="CU160"/>
  <c r="BN160"/>
  <c r="AA160"/>
  <c r="CC160"/>
  <c r="Y160"/>
  <c r="CN160"/>
  <c r="CW160"/>
  <c r="Z160"/>
  <c r="CH160"/>
  <c r="DM160"/>
  <c r="BJ160"/>
  <c r="BC160"/>
  <c r="AB121"/>
  <c r="CC121"/>
  <c r="DM121"/>
  <c r="BY121"/>
  <c r="Q121"/>
  <c r="BP121"/>
  <c r="BO121"/>
  <c r="AX121"/>
  <c r="BA121"/>
  <c r="AN121"/>
  <c r="AQ121"/>
  <c r="AP121"/>
  <c r="AL121"/>
  <c r="Y121"/>
  <c r="AF121"/>
  <c r="DJ121"/>
  <c r="DC121"/>
  <c r="CX121"/>
  <c r="CR121"/>
  <c r="BZ121"/>
  <c r="AW121"/>
  <c r="BV121"/>
  <c r="CY121"/>
  <c r="U121"/>
  <c r="AT121"/>
  <c r="BW121"/>
  <c r="CV121"/>
  <c r="R121"/>
  <c r="AU121"/>
  <c r="BT121"/>
  <c r="DE121"/>
  <c r="AI121"/>
  <c r="BH121"/>
  <c r="BS121"/>
  <c r="CZ121"/>
  <c r="DB121"/>
  <c r="CK121"/>
  <c r="CA121"/>
  <c r="AO121"/>
  <c r="DI121"/>
  <c r="AM121"/>
  <c r="BL121"/>
  <c r="CG121"/>
  <c r="DF121"/>
  <c r="AJ121"/>
  <c r="BE121"/>
  <c r="CD121"/>
  <c r="DG121"/>
  <c r="AS121"/>
  <c r="BR121"/>
  <c r="CU121"/>
  <c r="V121"/>
  <c r="CS121"/>
  <c r="O121"/>
  <c r="M147" i="28" s="1"/>
  <c r="AV121" i="11"/>
  <c r="CP121"/>
  <c r="G147" i="28"/>
  <c r="CN121" i="11"/>
  <c r="S121"/>
  <c r="BD121"/>
  <c r="DA121"/>
  <c r="BG121"/>
  <c r="DH121"/>
  <c r="BF121"/>
  <c r="AY121"/>
  <c r="AH121"/>
  <c r="AK121"/>
  <c r="CB121"/>
  <c r="CH121"/>
  <c r="Z121"/>
  <c r="BJ121"/>
  <c r="BX121"/>
  <c r="BQ121"/>
  <c r="BN121"/>
  <c r="CE121"/>
  <c r="DK121"/>
  <c r="AZ121"/>
  <c r="DD121"/>
  <c r="CQ121"/>
  <c r="BB121"/>
  <c r="CW121"/>
  <c r="AA121"/>
  <c r="DL121"/>
  <c r="CT121"/>
  <c r="AR121"/>
  <c r="CO121"/>
  <c r="AE121"/>
  <c r="CF121"/>
  <c r="AD121"/>
  <c r="CI121"/>
  <c r="AG121"/>
  <c r="CJ121"/>
  <c r="CM121"/>
  <c r="CL121"/>
  <c r="BU121"/>
  <c r="X121"/>
  <c r="BM121"/>
  <c r="BK121"/>
  <c r="W121"/>
  <c r="T121"/>
  <c r="AC121"/>
  <c r="BC121"/>
  <c r="BI121"/>
  <c r="X114"/>
  <c r="BQ114"/>
  <c r="BE114"/>
  <c r="DJ114"/>
  <c r="AE114"/>
  <c r="CO114"/>
  <c r="AQ114"/>
  <c r="CB114"/>
  <c r="BZ114"/>
  <c r="AL114"/>
  <c r="G137" i="28"/>
  <c r="AF114" i="11"/>
  <c r="AD114"/>
  <c r="CG114"/>
  <c r="AR114"/>
  <c r="CH114"/>
  <c r="U114"/>
  <c r="BD114"/>
  <c r="CX114"/>
  <c r="AK114"/>
  <c r="CF114"/>
  <c r="AM114"/>
  <c r="BV114"/>
  <c r="DH114"/>
  <c r="BY114"/>
  <c r="DG114"/>
  <c r="AO114"/>
  <c r="AA114"/>
  <c r="Y114"/>
  <c r="BI114"/>
  <c r="BF114"/>
  <c r="BT114"/>
  <c r="DC114"/>
  <c r="DE114"/>
  <c r="BW114"/>
  <c r="AU114"/>
  <c r="AW114"/>
  <c r="DM114"/>
  <c r="DL114"/>
  <c r="AS114"/>
  <c r="BK114"/>
  <c r="BX114"/>
  <c r="CY114"/>
  <c r="CU114"/>
  <c r="BC114"/>
  <c r="R114"/>
  <c r="CN114"/>
  <c r="CC114"/>
  <c r="S114"/>
  <c r="DK114"/>
  <c r="BO114"/>
  <c r="CS114"/>
  <c r="DI114"/>
  <c r="CW114"/>
  <c r="BG114"/>
  <c r="DF114"/>
  <c r="AX114"/>
  <c r="CP114"/>
  <c r="AJ114"/>
  <c r="AZ114"/>
  <c r="AH114"/>
  <c r="DA114"/>
  <c r="AG114"/>
  <c r="BN114"/>
  <c r="DD114"/>
  <c r="BS114"/>
  <c r="DB114"/>
  <c r="AI114"/>
  <c r="CI114"/>
  <c r="Q114"/>
  <c r="AY114"/>
  <c r="T114"/>
  <c r="BB114"/>
  <c r="CK114"/>
  <c r="AV114"/>
  <c r="CM114"/>
  <c r="Z114"/>
  <c r="BJ114"/>
  <c r="CT114"/>
  <c r="CQ114"/>
  <c r="CV114"/>
  <c r="W114"/>
  <c r="AP114"/>
  <c r="BH114"/>
  <c r="V114"/>
  <c r="BU114"/>
  <c r="BL114"/>
  <c r="CE114"/>
  <c r="O114"/>
  <c r="M137" i="28" s="1"/>
  <c r="AT114" i="11"/>
  <c r="CD114"/>
  <c r="CA114"/>
  <c r="CJ114"/>
  <c r="AC114"/>
  <c r="CZ114"/>
  <c r="BR114"/>
  <c r="BP114"/>
  <c r="AN114"/>
  <c r="CL114"/>
  <c r="AB114"/>
  <c r="BA114"/>
  <c r="BM114"/>
  <c r="CR114"/>
  <c r="DL133"/>
  <c r="BD133"/>
  <c r="X133"/>
  <c r="S133"/>
  <c r="Z133"/>
  <c r="CB133"/>
  <c r="CR133"/>
  <c r="AA133"/>
  <c r="CE133"/>
  <c r="BJ133"/>
  <c r="DM133"/>
  <c r="BH133"/>
  <c r="CA133"/>
  <c r="CN133"/>
  <c r="BU133"/>
  <c r="DA133"/>
  <c r="AF133"/>
  <c r="BR133"/>
  <c r="CI133"/>
  <c r="Q133"/>
  <c r="CQ133"/>
  <c r="AB133"/>
  <c r="CY133"/>
  <c r="BT133"/>
  <c r="CW133"/>
  <c r="BX133"/>
  <c r="U133"/>
  <c r="CJ133"/>
  <c r="DK133"/>
  <c r="CT133"/>
  <c r="CS133"/>
  <c r="AT133"/>
  <c r="AK133"/>
  <c r="BB133"/>
  <c r="CF133"/>
  <c r="AR133"/>
  <c r="DD133"/>
  <c r="DG133"/>
  <c r="BK133"/>
  <c r="AL133"/>
  <c r="BA133"/>
  <c r="DB133"/>
  <c r="AW133"/>
  <c r="Y133"/>
  <c r="AO133"/>
  <c r="AI133"/>
  <c r="AS133"/>
  <c r="R133"/>
  <c r="AN133"/>
  <c r="BQ133"/>
  <c r="BO133"/>
  <c r="CG133"/>
  <c r="CK133"/>
  <c r="BM133"/>
  <c r="BN133"/>
  <c r="DH133"/>
  <c r="DC133"/>
  <c r="V133"/>
  <c r="AQ133"/>
  <c r="AM133"/>
  <c r="CX133"/>
  <c r="CZ133"/>
  <c r="BZ133"/>
  <c r="T133"/>
  <c r="CH133"/>
  <c r="BP133"/>
  <c r="O133"/>
  <c r="M159" i="28" s="1"/>
  <c r="CV133" i="11"/>
  <c r="DE133"/>
  <c r="AV133"/>
  <c r="AY133"/>
  <c r="AH133"/>
  <c r="BW133"/>
  <c r="BF133"/>
  <c r="CU133"/>
  <c r="AC133"/>
  <c r="CC133"/>
  <c r="CP133"/>
  <c r="DI133"/>
  <c r="BV133"/>
  <c r="G159" i="28"/>
  <c r="BG133" i="11"/>
  <c r="BY133"/>
  <c r="BS133"/>
  <c r="CM133"/>
  <c r="CO133"/>
  <c r="AU133"/>
  <c r="CD133"/>
  <c r="AJ133"/>
  <c r="BE133"/>
  <c r="AX133"/>
  <c r="BL133"/>
  <c r="AP133"/>
  <c r="W133"/>
  <c r="AG133"/>
  <c r="BI133"/>
  <c r="AD133"/>
  <c r="DF133"/>
  <c r="AZ133"/>
  <c r="CL133"/>
  <c r="AE133"/>
  <c r="DJ133"/>
  <c r="BC133"/>
  <c r="DM115"/>
  <c r="CN115"/>
  <c r="CC115"/>
  <c r="Q115"/>
  <c r="BV115"/>
  <c r="AS115"/>
  <c r="DL115"/>
  <c r="AQ115"/>
  <c r="AC115"/>
  <c r="CM115"/>
  <c r="AE115"/>
  <c r="CO115"/>
  <c r="O115"/>
  <c r="M141" i="28" s="1"/>
  <c r="AF115" i="11"/>
  <c r="Z115"/>
  <c r="DJ115"/>
  <c r="AJ115"/>
  <c r="AG115"/>
  <c r="AA115"/>
  <c r="BZ115"/>
  <c r="CL115"/>
  <c r="CH115"/>
  <c r="CD115"/>
  <c r="CV115"/>
  <c r="BF115"/>
  <c r="AX115"/>
  <c r="DF115"/>
  <c r="DG115"/>
  <c r="BW115"/>
  <c r="DK115"/>
  <c r="DA115"/>
  <c r="AO115"/>
  <c r="CU115"/>
  <c r="CB115"/>
  <c r="T115"/>
  <c r="CK115"/>
  <c r="X115"/>
  <c r="AI115"/>
  <c r="BC115"/>
  <c r="V115"/>
  <c r="DI115"/>
  <c r="DD115"/>
  <c r="CG115"/>
  <c r="AR115"/>
  <c r="AT115"/>
  <c r="BM115"/>
  <c r="DB115"/>
  <c r="BH115"/>
  <c r="CW115"/>
  <c r="AU115"/>
  <c r="AM115"/>
  <c r="BP115"/>
  <c r="BL115"/>
  <c r="BJ115"/>
  <c r="CI115"/>
  <c r="AN115"/>
  <c r="Y115"/>
  <c r="DH115"/>
  <c r="BG115"/>
  <c r="W115"/>
  <c r="CJ115"/>
  <c r="BU115"/>
  <c r="BS115"/>
  <c r="CF115"/>
  <c r="CX115"/>
  <c r="G141" i="28"/>
  <c r="AH115" i="11"/>
  <c r="BN115"/>
  <c r="U115"/>
  <c r="BY115"/>
  <c r="AV115"/>
  <c r="CE115"/>
  <c r="BB115"/>
  <c r="CZ115"/>
  <c r="BI115"/>
  <c r="AL115"/>
  <c r="CS115"/>
  <c r="AZ115"/>
  <c r="AY115"/>
  <c r="AP115"/>
  <c r="CY115"/>
  <c r="AW115"/>
  <c r="CA115"/>
  <c r="CT115"/>
  <c r="BX115"/>
  <c r="BR115"/>
  <c r="S115"/>
  <c r="BE115"/>
  <c r="AB115"/>
  <c r="R115"/>
  <c r="BO115"/>
  <c r="DE115"/>
  <c r="BA115"/>
  <c r="BQ115"/>
  <c r="CQ115"/>
  <c r="BT115"/>
  <c r="BK115"/>
  <c r="CR115"/>
  <c r="DC115"/>
  <c r="BD115"/>
  <c r="CP115"/>
  <c r="AK115"/>
  <c r="AD115"/>
  <c r="S165"/>
  <c r="U165"/>
  <c r="AE165"/>
  <c r="BQ165"/>
  <c r="AB165"/>
  <c r="DC165"/>
  <c r="CZ165"/>
  <c r="DF165"/>
  <c r="BG165"/>
  <c r="BV165"/>
  <c r="R165"/>
  <c r="BO165"/>
  <c r="AG165"/>
  <c r="G203" i="28"/>
  <c r="AH165" i="11"/>
  <c r="CJ165"/>
  <c r="CR165"/>
  <c r="V165"/>
  <c r="BZ165"/>
  <c r="DK165"/>
  <c r="AO165"/>
  <c r="AC165"/>
  <c r="CE165"/>
  <c r="CV165"/>
  <c r="CY165"/>
  <c r="CX165"/>
  <c r="CK165"/>
  <c r="DM165"/>
  <c r="AQ165"/>
  <c r="AS165"/>
  <c r="CW165"/>
  <c r="AI165"/>
  <c r="CF165"/>
  <c r="AU165"/>
  <c r="DE165"/>
  <c r="AJ165"/>
  <c r="AM165"/>
  <c r="AL165"/>
  <c r="Y165"/>
  <c r="AY165"/>
  <c r="BJ165"/>
  <c r="CU165"/>
  <c r="AZ165"/>
  <c r="CC165"/>
  <c r="CT165"/>
  <c r="BH165"/>
  <c r="DB165"/>
  <c r="AK165"/>
  <c r="BA165"/>
  <c r="AP165"/>
  <c r="CP165"/>
  <c r="DD165"/>
  <c r="DJ165"/>
  <c r="CH165"/>
  <c r="BW165"/>
  <c r="AX165"/>
  <c r="BI165"/>
  <c r="AV165"/>
  <c r="T165"/>
  <c r="CD165"/>
  <c r="BT165"/>
  <c r="AD165"/>
  <c r="AT165"/>
  <c r="AN165"/>
  <c r="AR165"/>
  <c r="BX165"/>
  <c r="BF165"/>
  <c r="Z165"/>
  <c r="CS165"/>
  <c r="CN165"/>
  <c r="CM165"/>
  <c r="W165"/>
  <c r="DH165"/>
  <c r="AA165"/>
  <c r="X165"/>
  <c r="BN165"/>
  <c r="BE165"/>
  <c r="CL165"/>
  <c r="DI165"/>
  <c r="DL165"/>
  <c r="BY165"/>
  <c r="BK165"/>
  <c r="BL165"/>
  <c r="BP165"/>
  <c r="DG165"/>
  <c r="BM165"/>
  <c r="BC165"/>
  <c r="CI165"/>
  <c r="BR165"/>
  <c r="AW165"/>
  <c r="CO165"/>
  <c r="O165"/>
  <c r="DA165"/>
  <c r="CQ165"/>
  <c r="CB165"/>
  <c r="CG165"/>
  <c r="CA165"/>
  <c r="BS165"/>
  <c r="BD165"/>
  <c r="BB165"/>
  <c r="BU165"/>
  <c r="Q165"/>
  <c r="AF165"/>
  <c r="CN101"/>
  <c r="BR101"/>
  <c r="DA101"/>
  <c r="AF101"/>
  <c r="CS101"/>
  <c r="CM101"/>
  <c r="CR101"/>
  <c r="CD101"/>
  <c r="CL101"/>
  <c r="BL101"/>
  <c r="BQ101"/>
  <c r="W101"/>
  <c r="AX101"/>
  <c r="DJ101"/>
  <c r="BB101"/>
  <c r="DH101"/>
  <c r="BW101"/>
  <c r="AN101"/>
  <c r="CH101"/>
  <c r="CW101"/>
  <c r="CU101"/>
  <c r="DG101"/>
  <c r="X101"/>
  <c r="BG101"/>
  <c r="BE101"/>
  <c r="CF101"/>
  <c r="S101"/>
  <c r="CX101"/>
  <c r="DB101"/>
  <c r="CV101"/>
  <c r="CP101"/>
  <c r="BM101"/>
  <c r="CB101"/>
  <c r="BJ101"/>
  <c r="BI101"/>
  <c r="AK101"/>
  <c r="AE101"/>
  <c r="CA101"/>
  <c r="AJ101"/>
  <c r="BV101"/>
  <c r="AI101"/>
  <c r="O101"/>
  <c r="M95" i="28" s="1"/>
  <c r="AD101" i="11"/>
  <c r="BD101"/>
  <c r="BH101"/>
  <c r="CC101"/>
  <c r="Q101"/>
  <c r="BA101"/>
  <c r="CG101"/>
  <c r="V101"/>
  <c r="BP101"/>
  <c r="AQ101"/>
  <c r="CQ101"/>
  <c r="DE101"/>
  <c r="CK101"/>
  <c r="AR101"/>
  <c r="DC101"/>
  <c r="DI101"/>
  <c r="BC101"/>
  <c r="CE101"/>
  <c r="CJ101"/>
  <c r="CO101"/>
  <c r="BZ101"/>
  <c r="AA101"/>
  <c r="BO101"/>
  <c r="AP101"/>
  <c r="AY101"/>
  <c r="AL101"/>
  <c r="Y101"/>
  <c r="AT101"/>
  <c r="AM101"/>
  <c r="AB101"/>
  <c r="DL101"/>
  <c r="BF101"/>
  <c r="CY101"/>
  <c r="AU101"/>
  <c r="BS101"/>
  <c r="CZ101"/>
  <c r="BT101"/>
  <c r="AG101"/>
  <c r="AO101"/>
  <c r="AZ101"/>
  <c r="T101"/>
  <c r="CT101"/>
  <c r="DK101"/>
  <c r="BX101"/>
  <c r="BU101"/>
  <c r="AW101"/>
  <c r="Z101"/>
  <c r="AC101"/>
  <c r="CI101"/>
  <c r="DD101"/>
  <c r="R101"/>
  <c r="AH101"/>
  <c r="DM101"/>
  <c r="BY101"/>
  <c r="BN101"/>
  <c r="AV101"/>
  <c r="DF101"/>
  <c r="BK101"/>
  <c r="AS101"/>
  <c r="G95" i="28"/>
  <c r="U101" i="11"/>
  <c r="BW176"/>
  <c r="O176"/>
  <c r="AO176"/>
  <c r="AA176"/>
  <c r="DC176"/>
  <c r="DB176"/>
  <c r="W176"/>
  <c r="DA176"/>
  <c r="BT176"/>
  <c r="AP176"/>
  <c r="AC176"/>
  <c r="CR176"/>
  <c r="BO176"/>
  <c r="AY176"/>
  <c r="R176"/>
  <c r="AQ176"/>
  <c r="AH176"/>
  <c r="BR176"/>
  <c r="BS176"/>
  <c r="CK176"/>
  <c r="CJ176"/>
  <c r="DJ176"/>
  <c r="AJ176"/>
  <c r="CG176"/>
  <c r="AK176"/>
  <c r="BN176"/>
  <c r="AD176"/>
  <c r="DE176"/>
  <c r="BC176"/>
  <c r="DG176"/>
  <c r="BV176"/>
  <c r="CN176"/>
  <c r="AL176"/>
  <c r="CH176"/>
  <c r="DD176"/>
  <c r="AX176"/>
  <c r="CY176"/>
  <c r="CP176"/>
  <c r="AR176"/>
  <c r="DH176"/>
  <c r="BL176"/>
  <c r="CL176"/>
  <c r="X176"/>
  <c r="CO176"/>
  <c r="CW176"/>
  <c r="CF176"/>
  <c r="CT176"/>
  <c r="Z176"/>
  <c r="CX176"/>
  <c r="T176"/>
  <c r="AW176"/>
  <c r="CU176"/>
  <c r="BD176"/>
  <c r="CS176"/>
  <c r="AN176"/>
  <c r="BE176"/>
  <c r="BA176"/>
  <c r="CZ176"/>
  <c r="BM176"/>
  <c r="Q176"/>
  <c r="BZ176"/>
  <c r="AB176"/>
  <c r="CM176"/>
  <c r="AZ176"/>
  <c r="BP176"/>
  <c r="DK176"/>
  <c r="BU176"/>
  <c r="G224" i="28"/>
  <c r="CI176" i="11"/>
  <c r="V176"/>
  <c r="BF176"/>
  <c r="AM176"/>
  <c r="CQ176"/>
  <c r="DL176"/>
  <c r="BH176"/>
  <c r="DM176"/>
  <c r="CC176"/>
  <c r="DF176"/>
  <c r="AF176"/>
  <c r="CB176"/>
  <c r="AG176"/>
  <c r="BI176"/>
  <c r="S176"/>
  <c r="BK176"/>
  <c r="BY176"/>
  <c r="AE176"/>
  <c r="CA176"/>
  <c r="AT176"/>
  <c r="CD176"/>
  <c r="BG176"/>
  <c r="AS176"/>
  <c r="BX176"/>
  <c r="BB176"/>
  <c r="Y176"/>
  <c r="U176"/>
  <c r="CE176"/>
  <c r="AU176"/>
  <c r="BJ176"/>
  <c r="DI176"/>
  <c r="BQ176"/>
  <c r="AV176"/>
  <c r="AI176"/>
  <c r="CV176"/>
  <c r="Q148"/>
  <c r="BR148"/>
  <c r="BO148"/>
  <c r="BN148"/>
  <c r="DG148"/>
  <c r="AK148"/>
  <c r="CB148"/>
  <c r="AI148"/>
  <c r="BE148"/>
  <c r="Z148"/>
  <c r="AE148"/>
  <c r="CH148"/>
  <c r="AA148"/>
  <c r="AQ148"/>
  <c r="BD148"/>
  <c r="BM148"/>
  <c r="CV148"/>
  <c r="DB148"/>
  <c r="DE148"/>
  <c r="AR148"/>
  <c r="AO148"/>
  <c r="O148"/>
  <c r="M174" i="28" s="1"/>
  <c r="AP148" i="11"/>
  <c r="AS148"/>
  <c r="CL148"/>
  <c r="CQ148"/>
  <c r="X148"/>
  <c r="CI148"/>
  <c r="CF148"/>
  <c r="DF148"/>
  <c r="BX148"/>
  <c r="BK148"/>
  <c r="AN148"/>
  <c r="AV148"/>
  <c r="DM148"/>
  <c r="CG148"/>
  <c r="DK148"/>
  <c r="CT148"/>
  <c r="AW148"/>
  <c r="BG148"/>
  <c r="CR148"/>
  <c r="AY148"/>
  <c r="AH148"/>
  <c r="CN148"/>
  <c r="CO148"/>
  <c r="CM148"/>
  <c r="CY148"/>
  <c r="DD148"/>
  <c r="DL148"/>
  <c r="CC148"/>
  <c r="BT148"/>
  <c r="AT148"/>
  <c r="BB148"/>
  <c r="BU148"/>
  <c r="G174" i="28"/>
  <c r="W148" i="11"/>
  <c r="AG148"/>
  <c r="DA148"/>
  <c r="S148"/>
  <c r="BL148"/>
  <c r="CD148"/>
  <c r="BJ148"/>
  <c r="BH148"/>
  <c r="AU148"/>
  <c r="BS148"/>
  <c r="AC148"/>
  <c r="BQ148"/>
  <c r="BA148"/>
  <c r="CU148"/>
  <c r="R148"/>
  <c r="BW148"/>
  <c r="CE148"/>
  <c r="T148"/>
  <c r="AD148"/>
  <c r="DC148"/>
  <c r="AM148"/>
  <c r="V148"/>
  <c r="U148"/>
  <c r="CP148"/>
  <c r="BP148"/>
  <c r="BF148"/>
  <c r="BI148"/>
  <c r="CA148"/>
  <c r="DH148"/>
  <c r="BZ148"/>
  <c r="CS148"/>
  <c r="CJ148"/>
  <c r="BY148"/>
  <c r="DJ148"/>
  <c r="AX148"/>
  <c r="AZ148"/>
  <c r="AB148"/>
  <c r="CW148"/>
  <c r="DI148"/>
  <c r="AL148"/>
  <c r="CK148"/>
  <c r="AF148"/>
  <c r="BV148"/>
  <c r="CZ148"/>
  <c r="Y148"/>
  <c r="BC148"/>
  <c r="CX148"/>
  <c r="AJ148"/>
  <c r="CW130"/>
  <c r="AH130"/>
  <c r="DM130"/>
  <c r="CD130"/>
  <c r="AV130"/>
  <c r="AW130"/>
  <c r="AP130"/>
  <c r="BB130"/>
  <c r="CT130"/>
  <c r="BL130"/>
  <c r="AS130"/>
  <c r="AO130"/>
  <c r="AN130"/>
  <c r="CZ130"/>
  <c r="CV130"/>
  <c r="CJ130"/>
  <c r="AC130"/>
  <c r="AA130"/>
  <c r="Q130"/>
  <c r="BA130"/>
  <c r="BH130"/>
  <c r="AU130"/>
  <c r="BJ130"/>
  <c r="S130"/>
  <c r="DA130"/>
  <c r="BX130"/>
  <c r="AD130"/>
  <c r="X130"/>
  <c r="AF130"/>
  <c r="AI130"/>
  <c r="R130"/>
  <c r="AK130"/>
  <c r="AR130"/>
  <c r="AE130"/>
  <c r="W130"/>
  <c r="CF130"/>
  <c r="CH130"/>
  <c r="CQ130"/>
  <c r="CR130"/>
  <c r="DD130"/>
  <c r="DK130"/>
  <c r="BO130"/>
  <c r="AZ130"/>
  <c r="AY130"/>
  <c r="AT130"/>
  <c r="AQ130"/>
  <c r="BC130"/>
  <c r="DH130"/>
  <c r="AX130"/>
  <c r="CU130"/>
  <c r="DF130"/>
  <c r="CX130"/>
  <c r="BF130"/>
  <c r="CP130"/>
  <c r="Z130"/>
  <c r="DG130"/>
  <c r="DC130"/>
  <c r="DB130"/>
  <c r="DE130"/>
  <c r="DL130"/>
  <c r="O130"/>
  <c r="M156" i="28" s="1"/>
  <c r="BM130" i="11"/>
  <c r="BD130"/>
  <c r="BQ130"/>
  <c r="BK130"/>
  <c r="AG130"/>
  <c r="BZ130"/>
  <c r="CC130"/>
  <c r="BT130"/>
  <c r="CM130"/>
  <c r="CL130"/>
  <c r="CO130"/>
  <c r="T130"/>
  <c r="V130"/>
  <c r="CI130"/>
  <c r="BU130"/>
  <c r="CY130"/>
  <c r="BG130"/>
  <c r="BN130"/>
  <c r="CB130"/>
  <c r="BR130"/>
  <c r="BP130"/>
  <c r="CS130"/>
  <c r="BE130"/>
  <c r="BV130"/>
  <c r="BW130"/>
  <c r="AL130"/>
  <c r="U130"/>
  <c r="DI130"/>
  <c r="CK130"/>
  <c r="BI130"/>
  <c r="CE130"/>
  <c r="BS130"/>
  <c r="CN130"/>
  <c r="AJ130"/>
  <c r="BY130"/>
  <c r="DJ130"/>
  <c r="AB130"/>
  <c r="CG130"/>
  <c r="AM130"/>
  <c r="Y130"/>
  <c r="CA130"/>
  <c r="G156" i="28"/>
  <c r="DG104" i="11"/>
  <c r="AC104"/>
  <c r="DA104"/>
  <c r="BP104"/>
  <c r="AS104"/>
  <c r="AD104"/>
  <c r="AP104"/>
  <c r="BT104"/>
  <c r="BO104"/>
  <c r="AF104"/>
  <c r="DE104"/>
  <c r="BL104"/>
  <c r="BR104"/>
  <c r="AX104"/>
  <c r="DC104"/>
  <c r="BV104"/>
  <c r="AG104"/>
  <c r="AB104"/>
  <c r="CX104"/>
  <c r="AK104"/>
  <c r="AY104"/>
  <c r="AO104"/>
  <c r="AV104"/>
  <c r="CH104"/>
  <c r="CV104"/>
  <c r="CY104"/>
  <c r="DJ104"/>
  <c r="Q104"/>
  <c r="BZ104"/>
  <c r="CB104"/>
  <c r="V104"/>
  <c r="CL104"/>
  <c r="DD104"/>
  <c r="CF104"/>
  <c r="BF104"/>
  <c r="R104"/>
  <c r="AM104"/>
  <c r="AQ104"/>
  <c r="Y104"/>
  <c r="AA104"/>
  <c r="BC104"/>
  <c r="BN104"/>
  <c r="CI104"/>
  <c r="X104"/>
  <c r="U104"/>
  <c r="CK104"/>
  <c r="BI104"/>
  <c r="AN104"/>
  <c r="W104"/>
  <c r="DL104"/>
  <c r="CD104"/>
  <c r="CU104"/>
  <c r="BX104"/>
  <c r="BW104"/>
  <c r="AI104"/>
  <c r="BY104"/>
  <c r="DK104"/>
  <c r="BH104"/>
  <c r="BU104"/>
  <c r="Z104"/>
  <c r="CR104"/>
  <c r="BE104"/>
  <c r="T104"/>
  <c r="AZ104"/>
  <c r="G119" i="28"/>
  <c r="BJ104" i="11"/>
  <c r="CW104"/>
  <c r="CQ104"/>
  <c r="CP104"/>
  <c r="CS104"/>
  <c r="AU104"/>
  <c r="AT104"/>
  <c r="AW104"/>
  <c r="DM104"/>
  <c r="CA104"/>
  <c r="CC104"/>
  <c r="CE104"/>
  <c r="BM104"/>
  <c r="CT104"/>
  <c r="CJ104"/>
  <c r="BQ104"/>
  <c r="CO104"/>
  <c r="DF104"/>
  <c r="AL104"/>
  <c r="CN104"/>
  <c r="DB104"/>
  <c r="O104"/>
  <c r="M119" i="28" s="1"/>
  <c r="AH104" i="11"/>
  <c r="BB104"/>
  <c r="BG104"/>
  <c r="AR104"/>
  <c r="AJ104"/>
  <c r="DI104"/>
  <c r="BS104"/>
  <c r="BA104"/>
  <c r="BD104"/>
  <c r="CZ104"/>
  <c r="AE104"/>
  <c r="BK104"/>
  <c r="S104"/>
  <c r="DH104"/>
  <c r="CG104"/>
  <c r="CM104"/>
  <c r="AM125"/>
  <c r="AK125"/>
  <c r="CI125"/>
  <c r="AC125"/>
  <c r="BE125"/>
  <c r="AA125"/>
  <c r="AG125"/>
  <c r="U125"/>
  <c r="CK125"/>
  <c r="BY125"/>
  <c r="G151" i="28"/>
  <c r="AF125" i="11"/>
  <c r="AI125"/>
  <c r="W125"/>
  <c r="Z125"/>
  <c r="DL125"/>
  <c r="O125"/>
  <c r="M151" i="28" s="1"/>
  <c r="BQ125" i="11"/>
  <c r="BT125"/>
  <c r="BG125"/>
  <c r="BZ125"/>
  <c r="CC125"/>
  <c r="BP125"/>
  <c r="AJ125"/>
  <c r="DF125"/>
  <c r="CJ125"/>
  <c r="BJ125"/>
  <c r="BM125"/>
  <c r="AZ125"/>
  <c r="BC125"/>
  <c r="BF125"/>
  <c r="AS125"/>
  <c r="BL125"/>
  <c r="BO125"/>
  <c r="BB125"/>
  <c r="CU125"/>
  <c r="X125"/>
  <c r="CT125"/>
  <c r="CW125"/>
  <c r="CZ125"/>
  <c r="CM125"/>
  <c r="CP125"/>
  <c r="CS125"/>
  <c r="CF125"/>
  <c r="CY125"/>
  <c r="DB125"/>
  <c r="CO125"/>
  <c r="AW125"/>
  <c r="BI125"/>
  <c r="CH125"/>
  <c r="T125"/>
  <c r="AN125"/>
  <c r="CR125"/>
  <c r="BR125"/>
  <c r="CL125"/>
  <c r="CD125"/>
  <c r="CQ125"/>
  <c r="CE125"/>
  <c r="BW125"/>
  <c r="V125"/>
  <c r="BU125"/>
  <c r="BX125"/>
  <c r="CA125"/>
  <c r="BN125"/>
  <c r="S125"/>
  <c r="DE125"/>
  <c r="Y125"/>
  <c r="AB125"/>
  <c r="AE125"/>
  <c r="AT125"/>
  <c r="BV125"/>
  <c r="CV125"/>
  <c r="DH125"/>
  <c r="DK125"/>
  <c r="CX125"/>
  <c r="DA125"/>
  <c r="DD125"/>
  <c r="DG125"/>
  <c r="DJ125"/>
  <c r="DM125"/>
  <c r="Q125"/>
  <c r="DC125"/>
  <c r="R125"/>
  <c r="BH125"/>
  <c r="AV125"/>
  <c r="AY125"/>
  <c r="AL125"/>
  <c r="AO125"/>
  <c r="AR125"/>
  <c r="AU125"/>
  <c r="AX125"/>
  <c r="BA125"/>
  <c r="BD125"/>
  <c r="AQ125"/>
  <c r="BS125"/>
  <c r="DI125"/>
  <c r="AP125"/>
  <c r="AD125"/>
  <c r="AH125"/>
  <c r="BK125"/>
  <c r="CN125"/>
  <c r="CB125"/>
  <c r="CG125"/>
  <c r="DC106"/>
  <c r="BZ106"/>
  <c r="DF106"/>
  <c r="CD106"/>
  <c r="CJ106"/>
  <c r="CQ106"/>
  <c r="AR106"/>
  <c r="Z106"/>
  <c r="BD106"/>
  <c r="BW106"/>
  <c r="CA106"/>
  <c r="BQ106"/>
  <c r="AB106"/>
  <c r="CZ106"/>
  <c r="S106"/>
  <c r="Q106"/>
  <c r="O106"/>
  <c r="AL106"/>
  <c r="CG106"/>
  <c r="Y106"/>
  <c r="CM106"/>
  <c r="CP106"/>
  <c r="BN106"/>
  <c r="V106"/>
  <c r="AE106"/>
  <c r="AQ106"/>
  <c r="AT106"/>
  <c r="CO106"/>
  <c r="U106"/>
  <c r="R106"/>
  <c r="CN106"/>
  <c r="CK106"/>
  <c r="CH106"/>
  <c r="AY106"/>
  <c r="CW106"/>
  <c r="AV106"/>
  <c r="CT106"/>
  <c r="AS106"/>
  <c r="DG106"/>
  <c r="BF106"/>
  <c r="CR106"/>
  <c r="BE106"/>
  <c r="AC106"/>
  <c r="AI106"/>
  <c r="CY106"/>
  <c r="CV106"/>
  <c r="DI106"/>
  <c r="DD106"/>
  <c r="BC106"/>
  <c r="DA106"/>
  <c r="AZ106"/>
  <c r="CX106"/>
  <c r="BM106"/>
  <c r="BP106"/>
  <c r="BO106"/>
  <c r="BL106"/>
  <c r="BI106"/>
  <c r="BV106"/>
  <c r="AK106"/>
  <c r="CI106"/>
  <c r="AH106"/>
  <c r="CF106"/>
  <c r="AU106"/>
  <c r="CS106"/>
  <c r="BS106"/>
  <c r="G121" i="28"/>
  <c r="AO106" i="11"/>
  <c r="CC106"/>
  <c r="CU106"/>
  <c r="BB106"/>
  <c r="AM106"/>
  <c r="AJ106"/>
  <c r="AW106"/>
  <c r="BX106"/>
  <c r="W106"/>
  <c r="BU106"/>
  <c r="T106"/>
  <c r="BR106"/>
  <c r="AG106"/>
  <c r="BH106"/>
  <c r="AP106"/>
  <c r="AF106"/>
  <c r="BA106"/>
  <c r="AX106"/>
  <c r="BK106"/>
  <c r="CE106"/>
  <c r="AD106"/>
  <c r="CB106"/>
  <c r="AA106"/>
  <c r="BY106"/>
  <c r="AN106"/>
  <c r="CL106"/>
  <c r="DM106"/>
  <c r="DJ106"/>
  <c r="X106"/>
  <c r="DK106"/>
  <c r="BJ106"/>
  <c r="DH106"/>
  <c r="BG106"/>
  <c r="DE106"/>
  <c r="BT106"/>
  <c r="DB106"/>
  <c r="DL106"/>
  <c r="CO140"/>
  <c r="S140"/>
  <c r="AA140"/>
  <c r="DJ140"/>
  <c r="BQ140"/>
  <c r="BV140"/>
  <c r="AO140"/>
  <c r="AR140"/>
  <c r="CL140"/>
  <c r="AQ140"/>
  <c r="AW140"/>
  <c r="CB140"/>
  <c r="DD140"/>
  <c r="V140"/>
  <c r="BU140"/>
  <c r="W140"/>
  <c r="BX140"/>
  <c r="CT140"/>
  <c r="DG140"/>
  <c r="DI140"/>
  <c r="CV140"/>
  <c r="DH140"/>
  <c r="BJ140"/>
  <c r="DK140"/>
  <c r="BR140"/>
  <c r="Q140"/>
  <c r="DF140"/>
  <c r="AP140"/>
  <c r="CZ140"/>
  <c r="AL140"/>
  <c r="CM140"/>
  <c r="DC140"/>
  <c r="Y140"/>
  <c r="BT140"/>
  <c r="DE140"/>
  <c r="BG140"/>
  <c r="DM140"/>
  <c r="CC140"/>
  <c r="AE140"/>
  <c r="DA140"/>
  <c r="CX140"/>
  <c r="X140"/>
  <c r="O140"/>
  <c r="M166" i="28" s="1"/>
  <c r="AN140" i="11"/>
  <c r="BI140"/>
  <c r="CP140"/>
  <c r="BY140"/>
  <c r="BL140"/>
  <c r="AJ140"/>
  <c r="BC140"/>
  <c r="CE140"/>
  <c r="CJ140"/>
  <c r="BW140"/>
  <c r="AV140"/>
  <c r="CW140"/>
  <c r="AY140"/>
  <c r="AS140"/>
  <c r="BF140"/>
  <c r="BK140"/>
  <c r="AX140"/>
  <c r="CI140"/>
  <c r="AK140"/>
  <c r="T140"/>
  <c r="AG140"/>
  <c r="AB140"/>
  <c r="BO140"/>
  <c r="BS140"/>
  <c r="Z140"/>
  <c r="CA140"/>
  <c r="DL140"/>
  <c r="BN140"/>
  <c r="CD140"/>
  <c r="CS140"/>
  <c r="AU140"/>
  <c r="CF140"/>
  <c r="AH140"/>
  <c r="CU140"/>
  <c r="CG140"/>
  <c r="CH140"/>
  <c r="AD140"/>
  <c r="AZ140"/>
  <c r="BM140"/>
  <c r="CY140"/>
  <c r="CK140"/>
  <c r="CR140"/>
  <c r="AM140"/>
  <c r="AI140"/>
  <c r="BB140"/>
  <c r="CN140"/>
  <c r="BA140"/>
  <c r="BE140"/>
  <c r="R140"/>
  <c r="BZ140"/>
  <c r="AC140"/>
  <c r="AT140"/>
  <c r="U140"/>
  <c r="G166" i="28"/>
  <c r="CQ140" i="11"/>
  <c r="AF140"/>
  <c r="BP140"/>
  <c r="DB140"/>
  <c r="BH140"/>
  <c r="BD140"/>
  <c r="DC142"/>
  <c r="AP142"/>
  <c r="Y142"/>
  <c r="CQ142"/>
  <c r="BQ142"/>
  <c r="BJ142"/>
  <c r="CX142"/>
  <c r="DH142"/>
  <c r="AY142"/>
  <c r="AZ142"/>
  <c r="CK142"/>
  <c r="BW142"/>
  <c r="BG142"/>
  <c r="S142"/>
  <c r="BV142"/>
  <c r="AF142"/>
  <c r="BM142"/>
  <c r="DE142"/>
  <c r="DF142"/>
  <c r="CD142"/>
  <c r="DK142"/>
  <c r="AC142"/>
  <c r="BT142"/>
  <c r="CM142"/>
  <c r="AI142"/>
  <c r="CG142"/>
  <c r="AN142"/>
  <c r="CN142"/>
  <c r="V142"/>
  <c r="O142"/>
  <c r="M168" i="28" s="1"/>
  <c r="CO142" i="11"/>
  <c r="CI142"/>
  <c r="AM142"/>
  <c r="CJ142"/>
  <c r="BN142"/>
  <c r="BX142"/>
  <c r="DM142"/>
  <c r="U142"/>
  <c r="Q142"/>
  <c r="R142"/>
  <c r="AE142"/>
  <c r="BO142"/>
  <c r="CY142"/>
  <c r="AO142"/>
  <c r="AR142"/>
  <c r="AU142"/>
  <c r="CL142"/>
  <c r="AX142"/>
  <c r="BE142"/>
  <c r="Z142"/>
  <c r="DJ142"/>
  <c r="BI142"/>
  <c r="DI142"/>
  <c r="AT142"/>
  <c r="CB142"/>
  <c r="CE142"/>
  <c r="BR142"/>
  <c r="CC142"/>
  <c r="BD142"/>
  <c r="X142"/>
  <c r="CR142"/>
  <c r="BB142"/>
  <c r="DB142"/>
  <c r="BS142"/>
  <c r="DA142"/>
  <c r="DD142"/>
  <c r="DG142"/>
  <c r="DL142"/>
  <c r="CT142"/>
  <c r="G168" i="28"/>
  <c r="CU142" i="11"/>
  <c r="BP142"/>
  <c r="BA142"/>
  <c r="CV142"/>
  <c r="AW142"/>
  <c r="CW142"/>
  <c r="AH142"/>
  <c r="CP142"/>
  <c r="CS142"/>
  <c r="CF142"/>
  <c r="AL142"/>
  <c r="AV142"/>
  <c r="BY142"/>
  <c r="BZ142"/>
  <c r="AA142"/>
  <c r="CA142"/>
  <c r="AB142"/>
  <c r="BL142"/>
  <c r="AD142"/>
  <c r="AG142"/>
  <c r="T142"/>
  <c r="BK142"/>
  <c r="AQ142"/>
  <c r="BH142"/>
  <c r="AJ142"/>
  <c r="CZ142"/>
  <c r="AK142"/>
  <c r="BU142"/>
  <c r="BC142"/>
  <c r="BF142"/>
  <c r="AS142"/>
  <c r="CH142"/>
  <c r="W142"/>
  <c r="CF113"/>
  <c r="BU113"/>
  <c r="AG113"/>
  <c r="CU113"/>
  <c r="DK113"/>
  <c r="T113"/>
  <c r="CS113"/>
  <c r="AA113"/>
  <c r="AI113"/>
  <c r="W113"/>
  <c r="S113"/>
  <c r="CT113"/>
  <c r="AP113"/>
  <c r="CE113"/>
  <c r="DG113"/>
  <c r="DH113"/>
  <c r="AO113"/>
  <c r="CJ113"/>
  <c r="BM113"/>
  <c r="AL113"/>
  <c r="DL113"/>
  <c r="CO113"/>
  <c r="BN113"/>
  <c r="BW113"/>
  <c r="Y113"/>
  <c r="BX113"/>
  <c r="Z113"/>
  <c r="BL113"/>
  <c r="BV113"/>
  <c r="DI113"/>
  <c r="CH113"/>
  <c r="BK113"/>
  <c r="AJ113"/>
  <c r="DJ113"/>
  <c r="BC113"/>
  <c r="O113"/>
  <c r="M136" i="28" s="1"/>
  <c r="BS113" i="11"/>
  <c r="U113"/>
  <c r="DB113"/>
  <c r="DF113"/>
  <c r="AK113"/>
  <c r="CZ113"/>
  <c r="CC113"/>
  <c r="BB113"/>
  <c r="AE113"/>
  <c r="DE113"/>
  <c r="CD113"/>
  <c r="DC113"/>
  <c r="BE113"/>
  <c r="DD113"/>
  <c r="BF113"/>
  <c r="BG113"/>
  <c r="CW113"/>
  <c r="CK113"/>
  <c r="AM113"/>
  <c r="G136" i="28"/>
  <c r="BT113" i="11"/>
  <c r="CL113"/>
  <c r="AH113"/>
  <c r="AU113"/>
  <c r="CN113"/>
  <c r="BR113"/>
  <c r="BJ113"/>
  <c r="BD113"/>
  <c r="BI113"/>
  <c r="DM113"/>
  <c r="AY113"/>
  <c r="X113"/>
  <c r="CX113"/>
  <c r="CA113"/>
  <c r="AZ113"/>
  <c r="AC113"/>
  <c r="CI113"/>
  <c r="AV113"/>
  <c r="CY113"/>
  <c r="BA113"/>
  <c r="BQ113"/>
  <c r="AF113"/>
  <c r="BH113"/>
  <c r="AW113"/>
  <c r="V113"/>
  <c r="CV113"/>
  <c r="BY113"/>
  <c r="AX113"/>
  <c r="AQ113"/>
  <c r="CP113"/>
  <c r="AR113"/>
  <c r="CM113"/>
  <c r="DA113"/>
  <c r="CR113"/>
  <c r="BO113"/>
  <c r="AN113"/>
  <c r="Q113"/>
  <c r="CQ113"/>
  <c r="BP113"/>
  <c r="AS113"/>
  <c r="R113"/>
  <c r="CB113"/>
  <c r="AD113"/>
  <c r="CG113"/>
  <c r="AB113"/>
  <c r="BZ113"/>
  <c r="AT113"/>
  <c r="BY173"/>
  <c r="CG173"/>
  <c r="DD173"/>
  <c r="AH173"/>
  <c r="CM173"/>
  <c r="BZ173"/>
  <c r="BR173"/>
  <c r="CF173"/>
  <c r="BS173"/>
  <c r="V173"/>
  <c r="BX173"/>
  <c r="BP173"/>
  <c r="BC173"/>
  <c r="BB173"/>
  <c r="CK173"/>
  <c r="BL173"/>
  <c r="BO173"/>
  <c r="CD173"/>
  <c r="BQ173"/>
  <c r="BH173"/>
  <c r="DF173"/>
  <c r="AG173"/>
  <c r="BI173"/>
  <c r="DK173"/>
  <c r="BU173"/>
  <c r="AD173"/>
  <c r="AB173"/>
  <c r="AX173"/>
  <c r="O173"/>
  <c r="M221" i="28" s="1"/>
  <c r="AO173" i="11"/>
  <c r="AJ173"/>
  <c r="CH173"/>
  <c r="AV173"/>
  <c r="CU173"/>
  <c r="CR173"/>
  <c r="R173"/>
  <c r="CX173"/>
  <c r="CY173"/>
  <c r="Y173"/>
  <c r="CO173"/>
  <c r="CL173"/>
  <c r="DC173"/>
  <c r="CV173"/>
  <c r="BF173"/>
  <c r="AT173"/>
  <c r="X173"/>
  <c r="CC173"/>
  <c r="CP173"/>
  <c r="DG173"/>
  <c r="CN173"/>
  <c r="CW173"/>
  <c r="DJ173"/>
  <c r="CE173"/>
  <c r="CB173"/>
  <c r="DA173"/>
  <c r="W173"/>
  <c r="CQ173"/>
  <c r="BV173"/>
  <c r="BM173"/>
  <c r="AY173"/>
  <c r="AE173"/>
  <c r="DM173"/>
  <c r="DH173"/>
  <c r="AN173"/>
  <c r="AA173"/>
  <c r="DI173"/>
  <c r="DL173"/>
  <c r="T173"/>
  <c r="DB173"/>
  <c r="DE173"/>
  <c r="BK173"/>
  <c r="BW173"/>
  <c r="CI173"/>
  <c r="Q173"/>
  <c r="AU173"/>
  <c r="AK173"/>
  <c r="S173"/>
  <c r="U173"/>
  <c r="CZ173"/>
  <c r="AS173"/>
  <c r="AP173"/>
  <c r="BG173"/>
  <c r="BT173"/>
  <c r="AW173"/>
  <c r="BJ173"/>
  <c r="CA173"/>
  <c r="AR173"/>
  <c r="BA173"/>
  <c r="BN173"/>
  <c r="CJ173"/>
  <c r="CS173"/>
  <c r="AI173"/>
  <c r="AF173"/>
  <c r="BE173"/>
  <c r="AL173"/>
  <c r="AM173"/>
  <c r="AZ173"/>
  <c r="AC173"/>
  <c r="Z173"/>
  <c r="AQ173"/>
  <c r="BD173"/>
  <c r="CT173"/>
  <c r="G221" i="28"/>
  <c r="AP132" i="11"/>
  <c r="BY132"/>
  <c r="AF132"/>
  <c r="AY132"/>
  <c r="G158" i="28"/>
  <c r="DH132" i="11"/>
  <c r="BQ132"/>
  <c r="AT132"/>
  <c r="CM132"/>
  <c r="CB132"/>
  <c r="DE132"/>
  <c r="AA132"/>
  <c r="CQ132"/>
  <c r="BI132"/>
  <c r="DL132"/>
  <c r="O132"/>
  <c r="M158" i="28" s="1"/>
  <c r="CC132" i="11"/>
  <c r="AI132"/>
  <c r="BB132"/>
  <c r="BW132"/>
  <c r="AZ132"/>
  <c r="AK132"/>
  <c r="AQ132"/>
  <c r="CD132"/>
  <c r="CG132"/>
  <c r="BV132"/>
  <c r="CS132"/>
  <c r="DA132"/>
  <c r="CV132"/>
  <c r="BE132"/>
  <c r="BL132"/>
  <c r="CI132"/>
  <c r="BH132"/>
  <c r="CY132"/>
  <c r="DG132"/>
  <c r="DI132"/>
  <c r="BK132"/>
  <c r="BM132"/>
  <c r="CP132"/>
  <c r="Q132"/>
  <c r="AR132"/>
  <c r="AM132"/>
  <c r="CL132"/>
  <c r="BR132"/>
  <c r="U132"/>
  <c r="V132"/>
  <c r="BU132"/>
  <c r="AB132"/>
  <c r="R132"/>
  <c r="Z132"/>
  <c r="AW132"/>
  <c r="BZ132"/>
  <c r="CR132"/>
  <c r="AD132"/>
  <c r="CJ132"/>
  <c r="CX132"/>
  <c r="AJ132"/>
  <c r="CK132"/>
  <c r="X132"/>
  <c r="CU132"/>
  <c r="BN132"/>
  <c r="DC132"/>
  <c r="BD132"/>
  <c r="BX132"/>
  <c r="AU132"/>
  <c r="DJ132"/>
  <c r="DK132"/>
  <c r="AH132"/>
  <c r="DM132"/>
  <c r="BJ132"/>
  <c r="AC132"/>
  <c r="AE132"/>
  <c r="AO132"/>
  <c r="DD132"/>
  <c r="Y132"/>
  <c r="AN132"/>
  <c r="BC132"/>
  <c r="DB132"/>
  <c r="CH132"/>
  <c r="BF132"/>
  <c r="AL132"/>
  <c r="BA132"/>
  <c r="AG132"/>
  <c r="CE132"/>
  <c r="CF132"/>
  <c r="CO132"/>
  <c r="AV132"/>
  <c r="AS132"/>
  <c r="CN132"/>
  <c r="DF132"/>
  <c r="CZ132"/>
  <c r="S132"/>
  <c r="BP132"/>
  <c r="BS132"/>
  <c r="CW132"/>
  <c r="W132"/>
  <c r="BO132"/>
  <c r="BT132"/>
  <c r="CT132"/>
  <c r="T132"/>
  <c r="AX132"/>
  <c r="CA132"/>
  <c r="BG132"/>
  <c r="BE184"/>
  <c r="AF184"/>
  <c r="BB184"/>
  <c r="AA184"/>
  <c r="Z184"/>
  <c r="CK184"/>
  <c r="AV184"/>
  <c r="AT184"/>
  <c r="AN184"/>
  <c r="DM184"/>
  <c r="Q184"/>
  <c r="AO184"/>
  <c r="O184"/>
  <c r="M232" i="28" s="1"/>
  <c r="BM184" i="11"/>
  <c r="CV184"/>
  <c r="CI184"/>
  <c r="Y184"/>
  <c r="CH184"/>
  <c r="BU184"/>
  <c r="AS184"/>
  <c r="AB184"/>
  <c r="DC184"/>
  <c r="DB184"/>
  <c r="CQ184"/>
  <c r="CW184"/>
  <c r="AR184"/>
  <c r="T184"/>
  <c r="W184"/>
  <c r="CZ184"/>
  <c r="BX184"/>
  <c r="BK184"/>
  <c r="AI184"/>
  <c r="AX184"/>
  <c r="CL184"/>
  <c r="AL184"/>
  <c r="CT184"/>
  <c r="AQ184"/>
  <c r="S184"/>
  <c r="AY184"/>
  <c r="DE184"/>
  <c r="CM184"/>
  <c r="CY184"/>
  <c r="AZ184"/>
  <c r="CX184"/>
  <c r="CJ184"/>
  <c r="BH184"/>
  <c r="BY184"/>
  <c r="BZ184"/>
  <c r="CC184"/>
  <c r="R184"/>
  <c r="CB184"/>
  <c r="CO184"/>
  <c r="CP184"/>
  <c r="CS184"/>
  <c r="BL184"/>
  <c r="CF184"/>
  <c r="BS184"/>
  <c r="AC184"/>
  <c r="BJ184"/>
  <c r="BD184"/>
  <c r="AD184"/>
  <c r="AG184"/>
  <c r="DF184"/>
  <c r="X184"/>
  <c r="CU184"/>
  <c r="AJ184"/>
  <c r="AE184"/>
  <c r="BA184"/>
  <c r="DD184"/>
  <c r="BP184"/>
  <c r="BC184"/>
  <c r="AU184"/>
  <c r="BQ184"/>
  <c r="AW184"/>
  <c r="DA184"/>
  <c r="V184"/>
  <c r="DL184"/>
  <c r="BT184"/>
  <c r="CE184"/>
  <c r="DH184"/>
  <c r="DK184"/>
  <c r="BR184"/>
  <c r="DJ184"/>
  <c r="BF184"/>
  <c r="AH184"/>
  <c r="CR184"/>
  <c r="BN184"/>
  <c r="BI184"/>
  <c r="DG184"/>
  <c r="DI184"/>
  <c r="AP184"/>
  <c r="AK184"/>
  <c r="G232" i="28"/>
  <c r="CG184" i="11"/>
  <c r="AM184"/>
  <c r="BV184"/>
  <c r="U184"/>
  <c r="CN184"/>
  <c r="BG184"/>
  <c r="BO184"/>
  <c r="CA184"/>
  <c r="CD184"/>
  <c r="BW184"/>
  <c r="CW123"/>
  <c r="AK123"/>
  <c r="CN123"/>
  <c r="AG123"/>
  <c r="CD123"/>
  <c r="CM123"/>
  <c r="AX123"/>
  <c r="BR123"/>
  <c r="CB123"/>
  <c r="AO123"/>
  <c r="BK123"/>
  <c r="W123"/>
  <c r="G149" i="28"/>
  <c r="O123" i="11"/>
  <c r="BC123"/>
  <c r="DA123"/>
  <c r="Z123"/>
  <c r="DL123"/>
  <c r="CA123"/>
  <c r="S123"/>
  <c r="DE123"/>
  <c r="DH123"/>
  <c r="AB123"/>
  <c r="AE123"/>
  <c r="R123"/>
  <c r="AI123"/>
  <c r="Y123"/>
  <c r="CH123"/>
  <c r="DK123"/>
  <c r="BF123"/>
  <c r="AS123"/>
  <c r="AV123"/>
  <c r="BO123"/>
  <c r="BB123"/>
  <c r="BE123"/>
  <c r="DI123"/>
  <c r="CY123"/>
  <c r="BI123"/>
  <c r="BN123"/>
  <c r="AR123"/>
  <c r="AU123"/>
  <c r="AH123"/>
  <c r="BA123"/>
  <c r="BD123"/>
  <c r="AQ123"/>
  <c r="CG123"/>
  <c r="BW123"/>
  <c r="AW123"/>
  <c r="AM123"/>
  <c r="AN123"/>
  <c r="X123"/>
  <c r="CQ123"/>
  <c r="CE123"/>
  <c r="AF123"/>
  <c r="T123"/>
  <c r="AY123"/>
  <c r="CL123"/>
  <c r="DJ123"/>
  <c r="AC123"/>
  <c r="CX123"/>
  <c r="BX123"/>
  <c r="BJ123"/>
  <c r="BM123"/>
  <c r="AZ123"/>
  <c r="BQ123"/>
  <c r="BT123"/>
  <c r="BG123"/>
  <c r="BZ123"/>
  <c r="CC123"/>
  <c r="BP123"/>
  <c r="BS123"/>
  <c r="V123"/>
  <c r="CU123"/>
  <c r="CK123"/>
  <c r="DD123"/>
  <c r="DG123"/>
  <c r="CT123"/>
  <c r="DM123"/>
  <c r="Q123"/>
  <c r="DC123"/>
  <c r="DF123"/>
  <c r="CV123"/>
  <c r="BV123"/>
  <c r="BL123"/>
  <c r="CP123"/>
  <c r="CS123"/>
  <c r="CF123"/>
  <c r="CI123"/>
  <c r="DB123"/>
  <c r="CO123"/>
  <c r="CR123"/>
  <c r="CJ123"/>
  <c r="AT123"/>
  <c r="AJ123"/>
  <c r="BY123"/>
  <c r="CZ123"/>
  <c r="BH123"/>
  <c r="BU123"/>
  <c r="AL123"/>
  <c r="AA123"/>
  <c r="U123"/>
  <c r="AP123"/>
  <c r="AD123"/>
  <c r="AU110"/>
  <c r="AT110"/>
  <c r="BS110"/>
  <c r="BU110"/>
  <c r="AS110"/>
  <c r="BW110"/>
  <c r="W110"/>
  <c r="Q110"/>
  <c r="CV110"/>
  <c r="BX110"/>
  <c r="CR110"/>
  <c r="U110"/>
  <c r="AE110"/>
  <c r="CH110"/>
  <c r="CI110"/>
  <c r="AN110"/>
  <c r="CK110"/>
  <c r="AQ110"/>
  <c r="BY110"/>
  <c r="AB110"/>
  <c r="BV110"/>
  <c r="AK110"/>
  <c r="AH110"/>
  <c r="AY110"/>
  <c r="AV110"/>
  <c r="DG110"/>
  <c r="BE110"/>
  <c r="DF110"/>
  <c r="DE110"/>
  <c r="BH110"/>
  <c r="DB110"/>
  <c r="CW110"/>
  <c r="CT110"/>
  <c r="DK110"/>
  <c r="DH110"/>
  <c r="CZ110"/>
  <c r="AX110"/>
  <c r="DC110"/>
  <c r="BA110"/>
  <c r="BO110"/>
  <c r="DI110"/>
  <c r="BL110"/>
  <c r="DL110"/>
  <c r="V110"/>
  <c r="X110"/>
  <c r="BR110"/>
  <c r="AD110"/>
  <c r="AP110"/>
  <c r="BT110"/>
  <c r="AA110"/>
  <c r="CU110"/>
  <c r="R110"/>
  <c r="G133" i="28"/>
  <c r="AG110" i="11"/>
  <c r="BG110"/>
  <c r="DJ110"/>
  <c r="BP110"/>
  <c r="DM110"/>
  <c r="CX110"/>
  <c r="AW110"/>
  <c r="CY110"/>
  <c r="CM110"/>
  <c r="CJ110"/>
  <c r="CS110"/>
  <c r="CF110"/>
  <c r="CD110"/>
  <c r="AJ110"/>
  <c r="CG110"/>
  <c r="AI110"/>
  <c r="CC110"/>
  <c r="AF110"/>
  <c r="AZ110"/>
  <c r="BI110"/>
  <c r="BF110"/>
  <c r="DA110"/>
  <c r="CA110"/>
  <c r="Y110"/>
  <c r="BZ110"/>
  <c r="AL110"/>
  <c r="CN110"/>
  <c r="AM110"/>
  <c r="BJ110"/>
  <c r="BK110"/>
  <c r="T110"/>
  <c r="S110"/>
  <c r="CQ110"/>
  <c r="BC110"/>
  <c r="BB110"/>
  <c r="BN110"/>
  <c r="CL110"/>
  <c r="CO110"/>
  <c r="CB110"/>
  <c r="CE110"/>
  <c r="O110"/>
  <c r="BM110"/>
  <c r="BD110"/>
  <c r="CP110"/>
  <c r="DD110"/>
  <c r="AC110"/>
  <c r="BQ110"/>
  <c r="AR110"/>
  <c r="AO110"/>
  <c r="Z110"/>
  <c r="AS158"/>
  <c r="CZ158"/>
  <c r="BN158"/>
  <c r="BP158"/>
  <c r="U158"/>
  <c r="AR158"/>
  <c r="AB158"/>
  <c r="DG158"/>
  <c r="DA158"/>
  <c r="DF158"/>
  <c r="CC158"/>
  <c r="CS158"/>
  <c r="DC158"/>
  <c r="BY158"/>
  <c r="DB158"/>
  <c r="G184" i="28"/>
  <c r="CT158" i="11"/>
  <c r="CI158"/>
  <c r="AK158"/>
  <c r="AZ158"/>
  <c r="BZ158"/>
  <c r="BD158"/>
  <c r="AM158"/>
  <c r="BB158"/>
  <c r="BG158"/>
  <c r="AG158"/>
  <c r="AP158"/>
  <c r="CW158"/>
  <c r="CF158"/>
  <c r="S158"/>
  <c r="DL158"/>
  <c r="DK158"/>
  <c r="BR158"/>
  <c r="AE158"/>
  <c r="CV158"/>
  <c r="AC158"/>
  <c r="O158"/>
  <c r="BQ158"/>
  <c r="BT158"/>
  <c r="X158"/>
  <c r="CE158"/>
  <c r="BI158"/>
  <c r="BA158"/>
  <c r="T158"/>
  <c r="CY158"/>
  <c r="BK158"/>
  <c r="AW158"/>
  <c r="AF158"/>
  <c r="AH158"/>
  <c r="DI158"/>
  <c r="BM158"/>
  <c r="AU158"/>
  <c r="CQ158"/>
  <c r="CA158"/>
  <c r="BF158"/>
  <c r="V158"/>
  <c r="BC158"/>
  <c r="CN158"/>
  <c r="AT158"/>
  <c r="CJ158"/>
  <c r="Z158"/>
  <c r="CO158"/>
  <c r="CP158"/>
  <c r="BO158"/>
  <c r="AL158"/>
  <c r="BL158"/>
  <c r="R158"/>
  <c r="AI158"/>
  <c r="AA158"/>
  <c r="BW158"/>
  <c r="Q158"/>
  <c r="AY158"/>
  <c r="BE158"/>
  <c r="AN158"/>
  <c r="BX158"/>
  <c r="BS158"/>
  <c r="CD158"/>
  <c r="CX158"/>
  <c r="AO158"/>
  <c r="DD158"/>
  <c r="AV158"/>
  <c r="DH158"/>
  <c r="AJ158"/>
  <c r="BU158"/>
  <c r="DJ158"/>
  <c r="BV158"/>
  <c r="CB158"/>
  <c r="W158"/>
  <c r="Y158"/>
  <c r="AQ158"/>
  <c r="CL158"/>
  <c r="DE158"/>
  <c r="CU158"/>
  <c r="AD158"/>
  <c r="BJ158"/>
  <c r="CK158"/>
  <c r="AX158"/>
  <c r="CG158"/>
  <c r="DM158"/>
  <c r="BH158"/>
  <c r="CR158"/>
  <c r="CM158"/>
  <c r="CH158"/>
  <c r="CU159"/>
  <c r="AY159"/>
  <c r="BF159"/>
  <c r="U159"/>
  <c r="BW159"/>
  <c r="R159"/>
  <c r="DG159"/>
  <c r="DF159"/>
  <c r="CS159"/>
  <c r="DJ159"/>
  <c r="AU159"/>
  <c r="AT159"/>
  <c r="AG159"/>
  <c r="AR159"/>
  <c r="CD159"/>
  <c r="CG159"/>
  <c r="BT159"/>
  <c r="AB159"/>
  <c r="CF159"/>
  <c r="AX159"/>
  <c r="BK159"/>
  <c r="CT159"/>
  <c r="AP159"/>
  <c r="CM159"/>
  <c r="BA159"/>
  <c r="BJ159"/>
  <c r="CA159"/>
  <c r="BV159"/>
  <c r="DK159"/>
  <c r="AA159"/>
  <c r="AW159"/>
  <c r="CB159"/>
  <c r="BP159"/>
  <c r="S159"/>
  <c r="DB159"/>
  <c r="BB159"/>
  <c r="BE159"/>
  <c r="BH159"/>
  <c r="DI159"/>
  <c r="DA159"/>
  <c r="CO159"/>
  <c r="CR159"/>
  <c r="CI159"/>
  <c r="AC159"/>
  <c r="AF159"/>
  <c r="W159"/>
  <c r="CK159"/>
  <c r="DM159"/>
  <c r="BS159"/>
  <c r="CN159"/>
  <c r="BZ159"/>
  <c r="DD159"/>
  <c r="CZ159"/>
  <c r="AL159"/>
  <c r="T159"/>
  <c r="DL159"/>
  <c r="Y159"/>
  <c r="AO159"/>
  <c r="AN159"/>
  <c r="BY159"/>
  <c r="O159"/>
  <c r="M185" i="28" s="1"/>
  <c r="CH159" i="11"/>
  <c r="AM159"/>
  <c r="CJ159"/>
  <c r="V159"/>
  <c r="AV159"/>
  <c r="CW159"/>
  <c r="X159"/>
  <c r="BC159"/>
  <c r="CP159"/>
  <c r="AH159"/>
  <c r="BI159"/>
  <c r="Q159"/>
  <c r="BX159"/>
  <c r="DC159"/>
  <c r="AE159"/>
  <c r="BR159"/>
  <c r="Z159"/>
  <c r="BQ159"/>
  <c r="DH159"/>
  <c r="AJ159"/>
  <c r="BO159"/>
  <c r="G185" i="28"/>
  <c r="AS159" i="11"/>
  <c r="BG159"/>
  <c r="BM159"/>
  <c r="CX159"/>
  <c r="AZ159"/>
  <c r="CC159"/>
  <c r="AK159"/>
  <c r="BL159"/>
  <c r="CQ159"/>
  <c r="AI159"/>
  <c r="CL159"/>
  <c r="AD159"/>
  <c r="BU159"/>
  <c r="CV159"/>
  <c r="BD159"/>
  <c r="CY159"/>
  <c r="AQ159"/>
  <c r="BN159"/>
  <c r="DE159"/>
  <c r="CE159"/>
  <c r="AR171"/>
  <c r="AE171"/>
  <c r="CC171"/>
  <c r="CF171"/>
  <c r="AW171"/>
  <c r="BZ171"/>
  <c r="BG171"/>
  <c r="CY171"/>
  <c r="S171"/>
  <c r="DH171"/>
  <c r="CA171"/>
  <c r="AT171"/>
  <c r="G214" i="28"/>
  <c r="CO171" i="11"/>
  <c r="CI171"/>
  <c r="AU171"/>
  <c r="BD171"/>
  <c r="BF171"/>
  <c r="DE171"/>
  <c r="DA171"/>
  <c r="CV171"/>
  <c r="AG171"/>
  <c r="BH171"/>
  <c r="AD171"/>
  <c r="AS171"/>
  <c r="AJ171"/>
  <c r="AM171"/>
  <c r="CL171"/>
  <c r="BJ171"/>
  <c r="DL171"/>
  <c r="BK171"/>
  <c r="V171"/>
  <c r="BX171"/>
  <c r="AX171"/>
  <c r="AI171"/>
  <c r="R171"/>
  <c r="U171"/>
  <c r="W171"/>
  <c r="BQ171"/>
  <c r="T171"/>
  <c r="BN171"/>
  <c r="AC171"/>
  <c r="CE171"/>
  <c r="Y171"/>
  <c r="DG171"/>
  <c r="DF171"/>
  <c r="DI171"/>
  <c r="Z171"/>
  <c r="CB171"/>
  <c r="AA171"/>
  <c r="BU171"/>
  <c r="X171"/>
  <c r="CH171"/>
  <c r="DC171"/>
  <c r="DJ171"/>
  <c r="Q171"/>
  <c r="AN171"/>
  <c r="AP171"/>
  <c r="CK171"/>
  <c r="BY171"/>
  <c r="BS171"/>
  <c r="CU171"/>
  <c r="CD171"/>
  <c r="CG171"/>
  <c r="BM171"/>
  <c r="O171"/>
  <c r="AK171"/>
  <c r="CM171"/>
  <c r="AH171"/>
  <c r="CJ171"/>
  <c r="AY171"/>
  <c r="BO171"/>
  <c r="BA171"/>
  <c r="BT171"/>
  <c r="BW171"/>
  <c r="BV171"/>
  <c r="CS171"/>
  <c r="AV171"/>
  <c r="CP171"/>
  <c r="AO171"/>
  <c r="CQ171"/>
  <c r="BB171"/>
  <c r="DD171"/>
  <c r="AL171"/>
  <c r="AF171"/>
  <c r="BR171"/>
  <c r="BE171"/>
  <c r="BL171"/>
  <c r="BC171"/>
  <c r="CW171"/>
  <c r="AZ171"/>
  <c r="CT171"/>
  <c r="BI171"/>
  <c r="DK171"/>
  <c r="CZ171"/>
  <c r="DB171"/>
  <c r="AB171"/>
  <c r="DM171"/>
  <c r="CN171"/>
  <c r="AQ171"/>
  <c r="CX171"/>
  <c r="CR171"/>
  <c r="BP171"/>
  <c r="AR118"/>
  <c r="AK118"/>
  <c r="AE118"/>
  <c r="DA118"/>
  <c r="DJ118"/>
  <c r="CL118"/>
  <c r="BJ118"/>
  <c r="BD118"/>
  <c r="CA118"/>
  <c r="CN118"/>
  <c r="CG118"/>
  <c r="AH118"/>
  <c r="CJ118"/>
  <c r="AY118"/>
  <c r="CS118"/>
  <c r="AV118"/>
  <c r="CP118"/>
  <c r="CK118"/>
  <c r="CX118"/>
  <c r="CY118"/>
  <c r="CV118"/>
  <c r="BN118"/>
  <c r="AC118"/>
  <c r="CE118"/>
  <c r="Z118"/>
  <c r="CB118"/>
  <c r="AA118"/>
  <c r="AX118"/>
  <c r="BO118"/>
  <c r="BL118"/>
  <c r="BU118"/>
  <c r="X118"/>
  <c r="CH118"/>
  <c r="AG118"/>
  <c r="CI118"/>
  <c r="AD118"/>
  <c r="CF118"/>
  <c r="AB118"/>
  <c r="BY118"/>
  <c r="BW118"/>
  <c r="O118"/>
  <c r="M144" i="28" s="1"/>
  <c r="S118" i="11"/>
  <c r="U118"/>
  <c r="CM118"/>
  <c r="CO118"/>
  <c r="BV118"/>
  <c r="BM118"/>
  <c r="Y118"/>
  <c r="AL118"/>
  <c r="AM118"/>
  <c r="AJ118"/>
  <c r="BK118"/>
  <c r="V118"/>
  <c r="BX118"/>
  <c r="W118"/>
  <c r="BQ118"/>
  <c r="T118"/>
  <c r="AN118"/>
  <c r="AW118"/>
  <c r="AT118"/>
  <c r="AO118"/>
  <c r="CQ118"/>
  <c r="BB118"/>
  <c r="DD118"/>
  <c r="BC118"/>
  <c r="CW118"/>
  <c r="AZ118"/>
  <c r="CZ118"/>
  <c r="DI118"/>
  <c r="DF118"/>
  <c r="CT118"/>
  <c r="BI118"/>
  <c r="DK118"/>
  <c r="BF118"/>
  <c r="DH118"/>
  <c r="BG118"/>
  <c r="G144" i="28"/>
  <c r="DC118" i="11"/>
  <c r="BA118"/>
  <c r="DB118"/>
  <c r="BH118"/>
  <c r="DE118"/>
  <c r="AU118"/>
  <c r="BP118"/>
  <c r="DM118"/>
  <c r="BS118"/>
  <c r="Q118"/>
  <c r="BR118"/>
  <c r="DG118"/>
  <c r="BE118"/>
  <c r="DL118"/>
  <c r="BZ118"/>
  <c r="AF118"/>
  <c r="CC118"/>
  <c r="AI118"/>
  <c r="BT118"/>
  <c r="R118"/>
  <c r="AQ118"/>
  <c r="CR118"/>
  <c r="AP118"/>
  <c r="CU118"/>
  <c r="AS118"/>
  <c r="CD118"/>
  <c r="F3" i="14"/>
  <c r="G16" i="13"/>
  <c r="G203" i="20"/>
  <c r="F4" i="14"/>
  <c r="G239" i="28"/>
  <c r="AY191" i="11"/>
  <c r="V191"/>
  <c r="BI191"/>
  <c r="CA191"/>
  <c r="AX191"/>
  <c r="AW191"/>
  <c r="DC191"/>
  <c r="BZ191"/>
  <c r="AZ191"/>
  <c r="AN191"/>
  <c r="CL191"/>
  <c r="BL191"/>
  <c r="CG191"/>
  <c r="AI191"/>
  <c r="DD191"/>
  <c r="T191"/>
  <c r="BK191"/>
  <c r="AH191"/>
  <c r="DE191"/>
  <c r="CM191"/>
  <c r="BJ191"/>
  <c r="CS191"/>
  <c r="CY191"/>
  <c r="BV191"/>
  <c r="AV191"/>
  <c r="AF191"/>
  <c r="S191"/>
  <c r="CN191"/>
  <c r="BE191"/>
  <c r="AU191"/>
  <c r="R191"/>
  <c r="AS191"/>
  <c r="BW191"/>
  <c r="AT191"/>
  <c r="AK191"/>
  <c r="CI191"/>
  <c r="BF191"/>
  <c r="CC191"/>
  <c r="BO191"/>
  <c r="AL191"/>
  <c r="U191"/>
  <c r="CQ191"/>
  <c r="BN191"/>
  <c r="DI191"/>
  <c r="O191"/>
  <c r="M239" i="28" s="1"/>
  <c r="BG191" i="11"/>
  <c r="AD191"/>
  <c r="CO191"/>
  <c r="BS191"/>
  <c r="AP191"/>
  <c r="AC191"/>
  <c r="DK191"/>
  <c r="CH191"/>
  <c r="BH191"/>
  <c r="BQ191"/>
  <c r="DJ191"/>
  <c r="CJ191"/>
  <c r="AO191"/>
  <c r="AQ191"/>
  <c r="DL191"/>
  <c r="AJ191"/>
  <c r="BC191"/>
  <c r="Z191"/>
  <c r="BY191"/>
  <c r="CU191"/>
  <c r="BR191"/>
  <c r="AR191"/>
  <c r="X191"/>
  <c r="CT191"/>
  <c r="BT191"/>
  <c r="DM191"/>
  <c r="AA191"/>
  <c r="CV191"/>
  <c r="CK191"/>
  <c r="AM191"/>
  <c r="DH191"/>
  <c r="AB191"/>
  <c r="CE191"/>
  <c r="BB191"/>
  <c r="BM191"/>
  <c r="DG191"/>
  <c r="CD191"/>
  <c r="BD191"/>
  <c r="BA191"/>
  <c r="DF191"/>
  <c r="CF191"/>
  <c r="AG191"/>
  <c r="W191"/>
  <c r="CR191"/>
  <c r="BU191"/>
  <c r="CX191"/>
  <c r="BX191"/>
  <c r="Q191"/>
  <c r="AE191"/>
  <c r="CZ191"/>
  <c r="DA191"/>
  <c r="CP191"/>
  <c r="BP191"/>
  <c r="CW191"/>
  <c r="DB191"/>
  <c r="CB191"/>
  <c r="Y191"/>
  <c r="BV163"/>
  <c r="DI163"/>
  <c r="CY163"/>
  <c r="CX163"/>
  <c r="BI163"/>
  <c r="CE163"/>
  <c r="X163"/>
  <c r="DM163"/>
  <c r="CB163"/>
  <c r="AZ163"/>
  <c r="AN163"/>
  <c r="AD163"/>
  <c r="BL163"/>
  <c r="CV163"/>
  <c r="BC163"/>
  <c r="BO163"/>
  <c r="BY163"/>
  <c r="DJ163"/>
  <c r="BM163"/>
  <c r="DD163"/>
  <c r="CS163"/>
  <c r="AA163"/>
  <c r="CH163"/>
  <c r="CK163"/>
  <c r="CN163"/>
  <c r="AJ163"/>
  <c r="AK163"/>
  <c r="CI163"/>
  <c r="AH163"/>
  <c r="CF163"/>
  <c r="AU163"/>
  <c r="G189" i="28"/>
  <c r="U163" i="11"/>
  <c r="DB163"/>
  <c r="CQ163"/>
  <c r="DC163"/>
  <c r="AT163"/>
  <c r="AI163"/>
  <c r="CO163"/>
  <c r="CD163"/>
  <c r="DF163"/>
  <c r="AQ163"/>
  <c r="CC163"/>
  <c r="AF163"/>
  <c r="V163"/>
  <c r="Y163"/>
  <c r="AB163"/>
  <c r="S163"/>
  <c r="BQ163"/>
  <c r="O163"/>
  <c r="M189" i="28" s="1"/>
  <c r="AO163" i="11"/>
  <c r="CM163"/>
  <c r="AL163"/>
  <c r="CZ163"/>
  <c r="BB163"/>
  <c r="BX163"/>
  <c r="W163"/>
  <c r="BU163"/>
  <c r="T163"/>
  <c r="BR163"/>
  <c r="AG163"/>
  <c r="DA163"/>
  <c r="BK163"/>
  <c r="AW163"/>
  <c r="AM163"/>
  <c r="DK163"/>
  <c r="BJ163"/>
  <c r="DH163"/>
  <c r="BG163"/>
  <c r="DE163"/>
  <c r="BT163"/>
  <c r="BP163"/>
  <c r="AE163"/>
  <c r="CR163"/>
  <c r="CG163"/>
  <c r="BD163"/>
  <c r="AC163"/>
  <c r="BE163"/>
  <c r="CU163"/>
  <c r="Q163"/>
  <c r="BS163"/>
  <c r="BH163"/>
  <c r="AP163"/>
  <c r="R163"/>
  <c r="CJ163"/>
  <c r="BW163"/>
  <c r="BZ163"/>
  <c r="AR163"/>
  <c r="CP163"/>
  <c r="BN163"/>
  <c r="DL163"/>
  <c r="CA163"/>
  <c r="Z163"/>
  <c r="AY163"/>
  <c r="CW163"/>
  <c r="AV163"/>
  <c r="CT163"/>
  <c r="AS163"/>
  <c r="DG163"/>
  <c r="BF163"/>
  <c r="CL163"/>
  <c r="BA163"/>
  <c r="AX163"/>
  <c r="CN183"/>
  <c r="DJ183"/>
  <c r="AP183"/>
  <c r="V183"/>
  <c r="AX183"/>
  <c r="DM183"/>
  <c r="Q183"/>
  <c r="CO183"/>
  <c r="AQ183"/>
  <c r="BS183"/>
  <c r="BV183"/>
  <c r="AC183"/>
  <c r="CD183"/>
  <c r="AT183"/>
  <c r="AW183"/>
  <c r="AO183"/>
  <c r="AE183"/>
  <c r="CC183"/>
  <c r="AB183"/>
  <c r="BZ183"/>
  <c r="Y183"/>
  <c r="CW183"/>
  <c r="BR183"/>
  <c r="CJ183"/>
  <c r="AI183"/>
  <c r="CG183"/>
  <c r="AF183"/>
  <c r="AL183"/>
  <c r="CV183"/>
  <c r="AZ183"/>
  <c r="AD183"/>
  <c r="DH183"/>
  <c r="CH183"/>
  <c r="BQ183"/>
  <c r="CZ183"/>
  <c r="DE183"/>
  <c r="O183"/>
  <c r="M231" i="28" s="1"/>
  <c r="S183" i="11"/>
  <c r="CT183"/>
  <c r="AU183"/>
  <c r="AJ183"/>
  <c r="BI183"/>
  <c r="AM183"/>
  <c r="BW183"/>
  <c r="BL183"/>
  <c r="BO183"/>
  <c r="BP183"/>
  <c r="R183"/>
  <c r="U183"/>
  <c r="X183"/>
  <c r="BB183"/>
  <c r="DC183"/>
  <c r="CR183"/>
  <c r="CU183"/>
  <c r="CP183"/>
  <c r="AA183"/>
  <c r="BD183"/>
  <c r="DB183"/>
  <c r="BA183"/>
  <c r="CY183"/>
  <c r="AR183"/>
  <c r="AG183"/>
  <c r="BK183"/>
  <c r="DI183"/>
  <c r="BH183"/>
  <c r="DF183"/>
  <c r="BE183"/>
  <c r="CI183"/>
  <c r="BX183"/>
  <c r="CF183"/>
  <c r="CA183"/>
  <c r="Z183"/>
  <c r="BN183"/>
  <c r="BT183"/>
  <c r="BC183"/>
  <c r="DL183"/>
  <c r="DK183"/>
  <c r="BU183"/>
  <c r="BF183"/>
  <c r="CM183"/>
  <c r="CL183"/>
  <c r="CS183"/>
  <c r="AK183"/>
  <c r="DD183"/>
  <c r="BG183"/>
  <c r="AY183"/>
  <c r="CB183"/>
  <c r="BY183"/>
  <c r="DA183"/>
  <c r="AN183"/>
  <c r="W183"/>
  <c r="DG183"/>
  <c r="AS183"/>
  <c r="AH183"/>
  <c r="AV183"/>
  <c r="T183"/>
  <c r="BJ183"/>
  <c r="CE183"/>
  <c r="BM183"/>
  <c r="CX183"/>
  <c r="G231" i="28"/>
  <c r="CK183" i="11"/>
  <c r="CQ183"/>
  <c r="V116"/>
  <c r="AQ116"/>
  <c r="BA116"/>
  <c r="CD116"/>
  <c r="AH116"/>
  <c r="DD116"/>
  <c r="BJ116"/>
  <c r="AG116"/>
  <c r="DM116"/>
  <c r="W116"/>
  <c r="BE116"/>
  <c r="BP116"/>
  <c r="BT116"/>
  <c r="Q116"/>
  <c r="CV116"/>
  <c r="DE116"/>
  <c r="Z116"/>
  <c r="AI116"/>
  <c r="AY116"/>
  <c r="DI116"/>
  <c r="DG116"/>
  <c r="BQ116"/>
  <c r="BH116"/>
  <c r="DB116"/>
  <c r="BK116"/>
  <c r="AO116"/>
  <c r="BO116"/>
  <c r="CJ116"/>
  <c r="AE116"/>
  <c r="AF116"/>
  <c r="BV116"/>
  <c r="AZ116"/>
  <c r="BB116"/>
  <c r="CZ116"/>
  <c r="CX116"/>
  <c r="BS116"/>
  <c r="AV116"/>
  <c r="DC116"/>
  <c r="AB116"/>
  <c r="BY116"/>
  <c r="CN116"/>
  <c r="AK116"/>
  <c r="CQ116"/>
  <c r="CS116"/>
  <c r="CE116"/>
  <c r="AM116"/>
  <c r="R116"/>
  <c r="G142" i="28"/>
  <c r="O116" i="11"/>
  <c r="M142" i="28" s="1"/>
  <c r="DJ116" i="11"/>
  <c r="AT116"/>
  <c r="AU116"/>
  <c r="CB116"/>
  <c r="DF116"/>
  <c r="BM116"/>
  <c r="CG116"/>
  <c r="BG116"/>
  <c r="BX116"/>
  <c r="T116"/>
  <c r="CC116"/>
  <c r="BD116"/>
  <c r="BZ116"/>
  <c r="AP116"/>
  <c r="CY116"/>
  <c r="BI116"/>
  <c r="U116"/>
  <c r="BN116"/>
  <c r="DK116"/>
  <c r="S116"/>
  <c r="AS116"/>
  <c r="CU116"/>
  <c r="CR116"/>
  <c r="AL116"/>
  <c r="AA116"/>
  <c r="CF116"/>
  <c r="CO116"/>
  <c r="AX116"/>
  <c r="DL116"/>
  <c r="AR116"/>
  <c r="BC116"/>
  <c r="CL116"/>
  <c r="AW116"/>
  <c r="DH116"/>
  <c r="X116"/>
  <c r="CI116"/>
  <c r="AC116"/>
  <c r="CH116"/>
  <c r="BW116"/>
  <c r="AJ116"/>
  <c r="CT116"/>
  <c r="BU116"/>
  <c r="AD116"/>
  <c r="CM116"/>
  <c r="CW116"/>
  <c r="CK116"/>
  <c r="CA116"/>
  <c r="BR116"/>
  <c r="DA116"/>
  <c r="Y116"/>
  <c r="BF116"/>
  <c r="AN116"/>
  <c r="BL116"/>
  <c r="CP116"/>
  <c r="DD172"/>
  <c r="BM172"/>
  <c r="BJ172"/>
  <c r="CX172"/>
  <c r="DK172"/>
  <c r="CB172"/>
  <c r="CE172"/>
  <c r="BR172"/>
  <c r="AP172"/>
  <c r="CI172"/>
  <c r="CL172"/>
  <c r="AS172"/>
  <c r="DG172"/>
  <c r="BO172"/>
  <c r="BG172"/>
  <c r="DE172"/>
  <c r="AJ172"/>
  <c r="BY172"/>
  <c r="BT172"/>
  <c r="S172"/>
  <c r="BQ172"/>
  <c r="O172"/>
  <c r="M218" i="28" s="1"/>
  <c r="AO172" i="11"/>
  <c r="BB172"/>
  <c r="AZ172"/>
  <c r="CA172"/>
  <c r="Z172"/>
  <c r="BX172"/>
  <c r="W172"/>
  <c r="BU172"/>
  <c r="AW172"/>
  <c r="AC172"/>
  <c r="DL172"/>
  <c r="BC172"/>
  <c r="DA172"/>
  <c r="BF172"/>
  <c r="DH172"/>
  <c r="CM172"/>
  <c r="AD172"/>
  <c r="AG172"/>
  <c r="AA172"/>
  <c r="BS172"/>
  <c r="AH172"/>
  <c r="AK172"/>
  <c r="AN172"/>
  <c r="CQ172"/>
  <c r="BV172"/>
  <c r="CF172"/>
  <c r="BL172"/>
  <c r="T172"/>
  <c r="AU172"/>
  <c r="CS172"/>
  <c r="AR172"/>
  <c r="CP172"/>
  <c r="BN172"/>
  <c r="BI172"/>
  <c r="AL172"/>
  <c r="CZ172"/>
  <c r="AY172"/>
  <c r="CW172"/>
  <c r="AV172"/>
  <c r="AT172"/>
  <c r="AM172"/>
  <c r="U172"/>
  <c r="DM172"/>
  <c r="DC172"/>
  <c r="CR172"/>
  <c r="CH172"/>
  <c r="CN172"/>
  <c r="CD172"/>
  <c r="BZ172"/>
  <c r="AX172"/>
  <c r="DF172"/>
  <c r="CC172"/>
  <c r="CJ172"/>
  <c r="CO172"/>
  <c r="Y172"/>
  <c r="AI172"/>
  <c r="CT172"/>
  <c r="BE172"/>
  <c r="AB172"/>
  <c r="AQ172"/>
  <c r="BP172"/>
  <c r="R172"/>
  <c r="X172"/>
  <c r="DJ172"/>
  <c r="Q172"/>
  <c r="CU172"/>
  <c r="CK172"/>
  <c r="DI172"/>
  <c r="BD172"/>
  <c r="CV172"/>
  <c r="BW172"/>
  <c r="CY172"/>
  <c r="BH172"/>
  <c r="AE172"/>
  <c r="CG172"/>
  <c r="DB172"/>
  <c r="BK172"/>
  <c r="V172"/>
  <c r="BA172"/>
  <c r="AF172"/>
  <c r="G218" i="28"/>
  <c r="AU147" i="11"/>
  <c r="AJ147"/>
  <c r="CT147"/>
  <c r="AW147"/>
  <c r="CF147"/>
  <c r="W147"/>
  <c r="BZ147"/>
  <c r="BB147"/>
  <c r="CE147"/>
  <c r="AK147"/>
  <c r="DD147"/>
  <c r="DE147"/>
  <c r="DL147"/>
  <c r="BX147"/>
  <c r="AX147"/>
  <c r="DH147"/>
  <c r="BV147"/>
  <c r="DA147"/>
  <c r="AD147"/>
  <c r="BG147"/>
  <c r="CK147"/>
  <c r="DG147"/>
  <c r="CH147"/>
  <c r="BJ147"/>
  <c r="Z147"/>
  <c r="DB147"/>
  <c r="R147"/>
  <c r="O147"/>
  <c r="M173" i="28" s="1"/>
  <c r="BO147" i="11"/>
  <c r="CW147"/>
  <c r="X147"/>
  <c r="DF147"/>
  <c r="AH147"/>
  <c r="BR147"/>
  <c r="Q147"/>
  <c r="AT147"/>
  <c r="BU147"/>
  <c r="CO147"/>
  <c r="AP147"/>
  <c r="CG147"/>
  <c r="BP147"/>
  <c r="BT147"/>
  <c r="BM147"/>
  <c r="BA147"/>
  <c r="V147"/>
  <c r="DC147"/>
  <c r="AN147"/>
  <c r="BL147"/>
  <c r="CI147"/>
  <c r="BQ147"/>
  <c r="AB147"/>
  <c r="CA147"/>
  <c r="AM147"/>
  <c r="BF147"/>
  <c r="CZ147"/>
  <c r="DJ147"/>
  <c r="BN147"/>
  <c r="AQ147"/>
  <c r="CL147"/>
  <c r="CS147"/>
  <c r="AG147"/>
  <c r="DM147"/>
  <c r="BC147"/>
  <c r="Y147"/>
  <c r="CB147"/>
  <c r="BY147"/>
  <c r="S147"/>
  <c r="BI147"/>
  <c r="BE147"/>
  <c r="AL147"/>
  <c r="CY147"/>
  <c r="T147"/>
  <c r="CX147"/>
  <c r="CC147"/>
  <c r="G173" i="28"/>
  <c r="CP147" i="11"/>
  <c r="AS147"/>
  <c r="CM147"/>
  <c r="CJ147"/>
  <c r="CR147"/>
  <c r="CU147"/>
  <c r="BS147"/>
  <c r="BH147"/>
  <c r="CQ147"/>
  <c r="AI147"/>
  <c r="U147"/>
  <c r="AA147"/>
  <c r="AE147"/>
  <c r="AZ147"/>
  <c r="CD147"/>
  <c r="AO147"/>
  <c r="BD147"/>
  <c r="AC147"/>
  <c r="DI147"/>
  <c r="BW147"/>
  <c r="AY147"/>
  <c r="CN147"/>
  <c r="DK147"/>
  <c r="AV147"/>
  <c r="AF147"/>
  <c r="CV147"/>
  <c r="BK147"/>
  <c r="AR147"/>
  <c r="AA138"/>
  <c r="DA138"/>
  <c r="CR138"/>
  <c r="AW138"/>
  <c r="DL138"/>
  <c r="AS138"/>
  <c r="AZ138"/>
  <c r="S138"/>
  <c r="AX138"/>
  <c r="AV138"/>
  <c r="DB138"/>
  <c r="CA138"/>
  <c r="CG138"/>
  <c r="CU138"/>
  <c r="BO138"/>
  <c r="DG138"/>
  <c r="CN138"/>
  <c r="CE138"/>
  <c r="CF138"/>
  <c r="BX138"/>
  <c r="AN138"/>
  <c r="AF138"/>
  <c r="AJ138"/>
  <c r="CJ138"/>
  <c r="CP138"/>
  <c r="BF138"/>
  <c r="T138"/>
  <c r="DK138"/>
  <c r="DJ138"/>
  <c r="BS138"/>
  <c r="AO138"/>
  <c r="DD138"/>
  <c r="DE138"/>
  <c r="AG138"/>
  <c r="CH138"/>
  <c r="AY138"/>
  <c r="AD138"/>
  <c r="R138"/>
  <c r="BJ138"/>
  <c r="V138"/>
  <c r="DH138"/>
  <c r="BB138"/>
  <c r="AK138"/>
  <c r="CT138"/>
  <c r="G164" i="28"/>
  <c r="X138" i="11"/>
  <c r="AT138"/>
  <c r="AR138"/>
  <c r="AC138"/>
  <c r="O138"/>
  <c r="M164" i="28" s="1"/>
  <c r="CM138" i="11"/>
  <c r="BM138"/>
  <c r="BU138"/>
  <c r="CD138"/>
  <c r="DM138"/>
  <c r="BG138"/>
  <c r="BE138"/>
  <c r="BZ138"/>
  <c r="BP138"/>
  <c r="CX138"/>
  <c r="AU138"/>
  <c r="DF138"/>
  <c r="AB138"/>
  <c r="BI138"/>
  <c r="BD138"/>
  <c r="U138"/>
  <c r="CC138"/>
  <c r="DC138"/>
  <c r="BH138"/>
  <c r="BT138"/>
  <c r="CL138"/>
  <c r="CB138"/>
  <c r="CQ138"/>
  <c r="CI138"/>
  <c r="Q138"/>
  <c r="AQ138"/>
  <c r="AI138"/>
  <c r="CK138"/>
  <c r="Z138"/>
  <c r="CW138"/>
  <c r="AE138"/>
  <c r="W138"/>
  <c r="CO138"/>
  <c r="BN138"/>
  <c r="BV138"/>
  <c r="CY138"/>
  <c r="AH138"/>
  <c r="BQ138"/>
  <c r="AM138"/>
  <c r="AP138"/>
  <c r="CZ138"/>
  <c r="Y138"/>
  <c r="BC138"/>
  <c r="CS138"/>
  <c r="BK138"/>
  <c r="BA138"/>
  <c r="BL138"/>
  <c r="BY138"/>
  <c r="CV138"/>
  <c r="BR138"/>
  <c r="BW138"/>
  <c r="DI138"/>
  <c r="AL138"/>
  <c r="CA100"/>
  <c r="BE100"/>
  <c r="CR100"/>
  <c r="BY100"/>
  <c r="BJ100"/>
  <c r="AR100"/>
  <c r="O100"/>
  <c r="M94" i="28" s="1"/>
  <c r="S100" i="11"/>
  <c r="BQ100"/>
  <c r="BZ100"/>
  <c r="BP100"/>
  <c r="DI100"/>
  <c r="CG100"/>
  <c r="BV100"/>
  <c r="AO100"/>
  <c r="CV100"/>
  <c r="BO100"/>
  <c r="AG100"/>
  <c r="DJ100"/>
  <c r="DL100"/>
  <c r="CE100"/>
  <c r="AB100"/>
  <c r="DF100"/>
  <c r="DG100"/>
  <c r="BD100"/>
  <c r="AU100"/>
  <c r="CP100"/>
  <c r="CK100"/>
  <c r="AI100"/>
  <c r="W100"/>
  <c r="DB100"/>
  <c r="CF100"/>
  <c r="AY100"/>
  <c r="Q100"/>
  <c r="CH100"/>
  <c r="CL100"/>
  <c r="CI100"/>
  <c r="CZ100"/>
  <c r="CU100"/>
  <c r="BK100"/>
  <c r="AC100"/>
  <c r="AS100"/>
  <c r="AN100"/>
  <c r="DH100"/>
  <c r="BT100"/>
  <c r="AW100"/>
  <c r="BM100"/>
  <c r="DC100"/>
  <c r="Z100"/>
  <c r="CN100"/>
  <c r="AZ100"/>
  <c r="DA100"/>
  <c r="BH100"/>
  <c r="R100"/>
  <c r="BC100"/>
  <c r="BL100"/>
  <c r="T100"/>
  <c r="CB100"/>
  <c r="AJ100"/>
  <c r="BW100"/>
  <c r="DK100"/>
  <c r="BA100"/>
  <c r="AE100"/>
  <c r="AV100"/>
  <c r="Y100"/>
  <c r="AL100"/>
  <c r="AQ100"/>
  <c r="CQ100"/>
  <c r="CD100"/>
  <c r="CT100"/>
  <c r="AP100"/>
  <c r="BI100"/>
  <c r="CW100"/>
  <c r="AH100"/>
  <c r="BG100"/>
  <c r="DM100"/>
  <c r="G94" i="28"/>
  <c r="U100" i="11"/>
  <c r="BN100"/>
  <c r="CO100"/>
  <c r="AF100"/>
  <c r="CJ100"/>
  <c r="CX100"/>
  <c r="BF100"/>
  <c r="DD100"/>
  <c r="BB100"/>
  <c r="CY100"/>
  <c r="BX100"/>
  <c r="CC100"/>
  <c r="AX100"/>
  <c r="CS100"/>
  <c r="AT100"/>
  <c r="BS100"/>
  <c r="AM100"/>
  <c r="AK100"/>
  <c r="BR100"/>
  <c r="DE100"/>
  <c r="AD100"/>
  <c r="V100"/>
  <c r="CM100"/>
  <c r="BU100"/>
  <c r="AA100"/>
  <c r="X100"/>
  <c r="AJ151"/>
  <c r="AW151"/>
  <c r="AY151"/>
  <c r="AD151"/>
  <c r="CZ151"/>
  <c r="U151"/>
  <c r="R151"/>
  <c r="AG151"/>
  <c r="CU151"/>
  <c r="AV151"/>
  <c r="BS151"/>
  <c r="BI151"/>
  <c r="CM151"/>
  <c r="O151"/>
  <c r="M177" i="28" s="1"/>
  <c r="X151" i="11"/>
  <c r="CT151"/>
  <c r="CR151"/>
  <c r="CH151"/>
  <c r="AL151"/>
  <c r="BV151"/>
  <c r="CW151"/>
  <c r="T151"/>
  <c r="AT151"/>
  <c r="S151"/>
  <c r="BE151"/>
  <c r="DF151"/>
  <c r="BH151"/>
  <c r="DI151"/>
  <c r="BK151"/>
  <c r="CV151"/>
  <c r="BU151"/>
  <c r="BX151"/>
  <c r="CA151"/>
  <c r="BR151"/>
  <c r="CB151"/>
  <c r="BQ151"/>
  <c r="Y151"/>
  <c r="BZ151"/>
  <c r="AB151"/>
  <c r="CC151"/>
  <c r="AE151"/>
  <c r="BP151"/>
  <c r="DH151"/>
  <c r="DK151"/>
  <c r="CX151"/>
  <c r="DG151"/>
  <c r="DA151"/>
  <c r="DJ151"/>
  <c r="BL151"/>
  <c r="DM151"/>
  <c r="BO151"/>
  <c r="Q151"/>
  <c r="BB151"/>
  <c r="DC151"/>
  <c r="CI151"/>
  <c r="CL151"/>
  <c r="BY151"/>
  <c r="AS151"/>
  <c r="BC151"/>
  <c r="DE151"/>
  <c r="CP151"/>
  <c r="BN151"/>
  <c r="AO151"/>
  <c r="G177" i="28"/>
  <c r="CD151" i="11"/>
  <c r="AF151"/>
  <c r="CG151"/>
  <c r="AI151"/>
  <c r="CJ151"/>
  <c r="V151"/>
  <c r="BW151"/>
  <c r="W151"/>
  <c r="Z151"/>
  <c r="DL151"/>
  <c r="CE151"/>
  <c r="BG151"/>
  <c r="AX151"/>
  <c r="CY151"/>
  <c r="BA151"/>
  <c r="DB151"/>
  <c r="BD151"/>
  <c r="CO151"/>
  <c r="AQ151"/>
  <c r="BJ151"/>
  <c r="BM151"/>
  <c r="AZ151"/>
  <c r="DD151"/>
  <c r="BT151"/>
  <c r="CK151"/>
  <c r="AM151"/>
  <c r="CN151"/>
  <c r="AP151"/>
  <c r="CQ151"/>
  <c r="AC151"/>
  <c r="AH151"/>
  <c r="AK151"/>
  <c r="AN151"/>
  <c r="AA151"/>
  <c r="BF151"/>
  <c r="AR151"/>
  <c r="CF151"/>
  <c r="CS151"/>
  <c r="AU151"/>
  <c r="DI181"/>
  <c r="Y181"/>
  <c r="AL181"/>
  <c r="CQ181"/>
  <c r="BM181"/>
  <c r="BC181"/>
  <c r="BQ181"/>
  <c r="CG181"/>
  <c r="R181"/>
  <c r="BZ181"/>
  <c r="Q181"/>
  <c r="CY181"/>
  <c r="AQ181"/>
  <c r="AA181"/>
  <c r="CT181"/>
  <c r="O181"/>
  <c r="AC181"/>
  <c r="AG181"/>
  <c r="BX181"/>
  <c r="Z181"/>
  <c r="W181"/>
  <c r="AP181"/>
  <c r="DK181"/>
  <c r="CS181"/>
  <c r="DG181"/>
  <c r="CW181"/>
  <c r="BK181"/>
  <c r="AV181"/>
  <c r="AI181"/>
  <c r="CB181"/>
  <c r="BV181"/>
  <c r="DA181"/>
  <c r="CJ181"/>
  <c r="BS181"/>
  <c r="CU181"/>
  <c r="BH181"/>
  <c r="BJ181"/>
  <c r="V181"/>
  <c r="AW181"/>
  <c r="T181"/>
  <c r="DF181"/>
  <c r="CR181"/>
  <c r="CX181"/>
  <c r="CK181"/>
  <c r="AZ181"/>
  <c r="AM181"/>
  <c r="AX181"/>
  <c r="BE181"/>
  <c r="AY181"/>
  <c r="BW181"/>
  <c r="BO181"/>
  <c r="S181"/>
  <c r="CF181"/>
  <c r="DH181"/>
  <c r="AF181"/>
  <c r="BA181"/>
  <c r="AE181"/>
  <c r="CZ181"/>
  <c r="BR181"/>
  <c r="CP181"/>
  <c r="CC181"/>
  <c r="AS181"/>
  <c r="DC181"/>
  <c r="BY181"/>
  <c r="AT181"/>
  <c r="X181"/>
  <c r="BT181"/>
  <c r="BG181"/>
  <c r="BD181"/>
  <c r="CO181"/>
  <c r="CI181"/>
  <c r="AJ181"/>
  <c r="G229" i="28"/>
  <c r="AU181" i="11"/>
  <c r="CM181"/>
  <c r="BU181"/>
  <c r="DE181"/>
  <c r="DD181"/>
  <c r="CD181"/>
  <c r="AD181"/>
  <c r="CA181"/>
  <c r="BN181"/>
  <c r="AN181"/>
  <c r="DJ181"/>
  <c r="BL181"/>
  <c r="AK181"/>
  <c r="BB181"/>
  <c r="AO181"/>
  <c r="AB181"/>
  <c r="CN181"/>
  <c r="DM181"/>
  <c r="CV181"/>
  <c r="CE181"/>
  <c r="BI181"/>
  <c r="DL181"/>
  <c r="CH181"/>
  <c r="AH181"/>
  <c r="U181"/>
  <c r="BP181"/>
  <c r="AR181"/>
  <c r="CL181"/>
  <c r="DB181"/>
  <c r="BF181"/>
  <c r="BY150"/>
  <c r="Q150"/>
  <c r="BS150"/>
  <c r="BP150"/>
  <c r="AB150"/>
  <c r="DJ150"/>
  <c r="DI150"/>
  <c r="BV150"/>
  <c r="U150"/>
  <c r="BW150"/>
  <c r="R150"/>
  <c r="BT150"/>
  <c r="AI150"/>
  <c r="CX150"/>
  <c r="CK150"/>
  <c r="CR150"/>
  <c r="DM150"/>
  <c r="AW150"/>
  <c r="CY150"/>
  <c r="AT150"/>
  <c r="CV150"/>
  <c r="AU150"/>
  <c r="DE150"/>
  <c r="BH150"/>
  <c r="AN150"/>
  <c r="AQ150"/>
  <c r="AP150"/>
  <c r="BR150"/>
  <c r="DG150"/>
  <c r="AS150"/>
  <c r="BE150"/>
  <c r="DF150"/>
  <c r="BL150"/>
  <c r="AZ150"/>
  <c r="AG150"/>
  <c r="CW150"/>
  <c r="AE150"/>
  <c r="BC150"/>
  <c r="CT150"/>
  <c r="AL150"/>
  <c r="CA150"/>
  <c r="Y150"/>
  <c r="BZ150"/>
  <c r="AF150"/>
  <c r="CC150"/>
  <c r="DA150"/>
  <c r="AY150"/>
  <c r="CJ150"/>
  <c r="AH150"/>
  <c r="CM150"/>
  <c r="AK150"/>
  <c r="BM150"/>
  <c r="AC150"/>
  <c r="T150"/>
  <c r="W150"/>
  <c r="CF150"/>
  <c r="AD150"/>
  <c r="AO150"/>
  <c r="Z150"/>
  <c r="AA150"/>
  <c r="X150"/>
  <c r="CN150"/>
  <c r="BF150"/>
  <c r="BD150"/>
  <c r="CU150"/>
  <c r="CD150"/>
  <c r="AJ150"/>
  <c r="CG150"/>
  <c r="AM150"/>
  <c r="CQ150"/>
  <c r="DK150"/>
  <c r="CP150"/>
  <c r="BI150"/>
  <c r="CS150"/>
  <c r="DD150"/>
  <c r="BO150"/>
  <c r="CZ150"/>
  <c r="AX150"/>
  <c r="DC150"/>
  <c r="BA150"/>
  <c r="DB150"/>
  <c r="G176" i="28"/>
  <c r="BX150" i="11"/>
  <c r="V150"/>
  <c r="BK150"/>
  <c r="DL150"/>
  <c r="BJ150"/>
  <c r="O150"/>
  <c r="M176" i="28" s="1"/>
  <c r="CL150" i="11"/>
  <c r="CE150"/>
  <c r="BN150"/>
  <c r="BQ150"/>
  <c r="CI150"/>
  <c r="CO150"/>
  <c r="AR150"/>
  <c r="AV150"/>
  <c r="BB150"/>
  <c r="CB150"/>
  <c r="BU150"/>
  <c r="CH150"/>
  <c r="DH150"/>
  <c r="BG150"/>
  <c r="S150"/>
  <c r="CO146"/>
  <c r="BL146"/>
  <c r="BG146"/>
  <c r="CN146"/>
  <c r="CR146"/>
  <c r="CX146"/>
  <c r="AE146"/>
  <c r="T146"/>
  <c r="DL146"/>
  <c r="CZ146"/>
  <c r="DD146"/>
  <c r="AS146"/>
  <c r="CL146"/>
  <c r="CC146"/>
  <c r="DF146"/>
  <c r="BQ146"/>
  <c r="BO146"/>
  <c r="AC146"/>
  <c r="BP146"/>
  <c r="CD146"/>
  <c r="Z146"/>
  <c r="CS146"/>
  <c r="DE146"/>
  <c r="CA146"/>
  <c r="AZ146"/>
  <c r="BF146"/>
  <c r="CV146"/>
  <c r="DA146"/>
  <c r="BS146"/>
  <c r="AI146"/>
  <c r="AN146"/>
  <c r="AL146"/>
  <c r="AD146"/>
  <c r="AY146"/>
  <c r="AA146"/>
  <c r="R146"/>
  <c r="AU146"/>
  <c r="CP146"/>
  <c r="O146"/>
  <c r="M172" i="28" s="1"/>
  <c r="CT146" i="11"/>
  <c r="CQ146"/>
  <c r="BY146"/>
  <c r="CH146"/>
  <c r="CU146"/>
  <c r="AF146"/>
  <c r="BZ146"/>
  <c r="CB146"/>
  <c r="AM146"/>
  <c r="CM146"/>
  <c r="AB146"/>
  <c r="V146"/>
  <c r="BB146"/>
  <c r="BC146"/>
  <c r="BT146"/>
  <c r="DM146"/>
  <c r="BE146"/>
  <c r="BR146"/>
  <c r="BD146"/>
  <c r="Y146"/>
  <c r="BJ146"/>
  <c r="X146"/>
  <c r="BU146"/>
  <c r="CG146"/>
  <c r="AG146"/>
  <c r="S146"/>
  <c r="BH146"/>
  <c r="DB146"/>
  <c r="DI146"/>
  <c r="Q146"/>
  <c r="AH146"/>
  <c r="BV146"/>
  <c r="CI146"/>
  <c r="CE146"/>
  <c r="BX146"/>
  <c r="AP146"/>
  <c r="AW146"/>
  <c r="CW146"/>
  <c r="DH146"/>
  <c r="AX146"/>
  <c r="AV146"/>
  <c r="U146"/>
  <c r="W146"/>
  <c r="BW146"/>
  <c r="AT146"/>
  <c r="DK146"/>
  <c r="G172" i="28"/>
  <c r="AJ146" i="11"/>
  <c r="CK146"/>
  <c r="CY146"/>
  <c r="BA146"/>
  <c r="AK146"/>
  <c r="DC146"/>
  <c r="DG146"/>
  <c r="AR146"/>
  <c r="BM146"/>
  <c r="BN146"/>
  <c r="AO146"/>
  <c r="CJ146"/>
  <c r="BI146"/>
  <c r="AQ146"/>
  <c r="DJ146"/>
  <c r="CF146"/>
  <c r="BK146"/>
  <c r="G187" i="28"/>
  <c r="DA161" i="11"/>
  <c r="BX161"/>
  <c r="W161"/>
  <c r="AD161"/>
  <c r="CZ161"/>
  <c r="AY161"/>
  <c r="CS161"/>
  <c r="BP161"/>
  <c r="AN161"/>
  <c r="DE161"/>
  <c r="AX161"/>
  <c r="Y161"/>
  <c r="BS161"/>
  <c r="BZ161"/>
  <c r="BA161"/>
  <c r="CU161"/>
  <c r="DB161"/>
  <c r="CC161"/>
  <c r="AZ161"/>
  <c r="AF161"/>
  <c r="CO161"/>
  <c r="BL161"/>
  <c r="X161"/>
  <c r="AH161"/>
  <c r="DD161"/>
  <c r="BC161"/>
  <c r="BJ161"/>
  <c r="AK161"/>
  <c r="CE161"/>
  <c r="CL161"/>
  <c r="BM161"/>
  <c r="DG161"/>
  <c r="CX161"/>
  <c r="BY161"/>
  <c r="AV161"/>
  <c r="Q161"/>
  <c r="AM161"/>
  <c r="BV161"/>
  <c r="BI161"/>
  <c r="BE161"/>
  <c r="BD161"/>
  <c r="AE161"/>
  <c r="CM161"/>
  <c r="AT161"/>
  <c r="AW161"/>
  <c r="CR161"/>
  <c r="CD161"/>
  <c r="CG161"/>
  <c r="CF161"/>
  <c r="CB161"/>
  <c r="BN161"/>
  <c r="AO161"/>
  <c r="CI161"/>
  <c r="CP161"/>
  <c r="BQ161"/>
  <c r="DK161"/>
  <c r="O161"/>
  <c r="M187" i="28" s="1"/>
  <c r="BF161" i="11"/>
  <c r="AG161"/>
  <c r="CA161"/>
  <c r="BR161"/>
  <c r="DJ161"/>
  <c r="CK161"/>
  <c r="BH161"/>
  <c r="AJ161"/>
  <c r="DM161"/>
  <c r="CJ161"/>
  <c r="AI161"/>
  <c r="AP161"/>
  <c r="DL161"/>
  <c r="BK161"/>
  <c r="BB161"/>
  <c r="AC161"/>
  <c r="BW161"/>
  <c r="CT161"/>
  <c r="BU161"/>
  <c r="AR161"/>
  <c r="AB161"/>
  <c r="CW161"/>
  <c r="BT161"/>
  <c r="S161"/>
  <c r="Z161"/>
  <c r="CV161"/>
  <c r="AU161"/>
  <c r="AL161"/>
  <c r="DH161"/>
  <c r="BG161"/>
  <c r="R161"/>
  <c r="U161"/>
  <c r="CQ161"/>
  <c r="DC161"/>
  <c r="DF161"/>
  <c r="DI161"/>
  <c r="AS161"/>
  <c r="CN161"/>
  <c r="BO161"/>
  <c r="CH161"/>
  <c r="AQ161"/>
  <c r="CY161"/>
  <c r="T161"/>
  <c r="V161"/>
  <c r="AA161"/>
  <c r="DK145"/>
  <c r="CZ145"/>
  <c r="BA145"/>
  <c r="DC145"/>
  <c r="BE145"/>
  <c r="DG145"/>
  <c r="BS145"/>
  <c r="CB145"/>
  <c r="BO145"/>
  <c r="BT145"/>
  <c r="BV145"/>
  <c r="AK145"/>
  <c r="CT145"/>
  <c r="AN145"/>
  <c r="CF145"/>
  <c r="CM145"/>
  <c r="DD145"/>
  <c r="Z145"/>
  <c r="BI145"/>
  <c r="CQ145"/>
  <c r="DB145"/>
  <c r="DH145"/>
  <c r="CU145"/>
  <c r="AA145"/>
  <c r="BH145"/>
  <c r="CE145"/>
  <c r="DA145"/>
  <c r="AQ145"/>
  <c r="AR145"/>
  <c r="DM145"/>
  <c r="BX145"/>
  <c r="R145"/>
  <c r="BJ145"/>
  <c r="AH145"/>
  <c r="CS145"/>
  <c r="CC145"/>
  <c r="BK145"/>
  <c r="DI145"/>
  <c r="BG145"/>
  <c r="CV145"/>
  <c r="AO145"/>
  <c r="CR145"/>
  <c r="BF145"/>
  <c r="BY145"/>
  <c r="X145"/>
  <c r="BR145"/>
  <c r="CO145"/>
  <c r="AJ145"/>
  <c r="CD145"/>
  <c r="AW145"/>
  <c r="AL145"/>
  <c r="AI145"/>
  <c r="U145"/>
  <c r="CK145"/>
  <c r="CG145"/>
  <c r="BB145"/>
  <c r="BW145"/>
  <c r="CN145"/>
  <c r="DL145"/>
  <c r="AY145"/>
  <c r="W145"/>
  <c r="AP145"/>
  <c r="BC145"/>
  <c r="AT145"/>
  <c r="AD145"/>
  <c r="CL145"/>
  <c r="CW145"/>
  <c r="Y145"/>
  <c r="CH145"/>
  <c r="AC145"/>
  <c r="CX145"/>
  <c r="AB145"/>
  <c r="AS145"/>
  <c r="AU145"/>
  <c r="AX145"/>
  <c r="O145"/>
  <c r="M171" i="28" s="1"/>
  <c r="BN145" i="11"/>
  <c r="CJ145"/>
  <c r="AF145"/>
  <c r="CP145"/>
  <c r="V145"/>
  <c r="BM145"/>
  <c r="S145"/>
  <c r="AZ145"/>
  <c r="CY145"/>
  <c r="AV145"/>
  <c r="BP145"/>
  <c r="Q145"/>
  <c r="BL145"/>
  <c r="DE145"/>
  <c r="DF145"/>
  <c r="CI145"/>
  <c r="BU145"/>
  <c r="BQ145"/>
  <c r="AG145"/>
  <c r="T145"/>
  <c r="BD145"/>
  <c r="CA145"/>
  <c r="DJ145"/>
  <c r="BZ145"/>
  <c r="AM145"/>
  <c r="G171" i="28"/>
  <c r="AE145" i="11"/>
  <c r="AF168"/>
  <c r="BY168"/>
  <c r="AH168"/>
  <c r="U168"/>
  <c r="CP168"/>
  <c r="AM168"/>
  <c r="CV168"/>
  <c r="BN168"/>
  <c r="DJ168"/>
  <c r="AY168"/>
  <c r="DI168"/>
  <c r="CL168"/>
  <c r="CD168"/>
  <c r="CA168"/>
  <c r="AU168"/>
  <c r="DM168"/>
  <c r="BX168"/>
  <c r="BA168"/>
  <c r="BC168"/>
  <c r="Q168"/>
  <c r="CU168"/>
  <c r="CM168"/>
  <c r="BV168"/>
  <c r="BQ168"/>
  <c r="AK168"/>
  <c r="CS168"/>
  <c r="BI168"/>
  <c r="BH168"/>
  <c r="CF168"/>
  <c r="AD168"/>
  <c r="DH168"/>
  <c r="CZ168"/>
  <c r="BT168"/>
  <c r="R168"/>
  <c r="W168"/>
  <c r="DF168"/>
  <c r="AP168"/>
  <c r="AS168"/>
  <c r="CQ168"/>
  <c r="T168"/>
  <c r="AV168"/>
  <c r="AI168"/>
  <c r="AX168"/>
  <c r="AL168"/>
  <c r="AZ168"/>
  <c r="AB168"/>
  <c r="AT168"/>
  <c r="O168"/>
  <c r="DG168"/>
  <c r="BO168"/>
  <c r="BK168"/>
  <c r="BU168"/>
  <c r="DC168"/>
  <c r="BD168"/>
  <c r="CX168"/>
  <c r="CJ168"/>
  <c r="BL168"/>
  <c r="BB168"/>
  <c r="CW168"/>
  <c r="BS168"/>
  <c r="Y168"/>
  <c r="CH168"/>
  <c r="CK168"/>
  <c r="BR168"/>
  <c r="AR168"/>
  <c r="CR168"/>
  <c r="CO168"/>
  <c r="BW168"/>
  <c r="CT168"/>
  <c r="AW168"/>
  <c r="AE168"/>
  <c r="CG168"/>
  <c r="BF168"/>
  <c r="AO168"/>
  <c r="AG168"/>
  <c r="AA168"/>
  <c r="BJ168"/>
  <c r="S168"/>
  <c r="Z168"/>
  <c r="DL168"/>
  <c r="CN168"/>
  <c r="CB168"/>
  <c r="AN168"/>
  <c r="DA168"/>
  <c r="DB168"/>
  <c r="V168"/>
  <c r="DE168"/>
  <c r="CY168"/>
  <c r="CE168"/>
  <c r="BZ168"/>
  <c r="AQ168"/>
  <c r="X168"/>
  <c r="BP168"/>
  <c r="DK168"/>
  <c r="CC168"/>
  <c r="CI168"/>
  <c r="BG168"/>
  <c r="AJ168"/>
  <c r="BE168"/>
  <c r="AC168"/>
  <c r="BM168"/>
  <c r="G209" i="28"/>
  <c r="DD168" i="11"/>
  <c r="CG135"/>
  <c r="CD135"/>
  <c r="BI135"/>
  <c r="CE135"/>
  <c r="CJ135"/>
  <c r="BW135"/>
  <c r="BA135"/>
  <c r="CY135"/>
  <c r="BK135"/>
  <c r="AI135"/>
  <c r="DL135"/>
  <c r="DF135"/>
  <c r="CV135"/>
  <c r="CO135"/>
  <c r="AX135"/>
  <c r="W135"/>
  <c r="DB135"/>
  <c r="Z135"/>
  <c r="BB135"/>
  <c r="BO135"/>
  <c r="BL135"/>
  <c r="T135"/>
  <c r="AU135"/>
  <c r="BF135"/>
  <c r="CW135"/>
  <c r="AO135"/>
  <c r="BP135"/>
  <c r="CC135"/>
  <c r="BZ135"/>
  <c r="AA135"/>
  <c r="DE135"/>
  <c r="AG135"/>
  <c r="BX135"/>
  <c r="O135"/>
  <c r="M161" i="28" s="1"/>
  <c r="BU135" i="11"/>
  <c r="CQ135"/>
  <c r="CN135"/>
  <c r="CK135"/>
  <c r="CF135"/>
  <c r="DG135"/>
  <c r="AY135"/>
  <c r="CP135"/>
  <c r="DA135"/>
  <c r="CU135"/>
  <c r="CR135"/>
  <c r="BV135"/>
  <c r="AH135"/>
  <c r="CI135"/>
  <c r="AK135"/>
  <c r="CL135"/>
  <c r="AN135"/>
  <c r="BY135"/>
  <c r="BS135"/>
  <c r="CH135"/>
  <c r="BE135"/>
  <c r="BH135"/>
  <c r="AF135"/>
  <c r="AQ135"/>
  <c r="U135"/>
  <c r="BD135"/>
  <c r="CB135"/>
  <c r="DC135"/>
  <c r="DM135"/>
  <c r="AS135"/>
  <c r="AR135"/>
  <c r="CT135"/>
  <c r="AE135"/>
  <c r="Y135"/>
  <c r="CA135"/>
  <c r="AD135"/>
  <c r="AP135"/>
  <c r="BG135"/>
  <c r="CS135"/>
  <c r="AV135"/>
  <c r="AT135"/>
  <c r="AW135"/>
  <c r="BJ135"/>
  <c r="BM135"/>
  <c r="R135"/>
  <c r="BQ135"/>
  <c r="V135"/>
  <c r="BN135"/>
  <c r="DI135"/>
  <c r="BR135"/>
  <c r="BT135"/>
  <c r="CM135"/>
  <c r="Q135"/>
  <c r="DJ135"/>
  <c r="CZ135"/>
  <c r="BC135"/>
  <c r="AB135"/>
  <c r="AZ135"/>
  <c r="S135"/>
  <c r="AC135"/>
  <c r="AM135"/>
  <c r="AL135"/>
  <c r="DD135"/>
  <c r="G161" i="28"/>
  <c r="X135" i="11"/>
  <c r="DH135"/>
  <c r="DK135"/>
  <c r="CX135"/>
  <c r="AJ135"/>
  <c r="CJ179"/>
  <c r="BT179"/>
  <c r="AB179"/>
  <c r="AW179"/>
  <c r="AZ179"/>
  <c r="AX179"/>
  <c r="CO179"/>
  <c r="BS179"/>
  <c r="AY179"/>
  <c r="DM179"/>
  <c r="W179"/>
  <c r="BN179"/>
  <c r="CF179"/>
  <c r="CN179"/>
  <c r="R179"/>
  <c r="U179"/>
  <c r="AI179"/>
  <c r="O179"/>
  <c r="M227" i="28" s="1"/>
  <c r="G227"/>
  <c r="CV179" i="11"/>
  <c r="AA179"/>
  <c r="T179"/>
  <c r="AR179"/>
  <c r="AC179"/>
  <c r="AJ179"/>
  <c r="DE179"/>
  <c r="BC179"/>
  <c r="BK179"/>
  <c r="BX179"/>
  <c r="DF179"/>
  <c r="CR179"/>
  <c r="BO179"/>
  <c r="BY179"/>
  <c r="CX179"/>
  <c r="BM179"/>
  <c r="AO179"/>
  <c r="AM179"/>
  <c r="DG179"/>
  <c r="Q179"/>
  <c r="BW179"/>
  <c r="X179"/>
  <c r="AG179"/>
  <c r="CM179"/>
  <c r="BA179"/>
  <c r="CZ179"/>
  <c r="BQ179"/>
  <c r="Y179"/>
  <c r="CK179"/>
  <c r="DA179"/>
  <c r="CG179"/>
  <c r="DD179"/>
  <c r="CD179"/>
  <c r="CU179"/>
  <c r="CW179"/>
  <c r="BI179"/>
  <c r="CL179"/>
  <c r="CC179"/>
  <c r="BZ179"/>
  <c r="AH179"/>
  <c r="DH179"/>
  <c r="DI179"/>
  <c r="CE179"/>
  <c r="BP179"/>
  <c r="CA179"/>
  <c r="AN179"/>
  <c r="AE179"/>
  <c r="BG179"/>
  <c r="BF179"/>
  <c r="AU179"/>
  <c r="BH179"/>
  <c r="CP179"/>
  <c r="V179"/>
  <c r="CI179"/>
  <c r="AP179"/>
  <c r="AQ179"/>
  <c r="DJ179"/>
  <c r="AL179"/>
  <c r="BD179"/>
  <c r="DL179"/>
  <c r="BB179"/>
  <c r="BE179"/>
  <c r="BR179"/>
  <c r="AV179"/>
  <c r="BU179"/>
  <c r="CH179"/>
  <c r="BL179"/>
  <c r="DB179"/>
  <c r="DC179"/>
  <c r="Z179"/>
  <c r="AT179"/>
  <c r="CY179"/>
  <c r="CB179"/>
  <c r="S179"/>
  <c r="CQ179"/>
  <c r="BJ179"/>
  <c r="AS179"/>
  <c r="BV179"/>
  <c r="CT179"/>
  <c r="DK179"/>
  <c r="AD179"/>
  <c r="AF179"/>
  <c r="AK179"/>
  <c r="CS179"/>
  <c r="CV139"/>
  <c r="AK139"/>
  <c r="CQ139"/>
  <c r="DD139"/>
  <c r="CK139"/>
  <c r="AR139"/>
  <c r="DI139"/>
  <c r="AZ139"/>
  <c r="BB139"/>
  <c r="AU139"/>
  <c r="CM139"/>
  <c r="CO139"/>
  <c r="AT139"/>
  <c r="AJ139"/>
  <c r="U139"/>
  <c r="CC139"/>
  <c r="AL139"/>
  <c r="DJ139"/>
  <c r="DC139"/>
  <c r="CY139"/>
  <c r="AI139"/>
  <c r="AX139"/>
  <c r="BD139"/>
  <c r="BM139"/>
  <c r="DL139"/>
  <c r="BV139"/>
  <c r="CA139"/>
  <c r="BA139"/>
  <c r="CN139"/>
  <c r="AN139"/>
  <c r="BN139"/>
  <c r="CE139"/>
  <c r="CB139"/>
  <c r="BL139"/>
  <c r="CD139"/>
  <c r="AS139"/>
  <c r="CU139"/>
  <c r="AP139"/>
  <c r="CR139"/>
  <c r="AQ139"/>
  <c r="CW139"/>
  <c r="BC139"/>
  <c r="AO139"/>
  <c r="AF139"/>
  <c r="CL139"/>
  <c r="BY139"/>
  <c r="BO139"/>
  <c r="BP139"/>
  <c r="BZ139"/>
  <c r="AM139"/>
  <c r="AB139"/>
  <c r="BT139"/>
  <c r="Y139"/>
  <c r="CG139"/>
  <c r="AW139"/>
  <c r="CZ139"/>
  <c r="DA139"/>
  <c r="S139"/>
  <c r="O139"/>
  <c r="M165" i="28" s="1"/>
  <c r="BJ139" i="11"/>
  <c r="DF139"/>
  <c r="DE139"/>
  <c r="BW139"/>
  <c r="DB139"/>
  <c r="CX139"/>
  <c r="R139"/>
  <c r="AC139"/>
  <c r="Z139"/>
  <c r="AA139"/>
  <c r="BH139"/>
  <c r="BE139"/>
  <c r="DG139"/>
  <c r="BR139"/>
  <c r="Q139"/>
  <c r="BS139"/>
  <c r="DM139"/>
  <c r="AG139"/>
  <c r="AV139"/>
  <c r="DH139"/>
  <c r="AD139"/>
  <c r="CJ139"/>
  <c r="CT139"/>
  <c r="AY139"/>
  <c r="G165" i="28"/>
  <c r="AH139" i="11"/>
  <c r="CS139"/>
  <c r="CP139"/>
  <c r="X139"/>
  <c r="BU139"/>
  <c r="CI139"/>
  <c r="BK139"/>
  <c r="BX139"/>
  <c r="BQ139"/>
  <c r="BI139"/>
  <c r="BF139"/>
  <c r="AE139"/>
  <c r="DK139"/>
  <c r="CH139"/>
  <c r="CF139"/>
  <c r="V139"/>
  <c r="W139"/>
  <c r="T139"/>
  <c r="BG139"/>
  <c r="CG162"/>
  <c r="AS162"/>
  <c r="AE162"/>
  <c r="AJ162"/>
  <c r="O162"/>
  <c r="M188" i="28" s="1"/>
  <c r="CZ162" i="11"/>
  <c r="AP162"/>
  <c r="AC162"/>
  <c r="CD162"/>
  <c r="G188" i="28"/>
  <c r="U162" i="11"/>
  <c r="AN162"/>
  <c r="BY162"/>
  <c r="AR162"/>
  <c r="AO162"/>
  <c r="DF162"/>
  <c r="AI162"/>
  <c r="DA162"/>
  <c r="CP162"/>
  <c r="CC162"/>
  <c r="DL162"/>
  <c r="CV162"/>
  <c r="CY162"/>
  <c r="AH162"/>
  <c r="DI162"/>
  <c r="CJ162"/>
  <c r="CH162"/>
  <c r="AV162"/>
  <c r="BH162"/>
  <c r="AY162"/>
  <c r="DB162"/>
  <c r="BW162"/>
  <c r="CU162"/>
  <c r="W162"/>
  <c r="T162"/>
  <c r="Y162"/>
  <c r="BJ162"/>
  <c r="BL162"/>
  <c r="BK162"/>
  <c r="AM162"/>
  <c r="S162"/>
  <c r="BN162"/>
  <c r="Z162"/>
  <c r="AT162"/>
  <c r="BR162"/>
  <c r="Q162"/>
  <c r="BQ162"/>
  <c r="AX162"/>
  <c r="CM162"/>
  <c r="DK162"/>
  <c r="BC162"/>
  <c r="CO162"/>
  <c r="CA162"/>
  <c r="DE162"/>
  <c r="BB162"/>
  <c r="DD162"/>
  <c r="AD162"/>
  <c r="CF162"/>
  <c r="BV162"/>
  <c r="R162"/>
  <c r="BI162"/>
  <c r="CI162"/>
  <c r="CT162"/>
  <c r="BT162"/>
  <c r="CX162"/>
  <c r="AB162"/>
  <c r="AF162"/>
  <c r="BA162"/>
  <c r="BZ162"/>
  <c r="DC162"/>
  <c r="CQ162"/>
  <c r="AZ162"/>
  <c r="CW162"/>
  <c r="AA162"/>
  <c r="AW162"/>
  <c r="AK162"/>
  <c r="BD162"/>
  <c r="CS162"/>
  <c r="BE162"/>
  <c r="CL162"/>
  <c r="X162"/>
  <c r="CE162"/>
  <c r="DH162"/>
  <c r="BG162"/>
  <c r="BU162"/>
  <c r="AG162"/>
  <c r="AU162"/>
  <c r="BF162"/>
  <c r="CK162"/>
  <c r="DG162"/>
  <c r="AL162"/>
  <c r="BO162"/>
  <c r="CN162"/>
  <c r="CR162"/>
  <c r="DM162"/>
  <c r="AQ162"/>
  <c r="BP162"/>
  <c r="CB162"/>
  <c r="BS162"/>
  <c r="V162"/>
  <c r="BM162"/>
  <c r="DJ162"/>
  <c r="BX162"/>
  <c r="AA124"/>
  <c r="BH124"/>
  <c r="CZ124"/>
  <c r="CK124"/>
  <c r="DF124"/>
  <c r="AY124"/>
  <c r="DB124"/>
  <c r="AX124"/>
  <c r="AF124"/>
  <c r="BF124"/>
  <c r="G150" i="28"/>
  <c r="AT124" i="11"/>
  <c r="CW124"/>
  <c r="S124"/>
  <c r="AK124"/>
  <c r="BG124"/>
  <c r="BS124"/>
  <c r="BP124"/>
  <c r="BY124"/>
  <c r="BO124"/>
  <c r="Y124"/>
  <c r="AP124"/>
  <c r="BD124"/>
  <c r="CX124"/>
  <c r="DC124"/>
  <c r="CC124"/>
  <c r="AU124"/>
  <c r="BB124"/>
  <c r="AO124"/>
  <c r="AV124"/>
  <c r="Z124"/>
  <c r="AJ124"/>
  <c r="BV124"/>
  <c r="BT124"/>
  <c r="BJ124"/>
  <c r="BX124"/>
  <c r="CB124"/>
  <c r="CO124"/>
  <c r="CF124"/>
  <c r="CI124"/>
  <c r="DK124"/>
  <c r="BE124"/>
  <c r="CY124"/>
  <c r="DE124"/>
  <c r="CM124"/>
  <c r="CN124"/>
  <c r="CH124"/>
  <c r="AC124"/>
  <c r="T124"/>
  <c r="W124"/>
  <c r="X124"/>
  <c r="CT124"/>
  <c r="CG124"/>
  <c r="CU124"/>
  <c r="R124"/>
  <c r="O124"/>
  <c r="M150" i="28" s="1"/>
  <c r="DL124" i="11"/>
  <c r="BC124"/>
  <c r="BZ124"/>
  <c r="AL124"/>
  <c r="AQ124"/>
  <c r="AH124"/>
  <c r="DI124"/>
  <c r="DH124"/>
  <c r="BI124"/>
  <c r="AW124"/>
  <c r="Q124"/>
  <c r="DM124"/>
  <c r="DJ124"/>
  <c r="AB124"/>
  <c r="AN124"/>
  <c r="BA124"/>
  <c r="DG124"/>
  <c r="CA124"/>
  <c r="CR124"/>
  <c r="DA124"/>
  <c r="DD124"/>
  <c r="CQ124"/>
  <c r="CP124"/>
  <c r="CS124"/>
  <c r="AM124"/>
  <c r="AS124"/>
  <c r="BW124"/>
  <c r="BM124"/>
  <c r="BK124"/>
  <c r="BU124"/>
  <c r="AR124"/>
  <c r="AE124"/>
  <c r="AD124"/>
  <c r="AG124"/>
  <c r="BL124"/>
  <c r="BR124"/>
  <c r="CV124"/>
  <c r="CL124"/>
  <c r="CJ124"/>
  <c r="AZ124"/>
  <c r="CE124"/>
  <c r="BN124"/>
  <c r="BQ124"/>
  <c r="CD124"/>
  <c r="U124"/>
  <c r="AI124"/>
  <c r="V124"/>
  <c r="BA177"/>
  <c r="BI177"/>
  <c r="AA177"/>
  <c r="DI177"/>
  <c r="BK177"/>
  <c r="BZ177"/>
  <c r="AZ177"/>
  <c r="W177"/>
  <c r="BG177"/>
  <c r="AN177"/>
  <c r="BR177"/>
  <c r="CJ177"/>
  <c r="CR177"/>
  <c r="DK177"/>
  <c r="AY177"/>
  <c r="BS177"/>
  <c r="AB177"/>
  <c r="AV177"/>
  <c r="BB177"/>
  <c r="CT177"/>
  <c r="AI177"/>
  <c r="AP177"/>
  <c r="DM177"/>
  <c r="BP177"/>
  <c r="AC177"/>
  <c r="DA177"/>
  <c r="T177"/>
  <c r="DD177"/>
  <c r="BE177"/>
  <c r="CQ177"/>
  <c r="DH177"/>
  <c r="G225" i="28"/>
  <c r="CG177" i="11"/>
  <c r="AQ177"/>
  <c r="AU177"/>
  <c r="CC177"/>
  <c r="CO177"/>
  <c r="X177"/>
  <c r="CK177"/>
  <c r="AL177"/>
  <c r="AW177"/>
  <c r="CB177"/>
  <c r="R177"/>
  <c r="CY177"/>
  <c r="CH177"/>
  <c r="CV177"/>
  <c r="DE177"/>
  <c r="BO177"/>
  <c r="BH177"/>
  <c r="BF177"/>
  <c r="CI177"/>
  <c r="BD177"/>
  <c r="AD177"/>
  <c r="DL177"/>
  <c r="O177"/>
  <c r="M225" i="28" s="1"/>
  <c r="AX177" i="11"/>
  <c r="BQ177"/>
  <c r="Z177"/>
  <c r="DC177"/>
  <c r="CX177"/>
  <c r="CZ177"/>
  <c r="DJ177"/>
  <c r="AT177"/>
  <c r="CW177"/>
  <c r="S177"/>
  <c r="AJ177"/>
  <c r="AS177"/>
  <c r="CL177"/>
  <c r="CU177"/>
  <c r="CE177"/>
  <c r="BV177"/>
  <c r="DB177"/>
  <c r="BM177"/>
  <c r="CM177"/>
  <c r="BC177"/>
  <c r="BN177"/>
  <c r="AK177"/>
  <c r="AE177"/>
  <c r="BW177"/>
  <c r="V177"/>
  <c r="BT177"/>
  <c r="CS177"/>
  <c r="AR177"/>
  <c r="BX177"/>
  <c r="DF177"/>
  <c r="Y177"/>
  <c r="CP177"/>
  <c r="AF177"/>
  <c r="AO177"/>
  <c r="AM177"/>
  <c r="CA177"/>
  <c r="BJ177"/>
  <c r="CN177"/>
  <c r="Q177"/>
  <c r="U177"/>
  <c r="CD177"/>
  <c r="BL177"/>
  <c r="BU177"/>
  <c r="AH177"/>
  <c r="DG177"/>
  <c r="AG177"/>
  <c r="CF177"/>
  <c r="BY177"/>
  <c r="CC111"/>
  <c r="DL111"/>
  <c r="BT111"/>
  <c r="S111"/>
  <c r="BP111"/>
  <c r="AB111"/>
  <c r="AE111"/>
  <c r="CW111"/>
  <c r="CM111"/>
  <c r="CQ111"/>
  <c r="CN111"/>
  <c r="CK111"/>
  <c r="O111"/>
  <c r="M134" i="28" s="1"/>
  <c r="DE111" i="11"/>
  <c r="BX111"/>
  <c r="AQ111"/>
  <c r="BD111"/>
  <c r="BA111"/>
  <c r="AX111"/>
  <c r="BG111"/>
  <c r="AV111"/>
  <c r="AL111"/>
  <c r="BB111"/>
  <c r="BO111"/>
  <c r="BL111"/>
  <c r="CF111"/>
  <c r="CS111"/>
  <c r="CP111"/>
  <c r="CD111"/>
  <c r="BE111"/>
  <c r="AF111"/>
  <c r="DF111"/>
  <c r="CG111"/>
  <c r="BH111"/>
  <c r="AI111"/>
  <c r="DI111"/>
  <c r="CJ111"/>
  <c r="BK111"/>
  <c r="V111"/>
  <c r="CV111"/>
  <c r="BW111"/>
  <c r="AZ111"/>
  <c r="CX111"/>
  <c r="BM111"/>
  <c r="DK111"/>
  <c r="BJ111"/>
  <c r="DH111"/>
  <c r="AG111"/>
  <c r="BC111"/>
  <c r="BN111"/>
  <c r="DD111"/>
  <c r="CB111"/>
  <c r="BR111"/>
  <c r="BZ111"/>
  <c r="W111"/>
  <c r="Y111"/>
  <c r="Z111"/>
  <c r="CT111"/>
  <c r="CZ111"/>
  <c r="AC111"/>
  <c r="AP111"/>
  <c r="AM111"/>
  <c r="BU111"/>
  <c r="CA111"/>
  <c r="CO111"/>
  <c r="DB111"/>
  <c r="CY111"/>
  <c r="BQ111"/>
  <c r="AY111"/>
  <c r="DC111"/>
  <c r="Q111"/>
  <c r="DM111"/>
  <c r="DJ111"/>
  <c r="G134" i="28"/>
  <c r="AU111" i="11"/>
  <c r="AR111"/>
  <c r="AO111"/>
  <c r="R111"/>
  <c r="CR111"/>
  <c r="BS111"/>
  <c r="AT111"/>
  <c r="U111"/>
  <c r="CU111"/>
  <c r="BV111"/>
  <c r="AW111"/>
  <c r="X111"/>
  <c r="CH111"/>
  <c r="BI111"/>
  <c r="AJ111"/>
  <c r="AA111"/>
  <c r="BY111"/>
  <c r="AN111"/>
  <c r="CL111"/>
  <c r="AK111"/>
  <c r="CI111"/>
  <c r="AH111"/>
  <c r="AD111"/>
  <c r="T111"/>
  <c r="BF111"/>
  <c r="DA111"/>
  <c r="DG111"/>
  <c r="CE111"/>
  <c r="AS111"/>
  <c r="AJ117"/>
  <c r="BR117"/>
  <c r="AZ117"/>
  <c r="BX117"/>
  <c r="DI117"/>
  <c r="BU117"/>
  <c r="BQ117"/>
  <c r="DC117"/>
  <c r="AT117"/>
  <c r="O117"/>
  <c r="M143" i="28" s="1"/>
  <c r="DJ117" i="11"/>
  <c r="DE117"/>
  <c r="DK117"/>
  <c r="DA117"/>
  <c r="DG117"/>
  <c r="CJ117"/>
  <c r="BZ117"/>
  <c r="BG117"/>
  <c r="BM117"/>
  <c r="T117"/>
  <c r="BN117"/>
  <c r="BE117"/>
  <c r="W117"/>
  <c r="BC117"/>
  <c r="CR117"/>
  <c r="CA117"/>
  <c r="DH117"/>
  <c r="DD117"/>
  <c r="BP117"/>
  <c r="BJ117"/>
  <c r="Z117"/>
  <c r="Q117"/>
  <c r="BT117"/>
  <c r="BF117"/>
  <c r="CH117"/>
  <c r="DM117"/>
  <c r="CQ117"/>
  <c r="CT117"/>
  <c r="CW117"/>
  <c r="CZ117"/>
  <c r="CM117"/>
  <c r="CP117"/>
  <c r="CS117"/>
  <c r="DF117"/>
  <c r="CU117"/>
  <c r="BV117"/>
  <c r="BL117"/>
  <c r="CC117"/>
  <c r="CF117"/>
  <c r="CI117"/>
  <c r="CL117"/>
  <c r="BY117"/>
  <c r="CB117"/>
  <c r="CE117"/>
  <c r="BB117"/>
  <c r="AQ117"/>
  <c r="BS117"/>
  <c r="BO117"/>
  <c r="CX117"/>
  <c r="BK117"/>
  <c r="BD117"/>
  <c r="AM117"/>
  <c r="S117"/>
  <c r="DL117"/>
  <c r="CG117"/>
  <c r="AB117"/>
  <c r="CK117"/>
  <c r="AP117"/>
  <c r="AS117"/>
  <c r="AV117"/>
  <c r="AY117"/>
  <c r="AL117"/>
  <c r="AO117"/>
  <c r="AR117"/>
  <c r="AU117"/>
  <c r="CO117"/>
  <c r="CD117"/>
  <c r="BI117"/>
  <c r="CN117"/>
  <c r="AE117"/>
  <c r="AH117"/>
  <c r="AK117"/>
  <c r="AN117"/>
  <c r="AA117"/>
  <c r="AD117"/>
  <c r="AG117"/>
  <c r="BH117"/>
  <c r="AW117"/>
  <c r="AI117"/>
  <c r="V117"/>
  <c r="Y117"/>
  <c r="AX117"/>
  <c r="BA117"/>
  <c r="R117"/>
  <c r="U117"/>
  <c r="G143" i="28"/>
  <c r="X117" i="11"/>
  <c r="BW117"/>
  <c r="CV117"/>
  <c r="CY117"/>
  <c r="DB117"/>
  <c r="AC117"/>
  <c r="AF117"/>
  <c r="AX129"/>
  <c r="X129"/>
  <c r="BH129"/>
  <c r="CI129"/>
  <c r="CS129"/>
  <c r="BR129"/>
  <c r="AU129"/>
  <c r="BA129"/>
  <c r="CY129"/>
  <c r="BB129"/>
  <c r="R129"/>
  <c r="CO129"/>
  <c r="G155" i="28"/>
  <c r="BC129" i="11"/>
  <c r="DI129"/>
  <c r="CM129"/>
  <c r="AO129"/>
  <c r="BK129"/>
  <c r="BI129"/>
  <c r="BY129"/>
  <c r="DH129"/>
  <c r="BX129"/>
  <c r="V129"/>
  <c r="AQ129"/>
  <c r="CL129"/>
  <c r="Q129"/>
  <c r="CQ129"/>
  <c r="AV129"/>
  <c r="DB129"/>
  <c r="AJ129"/>
  <c r="CX129"/>
  <c r="BM129"/>
  <c r="AR129"/>
  <c r="BD129"/>
  <c r="S129"/>
  <c r="AC129"/>
  <c r="AP129"/>
  <c r="BJ129"/>
  <c r="CW129"/>
  <c r="U129"/>
  <c r="DL129"/>
  <c r="BW129"/>
  <c r="CH129"/>
  <c r="AW129"/>
  <c r="AF129"/>
  <c r="CT129"/>
  <c r="AT129"/>
  <c r="BP129"/>
  <c r="BG129"/>
  <c r="DE129"/>
  <c r="CE129"/>
  <c r="BN129"/>
  <c r="DF129"/>
  <c r="AE129"/>
  <c r="DC129"/>
  <c r="DG129"/>
  <c r="DM129"/>
  <c r="DJ129"/>
  <c r="BE129"/>
  <c r="CC129"/>
  <c r="AZ129"/>
  <c r="AI129"/>
  <c r="AB129"/>
  <c r="Y129"/>
  <c r="AK129"/>
  <c r="CF129"/>
  <c r="CV129"/>
  <c r="CN129"/>
  <c r="CK129"/>
  <c r="Z129"/>
  <c r="AS129"/>
  <c r="BU129"/>
  <c r="CA129"/>
  <c r="DD129"/>
  <c r="CR129"/>
  <c r="CP129"/>
  <c r="AA129"/>
  <c r="BO129"/>
  <c r="CD129"/>
  <c r="CJ129"/>
  <c r="W129"/>
  <c r="O129"/>
  <c r="CG129"/>
  <c r="BQ129"/>
  <c r="AN129"/>
  <c r="AH129"/>
  <c r="BV129"/>
  <c r="AY129"/>
  <c r="T129"/>
  <c r="BF129"/>
  <c r="BL129"/>
  <c r="AD129"/>
  <c r="CU129"/>
  <c r="AL129"/>
  <c r="BT129"/>
  <c r="BZ129"/>
  <c r="CB129"/>
  <c r="CZ129"/>
  <c r="DK129"/>
  <c r="AG129"/>
  <c r="AM129"/>
  <c r="DA129"/>
  <c r="BS129"/>
  <c r="Z126"/>
  <c r="CM126"/>
  <c r="DE126"/>
  <c r="AR126"/>
  <c r="AF126"/>
  <c r="BZ126"/>
  <c r="BG126"/>
  <c r="R126"/>
  <c r="BA126"/>
  <c r="AU126"/>
  <c r="CL126"/>
  <c r="AA126"/>
  <c r="AC126"/>
  <c r="DB126"/>
  <c r="CO126"/>
  <c r="AK126"/>
  <c r="AE126"/>
  <c r="AI126"/>
  <c r="CC126"/>
  <c r="AD126"/>
  <c r="BH126"/>
  <c r="DK126"/>
  <c r="CF126"/>
  <c r="BU126"/>
  <c r="DH126"/>
  <c r="AH126"/>
  <c r="CS126"/>
  <c r="V126"/>
  <c r="BQ126"/>
  <c r="X126"/>
  <c r="BJ126"/>
  <c r="S126"/>
  <c r="DA126"/>
  <c r="G152" i="28"/>
  <c r="CH126" i="11"/>
  <c r="AV126"/>
  <c r="T126"/>
  <c r="BK126"/>
  <c r="O126"/>
  <c r="M152" i="28" s="1"/>
  <c r="BD126" i="11"/>
  <c r="Y126"/>
  <c r="CA126"/>
  <c r="AL126"/>
  <c r="CN126"/>
  <c r="AM126"/>
  <c r="CG126"/>
  <c r="AJ126"/>
  <c r="AZ126"/>
  <c r="BC126"/>
  <c r="BB126"/>
  <c r="AO126"/>
  <c r="BE126"/>
  <c r="DG126"/>
  <c r="BR126"/>
  <c r="Q126"/>
  <c r="BS126"/>
  <c r="DM126"/>
  <c r="BP126"/>
  <c r="CK126"/>
  <c r="AN126"/>
  <c r="CX126"/>
  <c r="AW126"/>
  <c r="CY126"/>
  <c r="AT126"/>
  <c r="DL126"/>
  <c r="CV126"/>
  <c r="BT126"/>
  <c r="CB126"/>
  <c r="CT126"/>
  <c r="CI126"/>
  <c r="BX126"/>
  <c r="AY126"/>
  <c r="BM126"/>
  <c r="AX126"/>
  <c r="CZ126"/>
  <c r="BO126"/>
  <c r="DI126"/>
  <c r="BL126"/>
  <c r="DF126"/>
  <c r="BF126"/>
  <c r="AG126"/>
  <c r="W126"/>
  <c r="CW126"/>
  <c r="DD126"/>
  <c r="CQ126"/>
  <c r="CD126"/>
  <c r="AS126"/>
  <c r="CU126"/>
  <c r="AP126"/>
  <c r="CR126"/>
  <c r="AQ126"/>
  <c r="BI126"/>
  <c r="CJ126"/>
  <c r="DJ126"/>
  <c r="BY126"/>
  <c r="AB126"/>
  <c r="BV126"/>
  <c r="U126"/>
  <c r="BW126"/>
  <c r="CP126"/>
  <c r="DC126"/>
  <c r="CE126"/>
  <c r="BN126"/>
  <c r="BA155"/>
  <c r="BM155"/>
  <c r="CC155"/>
  <c r="CA155"/>
  <c r="BG155"/>
  <c r="X155"/>
  <c r="AP155"/>
  <c r="DL155"/>
  <c r="AQ155"/>
  <c r="W155"/>
  <c r="BS155"/>
  <c r="BX155"/>
  <c r="CF155"/>
  <c r="BY155"/>
  <c r="CX155"/>
  <c r="AD155"/>
  <c r="BL155"/>
  <c r="O155"/>
  <c r="BZ155"/>
  <c r="Y155"/>
  <c r="BC155"/>
  <c r="BE155"/>
  <c r="CE155"/>
  <c r="G181" i="28"/>
  <c r="BI155" i="11"/>
  <c r="DA155"/>
  <c r="AI155"/>
  <c r="DD155"/>
  <c r="BU155"/>
  <c r="BK155"/>
  <c r="AH155"/>
  <c r="CO155"/>
  <c r="CM155"/>
  <c r="BJ155"/>
  <c r="AJ155"/>
  <c r="CY155"/>
  <c r="BV155"/>
  <c r="AV155"/>
  <c r="AW155"/>
  <c r="CN155"/>
  <c r="AU155"/>
  <c r="AC155"/>
  <c r="AT155"/>
  <c r="CI155"/>
  <c r="AF155"/>
  <c r="CL155"/>
  <c r="DC155"/>
  <c r="AS155"/>
  <c r="CR155"/>
  <c r="DF155"/>
  <c r="DG155"/>
  <c r="BQ155"/>
  <c r="DB155"/>
  <c r="BP155"/>
  <c r="Q155"/>
  <c r="BN155"/>
  <c r="DE155"/>
  <c r="BO155"/>
  <c r="CH155"/>
  <c r="V155"/>
  <c r="CD155"/>
  <c r="AE155"/>
  <c r="AB155"/>
  <c r="CZ155"/>
  <c r="DJ155"/>
  <c r="CW155"/>
  <c r="CU155"/>
  <c r="BR155"/>
  <c r="AR155"/>
  <c r="AG155"/>
  <c r="CT155"/>
  <c r="BT155"/>
  <c r="AK155"/>
  <c r="AA155"/>
  <c r="CV155"/>
  <c r="AO155"/>
  <c r="AM155"/>
  <c r="DH155"/>
  <c r="CK155"/>
  <c r="S155"/>
  <c r="DM155"/>
  <c r="R155"/>
  <c r="BW155"/>
  <c r="T155"/>
  <c r="BF155"/>
  <c r="DI155"/>
  <c r="AZ155"/>
  <c r="AX155"/>
  <c r="AY155"/>
  <c r="CG155"/>
  <c r="BD155"/>
  <c r="BB155"/>
  <c r="CB155"/>
  <c r="U155"/>
  <c r="CP155"/>
  <c r="AN155"/>
  <c r="CQ155"/>
  <c r="AL155"/>
  <c r="DK155"/>
  <c r="CS155"/>
  <c r="CJ155"/>
  <c r="BH155"/>
  <c r="Z155"/>
  <c r="CF137"/>
  <c r="CI137"/>
  <c r="AZ137"/>
  <c r="BC137"/>
  <c r="BB137"/>
  <c r="AO137"/>
  <c r="BL137"/>
  <c r="BO137"/>
  <c r="AX137"/>
  <c r="BA137"/>
  <c r="BH137"/>
  <c r="AU137"/>
  <c r="BG137"/>
  <c r="X137"/>
  <c r="AK137"/>
  <c r="AR137"/>
  <c r="AE137"/>
  <c r="AT137"/>
  <c r="AW137"/>
  <c r="AN137"/>
  <c r="AQ137"/>
  <c r="AP137"/>
  <c r="AS137"/>
  <c r="DK137"/>
  <c r="O137"/>
  <c r="S137"/>
  <c r="U137"/>
  <c r="DJ137"/>
  <c r="Q137"/>
  <c r="BF137"/>
  <c r="BQ137"/>
  <c r="Z137"/>
  <c r="AJ137"/>
  <c r="AL137"/>
  <c r="AF137"/>
  <c r="R137"/>
  <c r="V137"/>
  <c r="BJ137"/>
  <c r="BD137"/>
  <c r="BV137"/>
  <c r="BP137"/>
  <c r="BR137"/>
  <c r="BX137"/>
  <c r="BN137"/>
  <c r="CG137"/>
  <c r="W137"/>
  <c r="CN137"/>
  <c r="CT137"/>
  <c r="AV137"/>
  <c r="AH137"/>
  <c r="CW137"/>
  <c r="DD137"/>
  <c r="CQ137"/>
  <c r="DF137"/>
  <c r="DI137"/>
  <c r="CZ137"/>
  <c r="DC137"/>
  <c r="DB137"/>
  <c r="DE137"/>
  <c r="BI137"/>
  <c r="BU137"/>
  <c r="CM137"/>
  <c r="CL137"/>
  <c r="CO137"/>
  <c r="CV137"/>
  <c r="CY137"/>
  <c r="CX137"/>
  <c r="CK137"/>
  <c r="CR137"/>
  <c r="CU137"/>
  <c r="CD137"/>
  <c r="DL137"/>
  <c r="DA137"/>
  <c r="AB137"/>
  <c r="DM137"/>
  <c r="DG137"/>
  <c r="BK137"/>
  <c r="AA137"/>
  <c r="AC137"/>
  <c r="AM137"/>
  <c r="Y137"/>
  <c r="AI137"/>
  <c r="DH137"/>
  <c r="T137"/>
  <c r="BM137"/>
  <c r="BW137"/>
  <c r="BY137"/>
  <c r="BS137"/>
  <c r="BE137"/>
  <c r="CS137"/>
  <c r="BZ137"/>
  <c r="CC137"/>
  <c r="CB137"/>
  <c r="BT137"/>
  <c r="CE137"/>
  <c r="AY137"/>
  <c r="CP137"/>
  <c r="AD137"/>
  <c r="CA137"/>
  <c r="AG137"/>
  <c r="CJ137"/>
  <c r="CH137"/>
  <c r="G163" i="28"/>
  <c r="G222"/>
  <c r="DB174" i="11"/>
  <c r="AE174"/>
  <c r="AQ174"/>
  <c r="AF174"/>
  <c r="AI174"/>
  <c r="Z174"/>
  <c r="CZ174"/>
  <c r="CA174"/>
  <c r="AL174"/>
  <c r="DL174"/>
  <c r="CM174"/>
  <c r="BN174"/>
  <c r="AO174"/>
  <c r="O174"/>
  <c r="M222" i="28" s="1"/>
  <c r="CP174" i="11"/>
  <c r="BQ174"/>
  <c r="AR174"/>
  <c r="S174"/>
  <c r="BD174"/>
  <c r="BP174"/>
  <c r="DF174"/>
  <c r="BV174"/>
  <c r="AW174"/>
  <c r="X174"/>
  <c r="CH174"/>
  <c r="BI174"/>
  <c r="AJ174"/>
  <c r="DJ174"/>
  <c r="CK174"/>
  <c r="BL174"/>
  <c r="AM174"/>
  <c r="DM174"/>
  <c r="CN174"/>
  <c r="BO174"/>
  <c r="CQ174"/>
  <c r="DC174"/>
  <c r="AT174"/>
  <c r="BF174"/>
  <c r="AG174"/>
  <c r="DG174"/>
  <c r="BR174"/>
  <c r="AS174"/>
  <c r="T174"/>
  <c r="CT174"/>
  <c r="BU174"/>
  <c r="AV174"/>
  <c r="W174"/>
  <c r="CW174"/>
  <c r="BX174"/>
  <c r="AY174"/>
  <c r="BS174"/>
  <c r="Q174"/>
  <c r="AC174"/>
  <c r="BE174"/>
  <c r="CG174"/>
  <c r="CL174"/>
  <c r="BM174"/>
  <c r="AN174"/>
  <c r="CX174"/>
  <c r="BY174"/>
  <c r="AZ174"/>
  <c r="AA174"/>
  <c r="DA174"/>
  <c r="CB174"/>
  <c r="BC174"/>
  <c r="AD174"/>
  <c r="DD174"/>
  <c r="CE174"/>
  <c r="AP174"/>
  <c r="BB174"/>
  <c r="R174"/>
  <c r="BH174"/>
  <c r="DI174"/>
  <c r="CJ174"/>
  <c r="BK174"/>
  <c r="V174"/>
  <c r="CV174"/>
  <c r="BW174"/>
  <c r="AX174"/>
  <c r="Y174"/>
  <c r="CY174"/>
  <c r="BZ174"/>
  <c r="BA174"/>
  <c r="AB174"/>
  <c r="CC174"/>
  <c r="CO174"/>
  <c r="CR174"/>
  <c r="CU174"/>
  <c r="CS174"/>
  <c r="BT174"/>
  <c r="AU174"/>
  <c r="DE174"/>
  <c r="CF174"/>
  <c r="BG174"/>
  <c r="AH174"/>
  <c r="DH174"/>
  <c r="CI174"/>
  <c r="BJ174"/>
  <c r="AK174"/>
  <c r="DK174"/>
  <c r="CD174"/>
  <c r="U174"/>
  <c r="CZ112"/>
  <c r="AR112"/>
  <c r="CV112"/>
  <c r="AL112"/>
  <c r="BZ112"/>
  <c r="AO112"/>
  <c r="DI112"/>
  <c r="DC112"/>
  <c r="CJ112"/>
  <c r="CM112"/>
  <c r="BW112"/>
  <c r="DF112"/>
  <c r="CA112"/>
  <c r="BN112"/>
  <c r="S112"/>
  <c r="BE112"/>
  <c r="CY112"/>
  <c r="BV112"/>
  <c r="CK112"/>
  <c r="AJ112"/>
  <c r="BL112"/>
  <c r="BO112"/>
  <c r="DM112"/>
  <c r="Q112"/>
  <c r="CP112"/>
  <c r="Z112"/>
  <c r="DL112"/>
  <c r="O112"/>
  <c r="M135" i="28" s="1"/>
  <c r="BQ112" i="11"/>
  <c r="BB112"/>
  <c r="BH112"/>
  <c r="AW112"/>
  <c r="BI112"/>
  <c r="CN112"/>
  <c r="AM112"/>
  <c r="CH112"/>
  <c r="BS112"/>
  <c r="BP112"/>
  <c r="CC112"/>
  <c r="BX112"/>
  <c r="W112"/>
  <c r="BU112"/>
  <c r="T112"/>
  <c r="BR112"/>
  <c r="AG112"/>
  <c r="BK112"/>
  <c r="BA112"/>
  <c r="Y112"/>
  <c r="CG112"/>
  <c r="CD112"/>
  <c r="CQ112"/>
  <c r="CE112"/>
  <c r="AD112"/>
  <c r="CB112"/>
  <c r="AA112"/>
  <c r="BY112"/>
  <c r="AN112"/>
  <c r="CL112"/>
  <c r="AT112"/>
  <c r="AQ112"/>
  <c r="BD112"/>
  <c r="DK112"/>
  <c r="BJ112"/>
  <c r="DH112"/>
  <c r="BG112"/>
  <c r="DE112"/>
  <c r="BT112"/>
  <c r="X112"/>
  <c r="U112"/>
  <c r="R112"/>
  <c r="AE112"/>
  <c r="AY112"/>
  <c r="CW112"/>
  <c r="AV112"/>
  <c r="CT112"/>
  <c r="AS112"/>
  <c r="DG112"/>
  <c r="BF112"/>
  <c r="AX112"/>
  <c r="V112"/>
  <c r="AB112"/>
  <c r="AI112"/>
  <c r="AF112"/>
  <c r="AC112"/>
  <c r="AP112"/>
  <c r="DD112"/>
  <c r="BC112"/>
  <c r="DA112"/>
  <c r="AZ112"/>
  <c r="CX112"/>
  <c r="BM112"/>
  <c r="DJ112"/>
  <c r="CU112"/>
  <c r="CR112"/>
  <c r="CO112"/>
  <c r="DB112"/>
  <c r="AK112"/>
  <c r="CI112"/>
  <c r="AH112"/>
  <c r="CF112"/>
  <c r="AU112"/>
  <c r="CS112"/>
  <c r="G135" i="28"/>
  <c r="BY131" i="11"/>
  <c r="BN131"/>
  <c r="BC131"/>
  <c r="CE131"/>
  <c r="Y131"/>
  <c r="CS131"/>
  <c r="CV131"/>
  <c r="AM131"/>
  <c r="AV131"/>
  <c r="AP131"/>
  <c r="T131"/>
  <c r="DE131"/>
  <c r="AR131"/>
  <c r="W131"/>
  <c r="CL131"/>
  <c r="AA131"/>
  <c r="CG131"/>
  <c r="CI131"/>
  <c r="AT131"/>
  <c r="AK131"/>
  <c r="BT131"/>
  <c r="BH131"/>
  <c r="CX131"/>
  <c r="CP131"/>
  <c r="AH131"/>
  <c r="CJ131"/>
  <c r="V131"/>
  <c r="BM131"/>
  <c r="BJ131"/>
  <c r="AB131"/>
  <c r="CD131"/>
  <c r="BQ131"/>
  <c r="CR131"/>
  <c r="BX131"/>
  <c r="Q131"/>
  <c r="BS131"/>
  <c r="BV131"/>
  <c r="AW131"/>
  <c r="DH131"/>
  <c r="CK131"/>
  <c r="BB131"/>
  <c r="DL131"/>
  <c r="CO131"/>
  <c r="R131"/>
  <c r="BI131"/>
  <c r="AG131"/>
  <c r="DK131"/>
  <c r="BR131"/>
  <c r="BP131"/>
  <c r="Z131"/>
  <c r="BZ131"/>
  <c r="DG131"/>
  <c r="CM131"/>
  <c r="BL131"/>
  <c r="BO131"/>
  <c r="DM131"/>
  <c r="CH131"/>
  <c r="CZ131"/>
  <c r="CC131"/>
  <c r="CF131"/>
  <c r="AN131"/>
  <c r="BK131"/>
  <c r="BE131"/>
  <c r="AU131"/>
  <c r="AY131"/>
  <c r="CQ131"/>
  <c r="AO131"/>
  <c r="BU131"/>
  <c r="AI131"/>
  <c r="AC131"/>
  <c r="AX131"/>
  <c r="DB131"/>
  <c r="DA131"/>
  <c r="BW131"/>
  <c r="AZ131"/>
  <c r="AF131"/>
  <c r="CA131"/>
  <c r="BD131"/>
  <c r="O131"/>
  <c r="M157" i="28" s="1"/>
  <c r="CN131" i="11"/>
  <c r="AJ131"/>
  <c r="AQ131"/>
  <c r="DD131"/>
  <c r="AL131"/>
  <c r="AS131"/>
  <c r="U131"/>
  <c r="CY131"/>
  <c r="BF131"/>
  <c r="X131"/>
  <c r="DF131"/>
  <c r="CU131"/>
  <c r="DC131"/>
  <c r="BA131"/>
  <c r="AD131"/>
  <c r="CB131"/>
  <c r="DJ131"/>
  <c r="AE131"/>
  <c r="CT131"/>
  <c r="DI131"/>
  <c r="S131"/>
  <c r="BG131"/>
  <c r="G157" i="28"/>
  <c r="CW131" i="11"/>
  <c r="AG107"/>
  <c r="AA107"/>
  <c r="AT107"/>
  <c r="BZ107"/>
  <c r="CN107"/>
  <c r="Y107"/>
  <c r="CT107"/>
  <c r="DH107"/>
  <c r="CV107"/>
  <c r="DB107"/>
  <c r="W107"/>
  <c r="BX107"/>
  <c r="V107"/>
  <c r="BK107"/>
  <c r="DL107"/>
  <c r="BJ107"/>
  <c r="BA107"/>
  <c r="AX107"/>
  <c r="BO107"/>
  <c r="BL107"/>
  <c r="R107"/>
  <c r="O107"/>
  <c r="M126" i="28" s="1"/>
  <c r="CL107" i="11"/>
  <c r="AR107"/>
  <c r="CO107"/>
  <c r="AE107"/>
  <c r="CF107"/>
  <c r="AD107"/>
  <c r="BP107"/>
  <c r="BY107"/>
  <c r="BV107"/>
  <c r="BT107"/>
  <c r="CB107"/>
  <c r="Z107"/>
  <c r="CE107"/>
  <c r="AC107"/>
  <c r="BN107"/>
  <c r="T107"/>
  <c r="BQ107"/>
  <c r="CK107"/>
  <c r="CX107"/>
  <c r="CY107"/>
  <c r="AZ107"/>
  <c r="BF107"/>
  <c r="CA107"/>
  <c r="BU107"/>
  <c r="CI107"/>
  <c r="X107"/>
  <c r="AM107"/>
  <c r="CW107"/>
  <c r="DK107"/>
  <c r="G126" i="28"/>
  <c r="DE107" i="11"/>
  <c r="AV107"/>
  <c r="CS107"/>
  <c r="AY107"/>
  <c r="CJ107"/>
  <c r="AH107"/>
  <c r="CM107"/>
  <c r="AK107"/>
  <c r="DC107"/>
  <c r="CZ107"/>
  <c r="DI107"/>
  <c r="U107"/>
  <c r="AI107"/>
  <c r="BM107"/>
  <c r="S107"/>
  <c r="BD107"/>
  <c r="DA107"/>
  <c r="BG107"/>
  <c r="DM107"/>
  <c r="DJ107"/>
  <c r="AB107"/>
  <c r="BW107"/>
  <c r="CC107"/>
  <c r="BC107"/>
  <c r="DD107"/>
  <c r="BB107"/>
  <c r="CQ107"/>
  <c r="AO107"/>
  <c r="CP107"/>
  <c r="AQ107"/>
  <c r="AN107"/>
  <c r="AW107"/>
  <c r="AL107"/>
  <c r="BI107"/>
  <c r="BH107"/>
  <c r="CH107"/>
  <c r="AU107"/>
  <c r="Q107"/>
  <c r="DF107"/>
  <c r="AP107"/>
  <c r="CU107"/>
  <c r="CG107"/>
  <c r="BR107"/>
  <c r="AS107"/>
  <c r="DG107"/>
  <c r="AF107"/>
  <c r="CR107"/>
  <c r="CD107"/>
  <c r="BS107"/>
  <c r="BE107"/>
  <c r="AJ107"/>
  <c r="V99"/>
  <c r="CE99"/>
  <c r="AU99"/>
  <c r="BK99"/>
  <c r="BX99"/>
  <c r="T99"/>
  <c r="BI99"/>
  <c r="DI99"/>
  <c r="BO99"/>
  <c r="CW99"/>
  <c r="CV99"/>
  <c r="CK99"/>
  <c r="AB99"/>
  <c r="CS99"/>
  <c r="CY99"/>
  <c r="AD99"/>
  <c r="CP99"/>
  <c r="AN99"/>
  <c r="BG99"/>
  <c r="CO99"/>
  <c r="BE99"/>
  <c r="W99"/>
  <c r="CJ99"/>
  <c r="CT99"/>
  <c r="CZ99"/>
  <c r="BA99"/>
  <c r="AS99"/>
  <c r="BL99"/>
  <c r="BZ99"/>
  <c r="AV99"/>
  <c r="BY99"/>
  <c r="BQ99"/>
  <c r="CN99"/>
  <c r="DC99"/>
  <c r="BS99"/>
  <c r="AL99"/>
  <c r="X99"/>
  <c r="BR99"/>
  <c r="DG99"/>
  <c r="Y99"/>
  <c r="Q99"/>
  <c r="BF99"/>
  <c r="AX99"/>
  <c r="BP99"/>
  <c r="AP99"/>
  <c r="DE99"/>
  <c r="BW99"/>
  <c r="Z99"/>
  <c r="AM99"/>
  <c r="BH99"/>
  <c r="BU99"/>
  <c r="BM99"/>
  <c r="DB99"/>
  <c r="CB99"/>
  <c r="G93" i="28"/>
  <c r="BD99" i="11"/>
  <c r="O99"/>
  <c r="AH99"/>
  <c r="CC99"/>
  <c r="R99"/>
  <c r="DA99"/>
  <c r="AK99"/>
  <c r="AQ99"/>
  <c r="AG99"/>
  <c r="CU99"/>
  <c r="AE99"/>
  <c r="AA99"/>
  <c r="CD99"/>
  <c r="DK99"/>
  <c r="AJ99"/>
  <c r="S99"/>
  <c r="CF99"/>
  <c r="CA99"/>
  <c r="AT99"/>
  <c r="CM99"/>
  <c r="AO99"/>
  <c r="BB99"/>
  <c r="CQ99"/>
  <c r="CI99"/>
  <c r="CR99"/>
  <c r="U99"/>
  <c r="AZ99"/>
  <c r="DH99"/>
  <c r="DM99"/>
  <c r="BJ99"/>
  <c r="BC99"/>
  <c r="BT99"/>
  <c r="DF99"/>
  <c r="CX99"/>
  <c r="AF99"/>
  <c r="AI99"/>
  <c r="AW99"/>
  <c r="DJ99"/>
  <c r="AY99"/>
  <c r="AR99"/>
  <c r="CG99"/>
  <c r="BV99"/>
  <c r="AC99"/>
  <c r="DD99"/>
  <c r="BN99"/>
  <c r="CL99"/>
  <c r="CH99"/>
  <c r="DL99"/>
  <c r="CI153"/>
  <c r="BF153"/>
  <c r="AG153"/>
  <c r="DK153"/>
  <c r="DL153"/>
  <c r="BI153"/>
  <c r="Q153"/>
  <c r="BG153"/>
  <c r="DJ153"/>
  <c r="DH153"/>
  <c r="AL153"/>
  <c r="U153"/>
  <c r="X153"/>
  <c r="BX153"/>
  <c r="AW153"/>
  <c r="CJ153"/>
  <c r="CP153"/>
  <c r="CK153"/>
  <c r="BP153"/>
  <c r="BU153"/>
  <c r="AR153"/>
  <c r="BR153"/>
  <c r="CU153"/>
  <c r="BT153"/>
  <c r="BB153"/>
  <c r="AD153"/>
  <c r="DI153"/>
  <c r="CZ153"/>
  <c r="Z153"/>
  <c r="CA153"/>
  <c r="CE153"/>
  <c r="DM153"/>
  <c r="AT153"/>
  <c r="AC153"/>
  <c r="BS153"/>
  <c r="AU153"/>
  <c r="DA153"/>
  <c r="AV153"/>
  <c r="DC153"/>
  <c r="BH153"/>
  <c r="BW153"/>
  <c r="AQ153"/>
  <c r="Y153"/>
  <c r="BA153"/>
  <c r="AF153"/>
  <c r="CB153"/>
  <c r="BE153"/>
  <c r="BD153"/>
  <c r="BV153"/>
  <c r="BJ153"/>
  <c r="AH153"/>
  <c r="DF153"/>
  <c r="AM153"/>
  <c r="CT153"/>
  <c r="CO153"/>
  <c r="DE153"/>
  <c r="AK153"/>
  <c r="AB153"/>
  <c r="CQ153"/>
  <c r="BK153"/>
  <c r="V153"/>
  <c r="BY153"/>
  <c r="O153"/>
  <c r="M179" i="28" s="1"/>
  <c r="S153" i="11"/>
  <c r="CY153"/>
  <c r="DG153"/>
  <c r="BZ153"/>
  <c r="CR153"/>
  <c r="DB153"/>
  <c r="CS153"/>
  <c r="BN153"/>
  <c r="AY153"/>
  <c r="CF153"/>
  <c r="BQ153"/>
  <c r="AJ153"/>
  <c r="CV153"/>
  <c r="CG153"/>
  <c r="W153"/>
  <c r="DD153"/>
  <c r="BO153"/>
  <c r="AZ153"/>
  <c r="BC153"/>
  <c r="CC153"/>
  <c r="AO153"/>
  <c r="AI153"/>
  <c r="AS153"/>
  <c r="AA153"/>
  <c r="CM153"/>
  <c r="CL153"/>
  <c r="T153"/>
  <c r="CD153"/>
  <c r="CN153"/>
  <c r="AN153"/>
  <c r="BM153"/>
  <c r="BL153"/>
  <c r="AE153"/>
  <c r="CW153"/>
  <c r="R153"/>
  <c r="CH153"/>
  <c r="AX153"/>
  <c r="AP153"/>
  <c r="G179" i="28"/>
  <c r="CX153" i="11"/>
  <c r="CD152"/>
  <c r="CG152"/>
  <c r="G178" i="28"/>
  <c r="AJ152" i="11"/>
  <c r="BL152"/>
  <c r="BR152"/>
  <c r="DF152"/>
  <c r="CU152"/>
  <c r="AM152"/>
  <c r="AS152"/>
  <c r="BE152"/>
  <c r="DI152"/>
  <c r="DG152"/>
  <c r="AL152"/>
  <c r="CA152"/>
  <c r="Y152"/>
  <c r="BZ152"/>
  <c r="AF152"/>
  <c r="CC152"/>
  <c r="BH152"/>
  <c r="DE152"/>
  <c r="AU152"/>
  <c r="CV152"/>
  <c r="AT152"/>
  <c r="CY152"/>
  <c r="AW152"/>
  <c r="CX152"/>
  <c r="AN152"/>
  <c r="CK152"/>
  <c r="AQ152"/>
  <c r="CR152"/>
  <c r="AP152"/>
  <c r="BX152"/>
  <c r="V152"/>
  <c r="BK152"/>
  <c r="DL152"/>
  <c r="BJ152"/>
  <c r="O152"/>
  <c r="M178" i="28" s="1"/>
  <c r="CL152" i="11"/>
  <c r="AR152"/>
  <c r="CO152"/>
  <c r="DA152"/>
  <c r="BG152"/>
  <c r="CI152"/>
  <c r="DD152"/>
  <c r="BB152"/>
  <c r="BN152"/>
  <c r="CP152"/>
  <c r="CS152"/>
  <c r="AD152"/>
  <c r="CQ152"/>
  <c r="BQ152"/>
  <c r="CN152"/>
  <c r="CH152"/>
  <c r="X152"/>
  <c r="BU152"/>
  <c r="AA152"/>
  <c r="CB152"/>
  <c r="Z152"/>
  <c r="BO152"/>
  <c r="CZ152"/>
  <c r="AX152"/>
  <c r="DC152"/>
  <c r="BA152"/>
  <c r="DB152"/>
  <c r="AI152"/>
  <c r="BT152"/>
  <c r="R152"/>
  <c r="BW152"/>
  <c r="U152"/>
  <c r="BV152"/>
  <c r="AB152"/>
  <c r="BY152"/>
  <c r="DJ152"/>
  <c r="BP152"/>
  <c r="DM152"/>
  <c r="BS152"/>
  <c r="Q152"/>
  <c r="AY152"/>
  <c r="CJ152"/>
  <c r="AH152"/>
  <c r="CM152"/>
  <c r="AK152"/>
  <c r="BM152"/>
  <c r="S152"/>
  <c r="BD152"/>
  <c r="CF152"/>
  <c r="DH152"/>
  <c r="AG152"/>
  <c r="CE152"/>
  <c r="AC152"/>
  <c r="AO152"/>
  <c r="AV152"/>
  <c r="AE152"/>
  <c r="BF152"/>
  <c r="T152"/>
  <c r="W152"/>
  <c r="DK152"/>
  <c r="BI152"/>
  <c r="CT152"/>
  <c r="AZ152"/>
  <c r="CW152"/>
  <c r="BC152"/>
  <c r="CX185"/>
  <c r="BW185"/>
  <c r="DC185"/>
  <c r="BR185"/>
  <c r="T185"/>
  <c r="CM185"/>
  <c r="BC185"/>
  <c r="AR185"/>
  <c r="BI185"/>
  <c r="BL185"/>
  <c r="BX185"/>
  <c r="AT185"/>
  <c r="DE185"/>
  <c r="BP185"/>
  <c r="DH185"/>
  <c r="BM185"/>
  <c r="BQ185"/>
  <c r="DK185"/>
  <c r="BY185"/>
  <c r="S185"/>
  <c r="G233" i="28"/>
  <c r="BO185" i="11"/>
  <c r="AI185"/>
  <c r="BK185"/>
  <c r="AH185"/>
  <c r="DB185"/>
  <c r="AJ185"/>
  <c r="CW185"/>
  <c r="AW185"/>
  <c r="CR185"/>
  <c r="CA185"/>
  <c r="CC185"/>
  <c r="BG185"/>
  <c r="BJ185"/>
  <c r="CU185"/>
  <c r="X185"/>
  <c r="BF185"/>
  <c r="O185"/>
  <c r="M233" i="28" s="1"/>
  <c r="DM185" i="11"/>
  <c r="CO185"/>
  <c r="AU185"/>
  <c r="BD185"/>
  <c r="AQ185"/>
  <c r="AO185"/>
  <c r="Y185"/>
  <c r="BN185"/>
  <c r="CB185"/>
  <c r="R185"/>
  <c r="CP185"/>
  <c r="DG185"/>
  <c r="DL185"/>
  <c r="AB185"/>
  <c r="DD185"/>
  <c r="AP185"/>
  <c r="BB185"/>
  <c r="CQ185"/>
  <c r="AS185"/>
  <c r="CD185"/>
  <c r="CL185"/>
  <c r="U185"/>
  <c r="AD185"/>
  <c r="CS185"/>
  <c r="AG185"/>
  <c r="AY185"/>
  <c r="BS185"/>
  <c r="CF185"/>
  <c r="CT185"/>
  <c r="BU185"/>
  <c r="AZ185"/>
  <c r="AV185"/>
  <c r="AN185"/>
  <c r="DJ185"/>
  <c r="BH185"/>
  <c r="BE185"/>
  <c r="Q185"/>
  <c r="AC185"/>
  <c r="DI185"/>
  <c r="BZ185"/>
  <c r="CV185"/>
  <c r="CE185"/>
  <c r="AE185"/>
  <c r="CG185"/>
  <c r="AX185"/>
  <c r="BA185"/>
  <c r="Z185"/>
  <c r="CH185"/>
  <c r="V185"/>
  <c r="CN185"/>
  <c r="W185"/>
  <c r="CI185"/>
  <c r="AK185"/>
  <c r="DA185"/>
  <c r="AF185"/>
  <c r="CK185"/>
  <c r="CZ185"/>
  <c r="AM185"/>
  <c r="AA185"/>
  <c r="CJ185"/>
  <c r="BV185"/>
  <c r="AL185"/>
  <c r="BT185"/>
  <c r="CY185"/>
  <c r="DF185"/>
  <c r="I23" i="13" l="1"/>
  <c r="H27" i="14"/>
  <c r="H17"/>
  <c r="I140" i="20"/>
  <c r="AG190" i="28"/>
  <c r="O140" i="20"/>
  <c r="AM190" i="28"/>
  <c r="AI190"/>
  <c r="K140" i="20"/>
  <c r="M140"/>
  <c r="AK190" i="28"/>
  <c r="O23" i="13"/>
  <c r="J27" i="14"/>
  <c r="J17"/>
  <c r="K23" i="13"/>
  <c r="AA244" i="28"/>
  <c r="K28" i="13" s="1"/>
  <c r="AA245" i="28"/>
  <c r="K29" i="13" s="1"/>
  <c r="M163" i="28"/>
  <c r="O136" i="11"/>
  <c r="M162" i="28" s="1"/>
  <c r="M181"/>
  <c r="O154" i="11"/>
  <c r="M180" i="28" s="1"/>
  <c r="M155"/>
  <c r="O128" i="11"/>
  <c r="M154" i="28" s="1"/>
  <c r="O127" i="11"/>
  <c r="M153" i="28" s="1"/>
  <c r="M229"/>
  <c r="O180" i="11"/>
  <c r="M228" i="28" s="1"/>
  <c r="M184"/>
  <c r="O157" i="11"/>
  <c r="M183" i="28" s="1"/>
  <c r="O156" i="11"/>
  <c r="M182" i="28" s="1"/>
  <c r="M133"/>
  <c r="O109" i="11"/>
  <c r="M132" i="28" s="1"/>
  <c r="O108" i="11"/>
  <c r="M131" i="28" s="1"/>
  <c r="M93"/>
  <c r="O98" i="11"/>
  <c r="M209" i="28"/>
  <c r="O166" i="11"/>
  <c r="M207" i="28" s="1"/>
  <c r="M214"/>
  <c r="O169" i="11"/>
  <c r="M212" i="28" s="1"/>
  <c r="O122" i="11"/>
  <c r="M148" i="28" s="1"/>
  <c r="M149"/>
  <c r="M121"/>
  <c r="O105" i="11"/>
  <c r="M120" i="28" s="1"/>
  <c r="O175" i="11"/>
  <c r="M223" i="28" s="1"/>
  <c r="M224"/>
  <c r="M203"/>
  <c r="O164" i="11"/>
  <c r="M202" i="28" s="1"/>
  <c r="M110"/>
  <c r="O102" i="11"/>
  <c r="M109" i="28" s="1"/>
  <c r="M146"/>
  <c r="O119" i="11"/>
  <c r="M145" i="28" s="1"/>
  <c r="M170"/>
  <c r="O143" i="11"/>
  <c r="M169" i="28" s="1"/>
  <c r="O189" i="11"/>
  <c r="M238" i="28"/>
  <c r="G34" i="18"/>
  <c r="I129" i="20" l="1"/>
  <c r="AG189" i="28"/>
  <c r="AI189"/>
  <c r="K129" i="20"/>
  <c r="M129"/>
  <c r="AK189" i="28"/>
  <c r="O129" i="20"/>
  <c r="AM189" i="28"/>
  <c r="M237"/>
  <c r="F19" i="14"/>
  <c r="E26" i="24"/>
  <c r="F29" i="14"/>
  <c r="G25" i="13"/>
  <c r="M92" i="28"/>
  <c r="O97" i="11"/>
  <c r="I7" i="13" l="1"/>
  <c r="I203" i="20"/>
  <c r="I202"/>
  <c r="I15" i="13" s="1"/>
  <c r="I201" i="20"/>
  <c r="I14" i="13" s="1"/>
  <c r="I200" i="20"/>
  <c r="I13" i="13" s="1"/>
  <c r="K7"/>
  <c r="K202" i="20"/>
  <c r="K203"/>
  <c r="K16" i="13" s="1"/>
  <c r="K200" i="20"/>
  <c r="K13" i="13" s="1"/>
  <c r="K201" i="20"/>
  <c r="K14" i="13" s="1"/>
  <c r="O7"/>
  <c r="O203" i="20"/>
  <c r="O200"/>
  <c r="O13" i="13" s="1"/>
  <c r="O202" i="20"/>
  <c r="O15" i="13" s="1"/>
  <c r="O201" i="20"/>
  <c r="O14" i="13" s="1"/>
  <c r="M7"/>
  <c r="M200" i="20"/>
  <c r="M13" i="13" s="1"/>
  <c r="M201" i="20"/>
  <c r="M14" i="13" s="1"/>
  <c r="M203" i="20"/>
  <c r="M16" i="13" s="1"/>
  <c r="M202" i="20"/>
  <c r="M15" i="13" s="1"/>
  <c r="O96" i="11"/>
  <c r="M91" i="28"/>
  <c r="I16" i="13" l="1"/>
  <c r="H4" i="14"/>
  <c r="H3"/>
  <c r="AA246" i="28"/>
  <c r="K30" i="13" s="1"/>
  <c r="K15"/>
  <c r="AA243" i="28"/>
  <c r="K27" i="13" s="1"/>
  <c r="J4" i="14"/>
  <c r="J3"/>
  <c r="O16" i="13"/>
  <c r="F17" i="14"/>
  <c r="F27"/>
  <c r="E20" i="24"/>
  <c r="M90" i="28"/>
  <c r="G23" i="13"/>
  <c r="K34" i="19" l="1"/>
  <c r="J34" s="1"/>
  <c r="J35" s="1"/>
  <c r="J12" l="1"/>
  <c r="K37" l="1"/>
  <c r="J37" s="1"/>
  <c r="H37"/>
  <c r="H38" l="1"/>
  <c r="G38" s="1"/>
  <c r="G37"/>
  <c r="G39" l="1"/>
  <c r="K38"/>
  <c r="J38" s="1"/>
  <c r="J42" l="1"/>
  <c r="J44" s="1"/>
  <c r="J47"/>
  <c r="J48"/>
  <c r="J43"/>
  <c r="J49"/>
  <c r="J86" l="1"/>
  <c r="J90" s="1"/>
  <c r="J85"/>
  <c r="J89" s="1"/>
  <c r="J45"/>
  <c r="K92" l="1"/>
  <c r="J92" s="1"/>
  <c r="H92"/>
  <c r="H62" i="11"/>
  <c r="G62" s="1"/>
  <c r="AZ62" l="1"/>
  <c r="BX62"/>
  <c r="AO62"/>
  <c r="BY62"/>
  <c r="DC62"/>
  <c r="AL62"/>
  <c r="CJ62"/>
  <c r="CI62"/>
  <c r="AC62"/>
  <c r="AW62"/>
  <c r="CU62"/>
  <c r="CV62"/>
  <c r="AF62"/>
  <c r="BV62"/>
  <c r="AY62"/>
  <c r="S62"/>
  <c r="AM62"/>
  <c r="CM62"/>
  <c r="DI62"/>
  <c r="AN62"/>
  <c r="BA62"/>
  <c r="AE62"/>
  <c r="AP62"/>
  <c r="Z62"/>
  <c r="BZ62"/>
  <c r="BH62"/>
  <c r="BL62"/>
  <c r="BK62"/>
  <c r="CT62"/>
  <c r="CP62"/>
  <c r="CX62"/>
  <c r="DH62"/>
  <c r="DF62"/>
  <c r="BS62"/>
  <c r="AQ62"/>
  <c r="Q62"/>
  <c r="BJ62"/>
  <c r="AG62"/>
  <c r="AA62"/>
  <c r="DM62"/>
  <c r="CF62"/>
  <c r="CO62"/>
  <c r="AS62"/>
  <c r="BB62"/>
  <c r="BG62"/>
  <c r="T62"/>
  <c r="DG62"/>
  <c r="R62"/>
  <c r="CK62"/>
  <c r="BC62"/>
  <c r="CZ62"/>
  <c r="U62"/>
  <c r="AR62"/>
  <c r="AK62"/>
  <c r="CN62"/>
  <c r="BP62"/>
  <c r="V62"/>
  <c r="CG62"/>
  <c r="DB62"/>
  <c r="CY62"/>
  <c r="BW62"/>
  <c r="BF62"/>
  <c r="BO62"/>
  <c r="DE62"/>
  <c r="BU62"/>
  <c r="DK62"/>
  <c r="BT62"/>
  <c r="DJ62"/>
  <c r="CE62"/>
  <c r="BM62"/>
  <c r="AD62"/>
  <c r="CH62"/>
  <c r="AH62"/>
  <c r="CS62"/>
  <c r="BI62"/>
  <c r="CR62"/>
  <c r="BD62"/>
  <c r="W62"/>
  <c r="CQ62"/>
  <c r="AV62"/>
  <c r="AI62"/>
  <c r="X62"/>
  <c r="DD62"/>
  <c r="AJ62"/>
  <c r="Y62"/>
  <c r="CC62"/>
  <c r="BE62"/>
  <c r="DA62"/>
  <c r="AU62"/>
  <c r="AT62"/>
  <c r="CW62"/>
  <c r="BN62"/>
  <c r="CB62"/>
  <c r="CD62"/>
  <c r="AX62"/>
  <c r="AB62"/>
  <c r="BQ62"/>
  <c r="DL62"/>
  <c r="CA62"/>
  <c r="CL62"/>
  <c r="BR62"/>
  <c r="G61"/>
  <c r="G57" i="28" s="1"/>
  <c r="O62" i="11"/>
  <c r="O61" s="1"/>
  <c r="M57" i="28" s="1"/>
  <c r="G92" i="19"/>
  <c r="H93"/>
  <c r="G93" s="1"/>
  <c r="K93" l="1"/>
  <c r="J93" s="1"/>
  <c r="G94"/>
  <c r="J98" l="1"/>
  <c r="H23" i="25" s="1"/>
  <c r="J27" i="19" s="1"/>
  <c r="H25" i="25" s="1"/>
  <c r="J96" i="19"/>
  <c r="L30" i="18" s="1"/>
  <c r="J25" i="19" s="1"/>
  <c r="AM52" i="28"/>
  <c r="AE52" s="1"/>
  <c r="AM54"/>
  <c r="AE54" s="1"/>
  <c r="AM56"/>
  <c r="AE56" s="1"/>
  <c r="AM48"/>
  <c r="H47" i="8"/>
  <c r="G47" s="1"/>
  <c r="H20" i="25"/>
  <c r="H38"/>
  <c r="AM50" i="28"/>
  <c r="AE50" s="1"/>
  <c r="AM51"/>
  <c r="AE51" s="1"/>
  <c r="AM53"/>
  <c r="AE53" s="1"/>
  <c r="AM49"/>
  <c r="AE49" s="1"/>
  <c r="AM55"/>
  <c r="AE55" s="1"/>
  <c r="AM57"/>
  <c r="AE57" s="1"/>
  <c r="J97" i="19"/>
  <c r="F23" i="25" s="1"/>
  <c r="J26" i="19" s="1"/>
  <c r="F25" i="25" s="1"/>
  <c r="H36" l="1"/>
  <c r="H51" i="11"/>
  <c r="G51" s="1"/>
  <c r="H37" i="25"/>
  <c r="H35"/>
  <c r="H50" i="11"/>
  <c r="G50" s="1"/>
  <c r="BZ50" s="1"/>
  <c r="H26" i="25"/>
  <c r="H22"/>
  <c r="H63" i="11"/>
  <c r="G63" s="1"/>
  <c r="CP63" s="1"/>
  <c r="L48" i="18"/>
  <c r="H27" i="25"/>
  <c r="L37" i="18"/>
  <c r="L47"/>
  <c r="H60" i="11"/>
  <c r="G60" s="1"/>
  <c r="AM60" s="1"/>
  <c r="H57"/>
  <c r="G57" s="1"/>
  <c r="AH57" s="1"/>
  <c r="L50" i="18"/>
  <c r="H21" i="25"/>
  <c r="L27" i="18"/>
  <c r="H49" i="11"/>
  <c r="G49" s="1"/>
  <c r="DB49" s="1"/>
  <c r="L49" i="18"/>
  <c r="H52" i="11"/>
  <c r="G52" s="1"/>
  <c r="BK52" s="1"/>
  <c r="L36" i="18"/>
  <c r="H54" i="11"/>
  <c r="G54" s="1"/>
  <c r="DD54" s="1"/>
  <c r="H53"/>
  <c r="G53" s="1"/>
  <c r="S53" s="1"/>
  <c r="H48"/>
  <c r="G48" s="1"/>
  <c r="DD48" s="1"/>
  <c r="L28" i="18"/>
  <c r="L29"/>
  <c r="L34"/>
  <c r="H56" i="11"/>
  <c r="G56" s="1"/>
  <c r="Z60"/>
  <c r="BT51"/>
  <c r="DE51"/>
  <c r="BI51"/>
  <c r="Y51"/>
  <c r="CY51"/>
  <c r="DG51"/>
  <c r="DC51"/>
  <c r="CW51"/>
  <c r="CC51"/>
  <c r="DI51"/>
  <c r="BV51"/>
  <c r="BZ51"/>
  <c r="BO51"/>
  <c r="AY51"/>
  <c r="CJ51"/>
  <c r="AC51"/>
  <c r="CL51"/>
  <c r="DB51"/>
  <c r="BH51"/>
  <c r="BM51"/>
  <c r="AG51"/>
  <c r="AL51"/>
  <c r="DD51"/>
  <c r="CG51"/>
  <c r="AE51"/>
  <c r="AH51"/>
  <c r="AP51"/>
  <c r="CM51"/>
  <c r="CP51"/>
  <c r="AZ51"/>
  <c r="Q51"/>
  <c r="CH51"/>
  <c r="AR51"/>
  <c r="CO51"/>
  <c r="AX51"/>
  <c r="BA51"/>
  <c r="AB51"/>
  <c r="R51"/>
  <c r="AW51"/>
  <c r="CI51"/>
  <c r="BJ51"/>
  <c r="S51"/>
  <c r="AT51"/>
  <c r="BG51"/>
  <c r="DF51"/>
  <c r="CB51"/>
  <c r="AS51"/>
  <c r="CX51"/>
  <c r="AA51"/>
  <c r="AJ51"/>
  <c r="BS51"/>
  <c r="AV51"/>
  <c r="AU51"/>
  <c r="CN51"/>
  <c r="CA51"/>
  <c r="DM51"/>
  <c r="AM51"/>
  <c r="T51"/>
  <c r="O51"/>
  <c r="M51" i="28" s="1"/>
  <c r="AJ50" i="11"/>
  <c r="AI50"/>
  <c r="DE50"/>
  <c r="BB50"/>
  <c r="AG50"/>
  <c r="X50"/>
  <c r="DA50"/>
  <c r="AN50"/>
  <c r="CV50"/>
  <c r="CZ50"/>
  <c r="CI50"/>
  <c r="CM50"/>
  <c r="DG50"/>
  <c r="BE50"/>
  <c r="AV50"/>
  <c r="CS50"/>
  <c r="AE50"/>
  <c r="AA50"/>
  <c r="CJ50"/>
  <c r="V20" i="29"/>
  <c r="V7"/>
  <c r="V21"/>
  <c r="V23"/>
  <c r="V33"/>
  <c r="V4"/>
  <c r="V12"/>
  <c r="V24"/>
  <c r="V27"/>
  <c r="V17"/>
  <c r="V28"/>
  <c r="V25"/>
  <c r="V9"/>
  <c r="V5"/>
  <c r="V10"/>
  <c r="V30"/>
  <c r="V8"/>
  <c r="V31"/>
  <c r="V14"/>
  <c r="V19"/>
  <c r="V15"/>
  <c r="V32"/>
  <c r="V13"/>
  <c r="V18"/>
  <c r="DI63" i="11"/>
  <c r="F37" i="25"/>
  <c r="F38"/>
  <c r="F21"/>
  <c r="F26"/>
  <c r="F20"/>
  <c r="F36"/>
  <c r="F27"/>
  <c r="F22"/>
  <c r="F35"/>
  <c r="AG52" i="28"/>
  <c r="Y52" s="1"/>
  <c r="AK50"/>
  <c r="AC50" s="1"/>
  <c r="AK49"/>
  <c r="AC49" s="1"/>
  <c r="AK53"/>
  <c r="AC53" s="1"/>
  <c r="AK54"/>
  <c r="AC54" s="1"/>
  <c r="AG54"/>
  <c r="Y54" s="1"/>
  <c r="AK52"/>
  <c r="AC52" s="1"/>
  <c r="AG55"/>
  <c r="Y55" s="1"/>
  <c r="AG53"/>
  <c r="Y53" s="1"/>
  <c r="AK51"/>
  <c r="AC51" s="1"/>
  <c r="AG51"/>
  <c r="Y51" s="1"/>
  <c r="AG56"/>
  <c r="Y56" s="1"/>
  <c r="AK55"/>
  <c r="AC55" s="1"/>
  <c r="AG50"/>
  <c r="Y50" s="1"/>
  <c r="AK56"/>
  <c r="AC56" s="1"/>
  <c r="H46" i="8"/>
  <c r="G46" s="1"/>
  <c r="AG49" i="28"/>
  <c r="Y49" s="1"/>
  <c r="AG48"/>
  <c r="AK48"/>
  <c r="AG57"/>
  <c r="Y57" s="1"/>
  <c r="AK57"/>
  <c r="AC57" s="1"/>
  <c r="AE48"/>
  <c r="AE47" s="1"/>
  <c r="AE46" s="1"/>
  <c r="AE45" s="1"/>
  <c r="AM47"/>
  <c r="AM46" s="1"/>
  <c r="AM45" s="1"/>
  <c r="AE52" i="11" l="1"/>
  <c r="G52" i="28"/>
  <c r="CM48" i="11"/>
  <c r="S52"/>
  <c r="AN48"/>
  <c r="AN194" s="1"/>
  <c r="BL48"/>
  <c r="AO52"/>
  <c r="S48"/>
  <c r="S194" s="1"/>
  <c r="S195" s="1"/>
  <c r="BP48"/>
  <c r="CR52"/>
  <c r="BX52"/>
  <c r="AZ48"/>
  <c r="AB63"/>
  <c r="CW50"/>
  <c r="DK50"/>
  <c r="CQ50"/>
  <c r="DD50"/>
  <c r="CL50"/>
  <c r="CE50"/>
  <c r="CC50"/>
  <c r="CO52"/>
  <c r="CX52"/>
  <c r="AQ52"/>
  <c r="AS48"/>
  <c r="AS194" s="1"/>
  <c r="AS195" s="1"/>
  <c r="BY48"/>
  <c r="AA63"/>
  <c r="BG63"/>
  <c r="Q50"/>
  <c r="BJ50"/>
  <c r="BX50"/>
  <c r="BN50"/>
  <c r="AB50"/>
  <c r="DF50"/>
  <c r="AP50"/>
  <c r="AC50"/>
  <c r="BR50"/>
  <c r="AF50"/>
  <c r="AQ50"/>
  <c r="DB50"/>
  <c r="S50"/>
  <c r="V50"/>
  <c r="AW50"/>
  <c r="Y50"/>
  <c r="AT50"/>
  <c r="CD50"/>
  <c r="CB50"/>
  <c r="U50"/>
  <c r="AU50"/>
  <c r="BW50"/>
  <c r="CN50"/>
  <c r="BT50"/>
  <c r="BI50"/>
  <c r="CH50"/>
  <c r="AX50"/>
  <c r="BQ50"/>
  <c r="AY50"/>
  <c r="CX50"/>
  <c r="T50"/>
  <c r="BM52"/>
  <c r="CJ52"/>
  <c r="R48"/>
  <c r="R194" s="1"/>
  <c r="R195" s="1"/>
  <c r="CJ48"/>
  <c r="O50"/>
  <c r="M50" i="28" s="1"/>
  <c r="BY50" i="11"/>
  <c r="BA50"/>
  <c r="BC50"/>
  <c r="BK50"/>
  <c r="AM50"/>
  <c r="DH50"/>
  <c r="BM50"/>
  <c r="CU50"/>
  <c r="DL50"/>
  <c r="W50"/>
  <c r="BG50"/>
  <c r="CG50"/>
  <c r="CO50"/>
  <c r="AR50"/>
  <c r="BF50"/>
  <c r="CP50"/>
  <c r="BU50"/>
  <c r="CF50"/>
  <c r="BM48"/>
  <c r="CK48"/>
  <c r="CA48"/>
  <c r="CC48"/>
  <c r="CW48"/>
  <c r="AY48"/>
  <c r="DI48"/>
  <c r="DK48"/>
  <c r="DJ48"/>
  <c r="AQ48"/>
  <c r="AQ194" s="1"/>
  <c r="AQ195" s="1"/>
  <c r="V48"/>
  <c r="V194" s="1"/>
  <c r="V196" s="1"/>
  <c r="V197" s="1"/>
  <c r="V198" s="1"/>
  <c r="AU48"/>
  <c r="AU194" s="1"/>
  <c r="AU195" s="1"/>
  <c r="AP48"/>
  <c r="AP194" s="1"/>
  <c r="AP195" s="1"/>
  <c r="Q48"/>
  <c r="Q194" s="1"/>
  <c r="Q196" s="1"/>
  <c r="Q197" s="1"/>
  <c r="Q198" s="1"/>
  <c r="CV48"/>
  <c r="BZ48"/>
  <c r="CI48"/>
  <c r="CY48"/>
  <c r="BV48"/>
  <c r="BE48"/>
  <c r="DC48"/>
  <c r="AI48"/>
  <c r="AI194" s="1"/>
  <c r="AI196" s="1"/>
  <c r="AI197" s="1"/>
  <c r="AI198" s="1"/>
  <c r="G47"/>
  <c r="G46" s="1"/>
  <c r="Z48"/>
  <c r="Z194" s="1"/>
  <c r="Z196" s="1"/>
  <c r="Z197" s="1"/>
  <c r="Z198" s="1"/>
  <c r="BX48"/>
  <c r="BG48"/>
  <c r="CZ48"/>
  <c r="DF48"/>
  <c r="BR48"/>
  <c r="DM48"/>
  <c r="U48"/>
  <c r="U194" s="1"/>
  <c r="U196" s="1"/>
  <c r="U197" s="1"/>
  <c r="U198" s="1"/>
  <c r="AK48"/>
  <c r="AK194" s="1"/>
  <c r="AK196" s="1"/>
  <c r="AK197" s="1"/>
  <c r="AK198" s="1"/>
  <c r="Y48"/>
  <c r="Y194" s="1"/>
  <c r="Y195" s="1"/>
  <c r="AE48"/>
  <c r="AE194" s="1"/>
  <c r="AE196" s="1"/>
  <c r="AE197" s="1"/>
  <c r="AE198" s="1"/>
  <c r="R52"/>
  <c r="CW52"/>
  <c r="CB52"/>
  <c r="AH52"/>
  <c r="BD52"/>
  <c r="BP52"/>
  <c r="AG52"/>
  <c r="U52"/>
  <c r="DF52"/>
  <c r="AA52"/>
  <c r="AR52"/>
  <c r="BO52"/>
  <c r="BB52"/>
  <c r="DL52"/>
  <c r="AC52"/>
  <c r="AS52"/>
  <c r="AT52"/>
  <c r="AD52"/>
  <c r="Q52"/>
  <c r="AM52"/>
  <c r="CT52"/>
  <c r="DA52"/>
  <c r="CA52"/>
  <c r="BJ52"/>
  <c r="CZ52"/>
  <c r="CN52"/>
  <c r="AN52"/>
  <c r="BG52"/>
  <c r="DJ52"/>
  <c r="Z52"/>
  <c r="BH52"/>
  <c r="AI52"/>
  <c r="DC52"/>
  <c r="T52"/>
  <c r="AY52"/>
  <c r="CI63"/>
  <c r="BT63"/>
  <c r="AH63"/>
  <c r="S63"/>
  <c r="R63"/>
  <c r="DL63"/>
  <c r="CL63"/>
  <c r="AD63"/>
  <c r="AR63"/>
  <c r="CC63"/>
  <c r="CA63"/>
  <c r="BX63"/>
  <c r="CD63"/>
  <c r="CM63"/>
  <c r="AY63"/>
  <c r="DJ63"/>
  <c r="BE63"/>
  <c r="CF63"/>
  <c r="DM63"/>
  <c r="BU63"/>
  <c r="BK63"/>
  <c r="CK63"/>
  <c r="BA63"/>
  <c r="CU63"/>
  <c r="DA63"/>
  <c r="CO63"/>
  <c r="AM63"/>
  <c r="AS63"/>
  <c r="CJ63"/>
  <c r="O52"/>
  <c r="M52" i="28" s="1"/>
  <c r="DM52" i="11"/>
  <c r="W52"/>
  <c r="BV52"/>
  <c r="BZ52"/>
  <c r="AV52"/>
  <c r="CF52"/>
  <c r="AF48"/>
  <c r="AF194" s="1"/>
  <c r="AF196" s="1"/>
  <c r="AF197" s="1"/>
  <c r="AF198" s="1"/>
  <c r="AJ48"/>
  <c r="AJ194" s="1"/>
  <c r="AJ196" s="1"/>
  <c r="AJ197" s="1"/>
  <c r="AJ198" s="1"/>
  <c r="BD48"/>
  <c r="CB48"/>
  <c r="CX48"/>
  <c r="AZ63"/>
  <c r="Y63"/>
  <c r="CR63"/>
  <c r="DB52"/>
  <c r="CU52"/>
  <c r="CK52"/>
  <c r="AJ52"/>
  <c r="BE52"/>
  <c r="AZ52"/>
  <c r="BY52"/>
  <c r="O48"/>
  <c r="M48" i="28" s="1"/>
  <c r="BI48" i="11"/>
  <c r="CQ48"/>
  <c r="CP48"/>
  <c r="BB48"/>
  <c r="CH63"/>
  <c r="AV63"/>
  <c r="DL51"/>
  <c r="CQ51"/>
  <c r="DH51"/>
  <c r="DA51"/>
  <c r="BB51"/>
  <c r="AK51"/>
  <c r="BX51"/>
  <c r="BW51"/>
  <c r="CS51"/>
  <c r="DJ51"/>
  <c r="CT51"/>
  <c r="BP51"/>
  <c r="BN51"/>
  <c r="BE51"/>
  <c r="U51"/>
  <c r="BL51"/>
  <c r="CK51"/>
  <c r="AD51"/>
  <c r="G51" i="28"/>
  <c r="Z51" i="11"/>
  <c r="BU51"/>
  <c r="DK51"/>
  <c r="BK51"/>
  <c r="BC51"/>
  <c r="CZ51"/>
  <c r="X51"/>
  <c r="BD51"/>
  <c r="BR51"/>
  <c r="W51"/>
  <c r="AI51"/>
  <c r="AN51"/>
  <c r="CE51"/>
  <c r="BF51"/>
  <c r="AF51"/>
  <c r="V51"/>
  <c r="CV51"/>
  <c r="AO51"/>
  <c r="AQ51"/>
  <c r="BQ51"/>
  <c r="CR51"/>
  <c r="CU51"/>
  <c r="BY51"/>
  <c r="CD51"/>
  <c r="CF51"/>
  <c r="AR60"/>
  <c r="AL60"/>
  <c r="AH50"/>
  <c r="CT50"/>
  <c r="AD50"/>
  <c r="DM50"/>
  <c r="AS50"/>
  <c r="CY50"/>
  <c r="AK50"/>
  <c r="BH50"/>
  <c r="BS50"/>
  <c r="DI50"/>
  <c r="BO50"/>
  <c r="BV50"/>
  <c r="CA50"/>
  <c r="DC50"/>
  <c r="CK50"/>
  <c r="BL50"/>
  <c r="AZ50"/>
  <c r="AL50"/>
  <c r="AO50"/>
  <c r="G50" i="28"/>
  <c r="CR50" i="11"/>
  <c r="R50"/>
  <c r="BP50"/>
  <c r="DJ50"/>
  <c r="Z50"/>
  <c r="BD50"/>
  <c r="BZ49"/>
  <c r="G49" i="28"/>
  <c r="CK53" i="11"/>
  <c r="CQ54"/>
  <c r="BC53"/>
  <c r="AW53"/>
  <c r="R53"/>
  <c r="CU49"/>
  <c r="U54"/>
  <c r="G53" i="28"/>
  <c r="BN53" i="11"/>
  <c r="CG49"/>
  <c r="BG53"/>
  <c r="T53"/>
  <c r="CS53"/>
  <c r="AI53"/>
  <c r="AP53"/>
  <c r="DJ53"/>
  <c r="BY53"/>
  <c r="Y49"/>
  <c r="BK49"/>
  <c r="AM54"/>
  <c r="AM57"/>
  <c r="BT53"/>
  <c r="CF53"/>
  <c r="DE53"/>
  <c r="DG53"/>
  <c r="CX53"/>
  <c r="AJ53"/>
  <c r="X53"/>
  <c r="AZ53"/>
  <c r="BL53"/>
  <c r="AH53"/>
  <c r="AC53"/>
  <c r="DM53"/>
  <c r="CB53"/>
  <c r="O49"/>
  <c r="M49" i="28" s="1"/>
  <c r="T54" i="11"/>
  <c r="BS57"/>
  <c r="CE60"/>
  <c r="AG57"/>
  <c r="AW57"/>
  <c r="CL48"/>
  <c r="DE48"/>
  <c r="BQ48"/>
  <c r="BS48"/>
  <c r="AX48"/>
  <c r="AW48"/>
  <c r="BO48"/>
  <c r="CR48"/>
  <c r="DB48"/>
  <c r="CF48"/>
  <c r="CD48"/>
  <c r="BW48"/>
  <c r="CS48"/>
  <c r="CG48"/>
  <c r="CH48"/>
  <c r="BK48"/>
  <c r="BA48"/>
  <c r="CT48"/>
  <c r="CU48"/>
  <c r="BH48"/>
  <c r="DL48"/>
  <c r="CN48"/>
  <c r="AT48"/>
  <c r="AT194" s="1"/>
  <c r="AT196" s="1"/>
  <c r="AT197" s="1"/>
  <c r="AT198" s="1"/>
  <c r="AG48"/>
  <c r="AG194" s="1"/>
  <c r="AG195" s="1"/>
  <c r="AB48"/>
  <c r="AB194" s="1"/>
  <c r="AB196" s="1"/>
  <c r="AB197" s="1"/>
  <c r="AB198" s="1"/>
  <c r="AD48"/>
  <c r="AD194" s="1"/>
  <c r="AD196" s="1"/>
  <c r="AD197" s="1"/>
  <c r="AD198" s="1"/>
  <c r="AH48"/>
  <c r="AH194" s="1"/>
  <c r="AH196" s="1"/>
  <c r="AH197" s="1"/>
  <c r="AH198" s="1"/>
  <c r="W48"/>
  <c r="W194" s="1"/>
  <c r="W195" s="1"/>
  <c r="AR48"/>
  <c r="AR194" s="1"/>
  <c r="AR195" s="1"/>
  <c r="X48"/>
  <c r="X194" s="1"/>
  <c r="X195" s="1"/>
  <c r="AX52"/>
  <c r="BC52"/>
  <c r="BT52"/>
  <c r="CE52"/>
  <c r="BW52"/>
  <c r="CI52"/>
  <c r="CH52"/>
  <c r="V52"/>
  <c r="CQ52"/>
  <c r="X52"/>
  <c r="DK52"/>
  <c r="DH52"/>
  <c r="BL52"/>
  <c r="DE52"/>
  <c r="AF52"/>
  <c r="AU52"/>
  <c r="CM52"/>
  <c r="CG52"/>
  <c r="CY52"/>
  <c r="BQ52"/>
  <c r="CD52"/>
  <c r="AK52"/>
  <c r="AK63"/>
  <c r="BQ63"/>
  <c r="AE63"/>
  <c r="DB63"/>
  <c r="U63"/>
  <c r="CW63"/>
  <c r="BJ63"/>
  <c r="AC63"/>
  <c r="CZ63"/>
  <c r="Z63"/>
  <c r="AF63"/>
  <c r="DK63"/>
  <c r="DC63"/>
  <c r="BB63"/>
  <c r="CV63"/>
  <c r="AJ63"/>
  <c r="AN63"/>
  <c r="Q63"/>
  <c r="CN63"/>
  <c r="BY63"/>
  <c r="CQ63"/>
  <c r="AT63"/>
  <c r="AI63"/>
  <c r="BS63"/>
  <c r="CG63"/>
  <c r="BI63"/>
  <c r="BV63"/>
  <c r="DF63"/>
  <c r="DH63"/>
  <c r="V63"/>
  <c r="CT63"/>
  <c r="AP63"/>
  <c r="BZ63"/>
  <c r="AL63"/>
  <c r="CX63"/>
  <c r="BD63"/>
  <c r="DD63"/>
  <c r="DE63"/>
  <c r="AU63"/>
  <c r="BO63"/>
  <c r="BP63"/>
  <c r="DG63"/>
  <c r="O63"/>
  <c r="BR63"/>
  <c r="CB63"/>
  <c r="AG63"/>
  <c r="BC63"/>
  <c r="CE63"/>
  <c r="BH63"/>
  <c r="X63"/>
  <c r="AQ63"/>
  <c r="AJ54"/>
  <c r="CO54"/>
  <c r="DM54"/>
  <c r="AE54"/>
  <c r="BZ54"/>
  <c r="Z54"/>
  <c r="AU49"/>
  <c r="S49"/>
  <c r="CV49"/>
  <c r="AH49"/>
  <c r="BM49"/>
  <c r="BP49"/>
  <c r="DD49"/>
  <c r="AN49"/>
  <c r="CD49"/>
  <c r="CR49"/>
  <c r="CO49"/>
  <c r="CT49"/>
  <c r="DG57"/>
  <c r="CF57"/>
  <c r="CB57"/>
  <c r="AU57"/>
  <c r="BR57"/>
  <c r="AJ57"/>
  <c r="BN52"/>
  <c r="BU52"/>
  <c r="BR52"/>
  <c r="CP52"/>
  <c r="Y52"/>
  <c r="CL52"/>
  <c r="BF52"/>
  <c r="CC52"/>
  <c r="DD52"/>
  <c r="CV52"/>
  <c r="DG52"/>
  <c r="AW52"/>
  <c r="BI52"/>
  <c r="BS52"/>
  <c r="DI52"/>
  <c r="CS52"/>
  <c r="AL52"/>
  <c r="AP52"/>
  <c r="AB52"/>
  <c r="BA52"/>
  <c r="AO48"/>
  <c r="AO194" s="1"/>
  <c r="AO196" s="1"/>
  <c r="AO197" s="1"/>
  <c r="AO198" s="1"/>
  <c r="T48"/>
  <c r="T194" s="1"/>
  <c r="T196" s="1"/>
  <c r="T197" s="1"/>
  <c r="T198" s="1"/>
  <c r="AM48"/>
  <c r="AM194" s="1"/>
  <c r="AM196" s="1"/>
  <c r="AM197" s="1"/>
  <c r="AM198" s="1"/>
  <c r="AA48"/>
  <c r="AA194" s="1"/>
  <c r="AA196" s="1"/>
  <c r="AA197" s="1"/>
  <c r="AA198" s="1"/>
  <c r="AL48"/>
  <c r="AL194" s="1"/>
  <c r="AL195" s="1"/>
  <c r="AC48"/>
  <c r="AC194" s="1"/>
  <c r="AC196" s="1"/>
  <c r="AC197" s="1"/>
  <c r="AC198" s="1"/>
  <c r="BU48"/>
  <c r="G48" i="28"/>
  <c r="CE48" i="11"/>
  <c r="BF48"/>
  <c r="BC48"/>
  <c r="BN48"/>
  <c r="BT48"/>
  <c r="AV48"/>
  <c r="CO48"/>
  <c r="DA48"/>
  <c r="BJ48"/>
  <c r="DH48"/>
  <c r="DG48"/>
  <c r="BS49"/>
  <c r="BI49"/>
  <c r="AT49"/>
  <c r="AS54"/>
  <c r="AD54"/>
  <c r="AO63"/>
  <c r="BM63"/>
  <c r="BW63"/>
  <c r="BL63"/>
  <c r="CY63"/>
  <c r="AW63"/>
  <c r="W63"/>
  <c r="BN63"/>
  <c r="BF63"/>
  <c r="AX63"/>
  <c r="T63"/>
  <c r="CS63"/>
  <c r="BU57"/>
  <c r="DF57"/>
  <c r="CB60"/>
  <c r="BE60"/>
  <c r="AQ60"/>
  <c r="BG60"/>
  <c r="BB60"/>
  <c r="AW60"/>
  <c r="DG60"/>
  <c r="AC60"/>
  <c r="CN60"/>
  <c r="O53"/>
  <c r="M53" i="28" s="1"/>
  <c r="CY53" i="11"/>
  <c r="BZ53"/>
  <c r="CI53"/>
  <c r="CW53"/>
  <c r="CQ53"/>
  <c r="CO53"/>
  <c r="CU53"/>
  <c r="BO53"/>
  <c r="AD53"/>
  <c r="CH53"/>
  <c r="BX53"/>
  <c r="AL53"/>
  <c r="BM60"/>
  <c r="AX60"/>
  <c r="BD60"/>
  <c r="CM60"/>
  <c r="CS60"/>
  <c r="BV60"/>
  <c r="CL60"/>
  <c r="AV53"/>
  <c r="AF53"/>
  <c r="CR53"/>
  <c r="BE53"/>
  <c r="U53"/>
  <c r="CD53"/>
  <c r="CT53"/>
  <c r="DI53"/>
  <c r="BD53"/>
  <c r="BV53"/>
  <c r="AG53"/>
  <c r="AR53"/>
  <c r="BA53"/>
  <c r="CQ60"/>
  <c r="BL60"/>
  <c r="BT60"/>
  <c r="BN60"/>
  <c r="DK60"/>
  <c r="CT54"/>
  <c r="BA54"/>
  <c r="BT54"/>
  <c r="AR54"/>
  <c r="BM54"/>
  <c r="BX54"/>
  <c r="AO54"/>
  <c r="BS54"/>
  <c r="BG54"/>
  <c r="CZ54"/>
  <c r="BW54"/>
  <c r="BD54"/>
  <c r="AQ54"/>
  <c r="BC54"/>
  <c r="CC54"/>
  <c r="BF54"/>
  <c r="CH54"/>
  <c r="BE54"/>
  <c r="BR54"/>
  <c r="AH54"/>
  <c r="AI54"/>
  <c r="AG54"/>
  <c r="CD54"/>
  <c r="BI54"/>
  <c r="AT54"/>
  <c r="CP54"/>
  <c r="AN54"/>
  <c r="BJ54"/>
  <c r="DA54"/>
  <c r="BY54"/>
  <c r="CB54"/>
  <c r="AL54"/>
  <c r="CL54"/>
  <c r="DH54"/>
  <c r="CY54"/>
  <c r="CG54"/>
  <c r="R54"/>
  <c r="Y54"/>
  <c r="CE54"/>
  <c r="V54"/>
  <c r="CJ54"/>
  <c r="AF54"/>
  <c r="CN54"/>
  <c r="CM54"/>
  <c r="S54"/>
  <c r="BV54"/>
  <c r="G54" i="28"/>
  <c r="W54" i="11"/>
  <c r="AK54"/>
  <c r="BQ54"/>
  <c r="O54"/>
  <c r="M54" i="28" s="1"/>
  <c r="CD57" i="11"/>
  <c r="AO57"/>
  <c r="CQ57"/>
  <c r="DI57"/>
  <c r="CZ57"/>
  <c r="AX57"/>
  <c r="DH57"/>
  <c r="AQ57"/>
  <c r="CH57"/>
  <c r="CJ57"/>
  <c r="AF57"/>
  <c r="CI57"/>
  <c r="DL57"/>
  <c r="AK57"/>
  <c r="BB57"/>
  <c r="BO57"/>
  <c r="AS57"/>
  <c r="AZ57"/>
  <c r="BK57"/>
  <c r="CO57"/>
  <c r="AY57"/>
  <c r="BZ57"/>
  <c r="U57"/>
  <c r="BE57"/>
  <c r="CC57"/>
  <c r="CY57"/>
  <c r="BX57"/>
  <c r="BM57"/>
  <c r="O57"/>
  <c r="BF57"/>
  <c r="BJ57"/>
  <c r="AN57"/>
  <c r="AP57"/>
  <c r="CS57"/>
  <c r="BT57"/>
  <c r="AV57"/>
  <c r="T57"/>
  <c r="AA57"/>
  <c r="CA57"/>
  <c r="DB57"/>
  <c r="CU57"/>
  <c r="BN57"/>
  <c r="Q57"/>
  <c r="BW57"/>
  <c r="CR57"/>
  <c r="DK57"/>
  <c r="AE57"/>
  <c r="BI57"/>
  <c r="CG57"/>
  <c r="DA57"/>
  <c r="BG57"/>
  <c r="AC49"/>
  <c r="DF49"/>
  <c r="BH49"/>
  <c r="X49"/>
  <c r="BQ49"/>
  <c r="CJ49"/>
  <c r="CI49"/>
  <c r="AM49"/>
  <c r="AB49"/>
  <c r="BB49"/>
  <c r="AK49"/>
  <c r="BO54"/>
  <c r="X54"/>
  <c r="DG54"/>
  <c r="AA54"/>
  <c r="AB54"/>
  <c r="BY57"/>
  <c r="AT57"/>
  <c r="AB57"/>
  <c r="BQ57"/>
  <c r="G58"/>
  <c r="G56" i="28" s="1"/>
  <c r="DI60" i="11"/>
  <c r="S60"/>
  <c r="R60"/>
  <c r="AU60"/>
  <c r="AS60"/>
  <c r="CY60"/>
  <c r="CW60"/>
  <c r="DE60"/>
  <c r="AT60"/>
  <c r="BS60"/>
  <c r="AZ60"/>
  <c r="CJ60"/>
  <c r="T60"/>
  <c r="BX60"/>
  <c r="BO60"/>
  <c r="BZ60"/>
  <c r="CT60"/>
  <c r="AJ60"/>
  <c r="BR60"/>
  <c r="V60"/>
  <c r="BY60"/>
  <c r="BQ60"/>
  <c r="BK60"/>
  <c r="AK60"/>
  <c r="DH60"/>
  <c r="DJ60"/>
  <c r="DC60"/>
  <c r="BA60"/>
  <c r="Q60"/>
  <c r="X60"/>
  <c r="CZ60"/>
  <c r="BI60"/>
  <c r="AY60"/>
  <c r="DB60"/>
  <c r="AI60"/>
  <c r="DM60"/>
  <c r="AB60"/>
  <c r="AE60"/>
  <c r="CV60"/>
  <c r="CH60"/>
  <c r="AD60"/>
  <c r="BJ60"/>
  <c r="W60"/>
  <c r="BW60"/>
  <c r="CP60"/>
  <c r="BU60"/>
  <c r="CG60"/>
  <c r="O60"/>
  <c r="O58" s="1"/>
  <c r="M56" i="28" s="1"/>
  <c r="BH60" i="11"/>
  <c r="DD60"/>
  <c r="CH49"/>
  <c r="CF49"/>
  <c r="BE49"/>
  <c r="BG49"/>
  <c r="AY49"/>
  <c r="CK49"/>
  <c r="CW49"/>
  <c r="CX49"/>
  <c r="CA49"/>
  <c r="BT49"/>
  <c r="DJ49"/>
  <c r="BX49"/>
  <c r="AG49"/>
  <c r="CY49"/>
  <c r="BL49"/>
  <c r="DI49"/>
  <c r="DC49"/>
  <c r="DG49"/>
  <c r="BD49"/>
  <c r="CM49"/>
  <c r="AY54"/>
  <c r="BU54"/>
  <c r="BL54"/>
  <c r="AC54"/>
  <c r="CI54"/>
  <c r="DC54"/>
  <c r="CR54"/>
  <c r="CV54"/>
  <c r="CS54"/>
  <c r="AW54"/>
  <c r="DF54"/>
  <c r="DB54"/>
  <c r="BB54"/>
  <c r="W57"/>
  <c r="DC57"/>
  <c r="R57"/>
  <c r="V57"/>
  <c r="CN57"/>
  <c r="S57"/>
  <c r="DJ57"/>
  <c r="CL57"/>
  <c r="BA57"/>
  <c r="DD57"/>
  <c r="X57"/>
  <c r="Y57"/>
  <c r="AA60"/>
  <c r="BF60"/>
  <c r="DL60"/>
  <c r="CA60"/>
  <c r="AO60"/>
  <c r="CD60"/>
  <c r="BC60"/>
  <c r="AV60"/>
  <c r="AN60"/>
  <c r="CI60"/>
  <c r="CF60"/>
  <c r="AF60"/>
  <c r="AH60"/>
  <c r="CS49"/>
  <c r="CL49"/>
  <c r="DM49"/>
  <c r="AQ49"/>
  <c r="R49"/>
  <c r="BA49"/>
  <c r="CB49"/>
  <c r="AE49"/>
  <c r="BF49"/>
  <c r="AX49"/>
  <c r="AO49"/>
  <c r="V49"/>
  <c r="BJ49"/>
  <c r="AR49"/>
  <c r="CN49"/>
  <c r="AV49"/>
  <c r="U49"/>
  <c r="W49"/>
  <c r="DL49"/>
  <c r="DA49"/>
  <c r="BV49"/>
  <c r="BY49"/>
  <c r="BW49"/>
  <c r="BC49"/>
  <c r="DK49"/>
  <c r="AD49"/>
  <c r="DH49"/>
  <c r="CK54"/>
  <c r="BH54"/>
  <c r="DK54"/>
  <c r="CU54"/>
  <c r="DL54"/>
  <c r="DE54"/>
  <c r="AX54"/>
  <c r="DJ54"/>
  <c r="BP57"/>
  <c r="CV57"/>
  <c r="DM57"/>
  <c r="CE57"/>
  <c r="Z57"/>
  <c r="BV57"/>
  <c r="AR57"/>
  <c r="DE57"/>
  <c r="CT57"/>
  <c r="AI49"/>
  <c r="AS49"/>
  <c r="Z49"/>
  <c r="CP49"/>
  <c r="BU49"/>
  <c r="CZ49"/>
  <c r="T49"/>
  <c r="DE49"/>
  <c r="BR49"/>
  <c r="BN49"/>
  <c r="AF49"/>
  <c r="AJ49"/>
  <c r="CQ49"/>
  <c r="BO49"/>
  <c r="Q49"/>
  <c r="AP49"/>
  <c r="CE49"/>
  <c r="AA49"/>
  <c r="CC49"/>
  <c r="AL49"/>
  <c r="AW49"/>
  <c r="AZ49"/>
  <c r="CW54"/>
  <c r="BK54"/>
  <c r="DI54"/>
  <c r="AZ54"/>
  <c r="BN54"/>
  <c r="Q54"/>
  <c r="AV54"/>
  <c r="CX54"/>
  <c r="AP54"/>
  <c r="BP54"/>
  <c r="CF54"/>
  <c r="CA54"/>
  <c r="AU54"/>
  <c r="CX57"/>
  <c r="AL57"/>
  <c r="BC57"/>
  <c r="AD57"/>
  <c r="BL57"/>
  <c r="AC57"/>
  <c r="CP57"/>
  <c r="AI57"/>
  <c r="BH57"/>
  <c r="BD57"/>
  <c r="CM57"/>
  <c r="CK57"/>
  <c r="CW57"/>
  <c r="Y60"/>
  <c r="CC60"/>
  <c r="DA60"/>
  <c r="U60"/>
  <c r="CU60"/>
  <c r="AG60"/>
  <c r="AP60"/>
  <c r="CX60"/>
  <c r="CK60"/>
  <c r="CR60"/>
  <c r="BP60"/>
  <c r="DF60"/>
  <c r="CO60"/>
  <c r="DC53"/>
  <c r="CG53"/>
  <c r="AM53"/>
  <c r="AU53"/>
  <c r="BP53"/>
  <c r="AA53"/>
  <c r="BS53"/>
  <c r="AB53"/>
  <c r="DK53"/>
  <c r="CV53"/>
  <c r="Q53"/>
  <c r="Z53"/>
  <c r="AS53"/>
  <c r="BW53"/>
  <c r="DD53"/>
  <c r="V53"/>
  <c r="BJ53"/>
  <c r="CN53"/>
  <c r="DA53"/>
  <c r="BH53"/>
  <c r="DB53"/>
  <c r="AO53"/>
  <c r="DL53"/>
  <c r="AY53"/>
  <c r="BM53"/>
  <c r="BU53"/>
  <c r="CZ53"/>
  <c r="CE53"/>
  <c r="AT53"/>
  <c r="BR53"/>
  <c r="CJ53"/>
  <c r="BQ53"/>
  <c r="AE53"/>
  <c r="DF53"/>
  <c r="BF53"/>
  <c r="CC53"/>
  <c r="CA53"/>
  <c r="AQ53"/>
  <c r="Y53"/>
  <c r="CM53"/>
  <c r="W53"/>
  <c r="AN53"/>
  <c r="BI53"/>
  <c r="BK53"/>
  <c r="DH53"/>
  <c r="CP53"/>
  <c r="CL53"/>
  <c r="AK53"/>
  <c r="BB53"/>
  <c r="AX53"/>
  <c r="G55"/>
  <c r="G55" i="28" s="1"/>
  <c r="DB56" i="11"/>
  <c r="CT56"/>
  <c r="CL56"/>
  <c r="CD56"/>
  <c r="BV56"/>
  <c r="BN56"/>
  <c r="BF56"/>
  <c r="AX56"/>
  <c r="AP56"/>
  <c r="AH56"/>
  <c r="Z56"/>
  <c r="R56"/>
  <c r="U56"/>
  <c r="AK56"/>
  <c r="BA56"/>
  <c r="BQ56"/>
  <c r="CG56"/>
  <c r="CW56"/>
  <c r="DM56"/>
  <c r="S56"/>
  <c r="AI56"/>
  <c r="AY56"/>
  <c r="BO56"/>
  <c r="CE56"/>
  <c r="CU56"/>
  <c r="DJ56"/>
  <c r="CZ56"/>
  <c r="CR56"/>
  <c r="CJ56"/>
  <c r="CB56"/>
  <c r="BT56"/>
  <c r="BL56"/>
  <c r="BD56"/>
  <c r="AV56"/>
  <c r="AN56"/>
  <c r="AF56"/>
  <c r="X56"/>
  <c r="DK56"/>
  <c r="Y56"/>
  <c r="AO56"/>
  <c r="BE56"/>
  <c r="BU56"/>
  <c r="CK56"/>
  <c r="DA56"/>
  <c r="DI56"/>
  <c r="AE56"/>
  <c r="AU56"/>
  <c r="BK56"/>
  <c r="CA56"/>
  <c r="CQ56"/>
  <c r="DH56"/>
  <c r="DF56"/>
  <c r="CX56"/>
  <c r="CP56"/>
  <c r="CH56"/>
  <c r="BZ56"/>
  <c r="BR56"/>
  <c r="BJ56"/>
  <c r="BB56"/>
  <c r="AT56"/>
  <c r="AL56"/>
  <c r="AD56"/>
  <c r="V56"/>
  <c r="DG56"/>
  <c r="AC56"/>
  <c r="AS56"/>
  <c r="BI56"/>
  <c r="BY56"/>
  <c r="CO56"/>
  <c r="DE56"/>
  <c r="O56"/>
  <c r="O55" s="1"/>
  <c r="M55" i="28" s="1"/>
  <c r="AA56" i="11"/>
  <c r="AQ56"/>
  <c r="BG56"/>
  <c r="BW56"/>
  <c r="CM56"/>
  <c r="DC56"/>
  <c r="DD56"/>
  <c r="CV56"/>
  <c r="CN56"/>
  <c r="CF56"/>
  <c r="BX56"/>
  <c r="BP56"/>
  <c r="BH56"/>
  <c r="AZ56"/>
  <c r="AJ56"/>
  <c r="T56"/>
  <c r="AG56"/>
  <c r="BM56"/>
  <c r="CS56"/>
  <c r="W56"/>
  <c r="BC56"/>
  <c r="CI56"/>
  <c r="AR56"/>
  <c r="AB56"/>
  <c r="Q56"/>
  <c r="AW56"/>
  <c r="CC56"/>
  <c r="DL56"/>
  <c r="AM56"/>
  <c r="BS56"/>
  <c r="CY56"/>
  <c r="J23" i="14"/>
  <c r="J13"/>
  <c r="O19" i="13"/>
  <c r="AE246" i="28"/>
  <c r="AE245"/>
  <c r="O29" i="13" s="1"/>
  <c r="AE243" i="28"/>
  <c r="O27" i="13" s="1"/>
  <c r="AE242" i="28"/>
  <c r="O26" i="13" s="1"/>
  <c r="AE244" i="28"/>
  <c r="O28" i="13" s="1"/>
  <c r="AK47" i="28"/>
  <c r="AK46" s="1"/>
  <c r="AK45" s="1"/>
  <c r="AC48"/>
  <c r="AC47" s="1"/>
  <c r="AC46" s="1"/>
  <c r="AC45" s="1"/>
  <c r="AO195" i="11"/>
  <c r="Y196"/>
  <c r="Y197" s="1"/>
  <c r="Y198" s="1"/>
  <c r="AG47" i="28"/>
  <c r="AG46" s="1"/>
  <c r="AG45" s="1"/>
  <c r="Y48"/>
  <c r="Y47" s="1"/>
  <c r="Y46" s="1"/>
  <c r="Y45" s="1"/>
  <c r="N20" i="29"/>
  <c r="N30"/>
  <c r="N21"/>
  <c r="N25"/>
  <c r="N12"/>
  <c r="N32"/>
  <c r="N27"/>
  <c r="N4"/>
  <c r="N13"/>
  <c r="N8"/>
  <c r="N28"/>
  <c r="N23"/>
  <c r="N14"/>
  <c r="N33"/>
  <c r="N31"/>
  <c r="N5"/>
  <c r="N17"/>
  <c r="N24"/>
  <c r="N15"/>
  <c r="N19"/>
  <c r="N7"/>
  <c r="N10"/>
  <c r="N9"/>
  <c r="N18"/>
  <c r="R196" i="11"/>
  <c r="R197" s="1"/>
  <c r="R198" s="1"/>
  <c r="AP196"/>
  <c r="AP197" s="1"/>
  <c r="AP198" s="1"/>
  <c r="AU196"/>
  <c r="AU197" s="1"/>
  <c r="AU198" s="1"/>
  <c r="O47"/>
  <c r="AN195"/>
  <c r="AN196"/>
  <c r="AN197" s="1"/>
  <c r="AN198" s="1"/>
  <c r="S196" l="1"/>
  <c r="S197" s="1"/>
  <c r="S198" s="1"/>
  <c r="AF195"/>
  <c r="AS196"/>
  <c r="AS197" s="1"/>
  <c r="AS198" s="1"/>
  <c r="AE195"/>
  <c r="AI195"/>
  <c r="AQ196"/>
  <c r="AQ197" s="1"/>
  <c r="AQ198" s="1"/>
  <c r="Q195"/>
  <c r="AG196"/>
  <c r="AG197" s="1"/>
  <c r="AG198" s="1"/>
  <c r="T195"/>
  <c r="AK195"/>
  <c r="U195"/>
  <c r="Z195"/>
  <c r="G47" i="28"/>
  <c r="AJ195" i="11"/>
  <c r="V195"/>
  <c r="AR196"/>
  <c r="AR197" s="1"/>
  <c r="AR198" s="1"/>
  <c r="AC195"/>
  <c r="AB195"/>
  <c r="X196"/>
  <c r="X197" s="1"/>
  <c r="X198" s="1"/>
  <c r="AT195"/>
  <c r="AL196"/>
  <c r="AL197" s="1"/>
  <c r="AL198" s="1"/>
  <c r="W196"/>
  <c r="W197" s="1"/>
  <c r="W198" s="1"/>
  <c r="AA195"/>
  <c r="AH195"/>
  <c r="AD195"/>
  <c r="AM195"/>
  <c r="M47" i="28"/>
  <c r="O46" i="11"/>
  <c r="H13" i="14"/>
  <c r="H23"/>
  <c r="I19" i="13"/>
  <c r="Y246" i="28"/>
  <c r="Y244"/>
  <c r="I28" i="13" s="1"/>
  <c r="Y242" i="28"/>
  <c r="I26" i="13" s="1"/>
  <c r="Y243" i="28"/>
  <c r="I27" i="13" s="1"/>
  <c r="Y245" i="28"/>
  <c r="I29" i="13" s="1"/>
  <c r="AC243" i="28"/>
  <c r="M27" i="13" s="1"/>
  <c r="AC244" i="28"/>
  <c r="M28" i="13" s="1"/>
  <c r="M19"/>
  <c r="AC245" i="28"/>
  <c r="M29" i="13" s="1"/>
  <c r="AC242" i="28"/>
  <c r="M26" i="13" s="1"/>
  <c r="AC246" i="28"/>
  <c r="M30" i="13" s="1"/>
  <c r="J9" i="14"/>
  <c r="O30" i="13"/>
  <c r="J8" i="14"/>
  <c r="J6"/>
  <c r="J7"/>
  <c r="G46" i="28"/>
  <c r="G45" i="11"/>
  <c r="G45" i="28" l="1"/>
  <c r="G194" i="11"/>
  <c r="G242" i="28" s="1"/>
  <c r="H7" i="14"/>
  <c r="I30" i="13"/>
  <c r="H8" i="14"/>
  <c r="H9"/>
  <c r="H6"/>
  <c r="M46" i="28"/>
  <c r="O45" i="11"/>
  <c r="E9" i="24" l="1"/>
  <c r="F23" i="14"/>
  <c r="G19" i="13"/>
  <c r="M45" i="28"/>
  <c r="F13" i="14"/>
  <c r="O194" i="11"/>
  <c r="G26" i="13" l="1"/>
  <c r="M242" i="28"/>
  <c r="O196" i="11"/>
  <c r="O195"/>
  <c r="G27" i="13" l="1"/>
  <c r="M243" i="28"/>
  <c r="G28" i="13"/>
  <c r="O197" i="11"/>
  <c r="M244" i="28"/>
  <c r="M245" l="1"/>
  <c r="E29" i="24"/>
  <c r="G29" i="13"/>
  <c r="O198" i="11"/>
  <c r="G30" i="13" l="1"/>
  <c r="F8" i="14"/>
  <c r="F7"/>
  <c r="F6"/>
  <c r="F9"/>
  <c r="M246" i="28"/>
</calcChain>
</file>

<file path=xl/comments1.xml><?xml version="1.0" encoding="utf-8"?>
<comments xmlns="http://schemas.openxmlformats.org/spreadsheetml/2006/main">
  <authors>
    <author>Lisamaria</author>
    <author>Christina Ipser</author>
  </authors>
  <commentList>
    <comment ref="D5" authorId="0">
      <text>
        <r>
          <rPr>
            <sz val="8"/>
            <color indexed="81"/>
            <rFont val="Tahoma"/>
            <family val="2"/>
          </rPr>
          <t>Je nach ausgewählter Projektart werden unterschiedliche Voreinstellungswerte in den Folgeblättern aktiviert.</t>
        </r>
      </text>
    </comment>
    <comment ref="D16" authorId="0">
      <text>
        <r>
          <rPr>
            <sz val="8"/>
            <color indexed="81"/>
            <rFont val="Tahoma"/>
            <family val="2"/>
          </rPr>
          <t>Entsprechend Ihrer Auswahl wird die Umsatzsteuer bei allen Voreinstellungswerten automatisch berücksichtigt oder nicht. Beachten Sie, dass Sie sämtliche Kostendaten in den Folgeblättern Ihrer Auswahl entsprechend ebenfalls mit oder ohne Umsatzsteuer eingeben müssen.</t>
        </r>
      </text>
    </comment>
    <comment ref="D19" authorId="1">
      <text>
        <r>
          <rPr>
            <sz val="8"/>
            <color indexed="81"/>
            <rFont val="Tahoma"/>
            <family val="2"/>
          </rPr>
          <t>Durch Auswahl des Energiebedarfsprofils werden verschiedene hinterlegte Energieszenarien aktiviert. Dadurch aktivierte Voreinstellungen können in den Folgeblättern überprüft und bei Bedarf überschrieben werden. Die vier Energiebedarfsprofile bilden sowohl Neubau- wie auch Bestandobjekte ab und inkludieren neben der baulichen Qualität auch die Ausstattung, Belegungsfaktoren und das Nutzungsverhalten.</t>
        </r>
      </text>
    </comment>
    <comment ref="D26" authorId="1">
      <text>
        <r>
          <rPr>
            <sz val="8"/>
            <color indexed="81"/>
            <rFont val="Tahoma"/>
            <family val="2"/>
          </rPr>
          <t xml:space="preserve">Geben Sie hier an ob die Erträge der solarthermischen Kollektoren (Wärme) niedrig, mittel oder hoch sind, oder ob keine Energieproduktion mittels Solarthermie erfolgt. Dadurch aktivierte Voreinstellungen können in den Folgeblättern überprüft und bei Bedarf überschrieben werden. </t>
        </r>
      </text>
    </comment>
    <comment ref="D27" authorId="1">
      <text>
        <r>
          <rPr>
            <sz val="8"/>
            <color indexed="81"/>
            <rFont val="Tahoma"/>
            <family val="2"/>
          </rPr>
          <t>Geben Sie hier an ob die Erträge der Photovoltaikanlage (elektrischer Strom) niedrig, mittel oder hoch sind, oder ob keine Energieproduktion mittels Photovoltaik erfolgt. Dadurch aktivierte Voreinstellungen können in den Folgeblättern überprüft und bei Bedarf überschrieben werden.</t>
        </r>
      </text>
    </comment>
  </commentList>
</comments>
</file>

<file path=xl/comments10.xml><?xml version="1.0" encoding="utf-8"?>
<comments xmlns="http://schemas.openxmlformats.org/spreadsheetml/2006/main">
  <authors>
    <author>Lisamaria</author>
  </authors>
  <commentList>
    <comment ref="D8" authorId="0">
      <text>
        <r>
          <rPr>
            <sz val="8"/>
            <color indexed="81"/>
            <rFont val="Tahoma"/>
            <family val="2"/>
          </rPr>
          <t>W: Wartung in % der Errichtungskosten
I: Kleine Instandsetzung/ Reparaturen in % der Errichtungskosten</t>
        </r>
      </text>
    </comment>
  </commentList>
</comments>
</file>

<file path=xl/comments11.xml><?xml version="1.0" encoding="utf-8"?>
<comments xmlns="http://schemas.openxmlformats.org/spreadsheetml/2006/main">
  <authors>
    <author>Lisamaria</author>
    <author>Christina Ipser</author>
  </authors>
  <commentList>
    <comment ref="D4" authorId="0">
      <text>
        <r>
          <rPr>
            <sz val="8"/>
            <color indexed="81"/>
            <rFont val="Tahoma"/>
            <family val="2"/>
          </rPr>
          <t>Quelle Default: Heizvergleich, Österreichische Energeiagentur</t>
        </r>
      </text>
    </comment>
    <comment ref="D5" authorId="0">
      <text>
        <r>
          <rPr>
            <sz val="8"/>
            <color indexed="81"/>
            <rFont val="Tahoma"/>
            <family val="2"/>
          </rPr>
          <t>Quelle Default: http://www.e-control.at/de/konsumenten/strom/strompreis/strompreis-monitor</t>
        </r>
      </text>
    </comment>
    <comment ref="D6" authorId="0">
      <text>
        <r>
          <rPr>
            <sz val="8"/>
            <color indexed="81"/>
            <rFont val="Tahoma"/>
            <family val="2"/>
          </rPr>
          <t>Quelle Default: Heizvergleich, Österreichische Energeiagentur</t>
        </r>
      </text>
    </comment>
    <comment ref="D7" authorId="0">
      <text>
        <r>
          <rPr>
            <sz val="8"/>
            <color indexed="81"/>
            <rFont val="Tahoma"/>
            <family val="2"/>
          </rPr>
          <t>Quelle Default: http://www.iwo-austria.at/nc/konsumenten/heizkosten/energiepreisinformation.html (inkl. Leistungs- u. Messpreis)</t>
        </r>
      </text>
    </comment>
    <comment ref="D9" authorId="0">
      <text>
        <r>
          <rPr>
            <sz val="8"/>
            <color indexed="81"/>
            <rFont val="Tahoma"/>
            <family val="2"/>
          </rPr>
          <t>Quelle Default: http://www.propellets.at/de/pelletpreise/preisvergleiche/</t>
        </r>
      </text>
    </comment>
    <comment ref="D10" authorId="0">
      <text>
        <r>
          <rPr>
            <sz val="8"/>
            <color indexed="81"/>
            <rFont val="Tahoma"/>
            <family val="2"/>
          </rPr>
          <t>Quelle Default: http://www.energieinstitut.at/?sID=2850</t>
        </r>
      </text>
    </comment>
    <comment ref="D13" authorId="0">
      <text>
        <r>
          <rPr>
            <sz val="8"/>
            <color indexed="81"/>
            <rFont val="Tahoma"/>
            <family val="2"/>
          </rPr>
          <t>Quellen Default: Ökostrom- Einspeisetarifverordnung 2014 (12,5 Cent/kWh für 13 Jahre), ohne Anerkennung als Ökostromanlage ist nur die ÖMAG - Abwicklungsstelle für Ökostrom AG zur Abnahme des Stroms zu gängigen Marktpreisen verpflichtet (2. Quartal 2014: 3,49 Cent/kWh). 
Detaillierte Infos zu PV-Einspeistarifen finden Sie unter: 
http://www.pvaustria.at/meine-pv-anlage/strom-verkaufen/</t>
        </r>
      </text>
    </comment>
    <comment ref="D96" authorId="1">
      <text>
        <r>
          <rPr>
            <sz val="8"/>
            <color indexed="81"/>
            <rFont val="Tahoma"/>
            <family val="2"/>
          </rPr>
          <t>Quelle Default: Wasserwerke Wien, Stand Jänner 2013</t>
        </r>
      </text>
    </comment>
    <comment ref="D97" authorId="1">
      <text>
        <r>
          <rPr>
            <sz val="8"/>
            <color indexed="81"/>
            <rFont val="Tahoma"/>
            <family val="2"/>
          </rPr>
          <t>Quelle Default: Wasserwerke Wien, Stand Jänner 2013</t>
        </r>
      </text>
    </comment>
    <comment ref="D98" authorId="1">
      <text>
        <r>
          <rPr>
            <sz val="8"/>
            <color indexed="81"/>
            <rFont val="Tahoma"/>
            <family val="2"/>
          </rPr>
          <t xml:space="preserve">Default Mehrgeschoßiger Wohnbau: 135 l pro Person und Tag, vgl.: Neunteufel u.a.: Wasserverbrauch und Wasserbedarf. Wien: Bundesministerium für Land- und Forstwirtschaft, Umwelt und Wasserwirtschaft, 2012.
Default Büro: 40 l pro Person und Tag (einfache Ausstattung, ohne Kantine), vgl.: Mutschmann u.a.: Taschenbuch der Wasserversorgung. Wiesbaden: Vieweg, 2007.
Default Schule/Kindergarten 40 l pro Person und Tag (Schule mit Duschen), vgl.: Mutschmann u.a.: Taschenbuch der Wasserversorgung. Wiesbaden: Vieweg, 2007.
</t>
        </r>
      </text>
    </comment>
    <comment ref="D101" authorId="1">
      <text>
        <r>
          <rPr>
            <sz val="8"/>
            <color indexed="81"/>
            <rFont val="Tahoma"/>
            <family val="2"/>
          </rPr>
          <t>Default: 1 l pro m² Grünfläche und Tag, vgl.: Neunteufel u.a.: Wasserverbrauch und Wasserbedarf. Wien: Bundesministerium für Land- und Forstwirtschaft, Umwelt und Wasserwirtschaft, 2012.</t>
        </r>
      </text>
    </comment>
    <comment ref="D104" authorId="1">
      <text>
        <r>
          <rPr>
            <sz val="8"/>
            <color indexed="81"/>
            <rFont val="Tahoma"/>
            <family val="2"/>
          </rPr>
          <t>Quelle Default: Wien MA48, Stand Jänner 2013</t>
        </r>
      </text>
    </comment>
    <comment ref="D105" authorId="1">
      <text>
        <r>
          <rPr>
            <sz val="8"/>
            <color indexed="81"/>
            <rFont val="Tahoma"/>
            <family val="2"/>
          </rPr>
          <t>Restmüll, Annahme Default:
Schule/Kindergarten: 0,5 m³/Person a
Büro: 1,0 m³/Person a
Mehrgeschoßiger Wohnbau: 1,5 m³/Person a
vgl. dazu Bundes-Abfallwirtschaftsplan 2011: jährliches Restmüllaufkommen pro EW in Österrreich ca. 1,68 m³</t>
        </r>
      </text>
    </comment>
  </commentList>
</comments>
</file>

<file path=xl/comments12.xml><?xml version="1.0" encoding="utf-8"?>
<comments xmlns="http://schemas.openxmlformats.org/spreadsheetml/2006/main">
  <authors>
    <author>Christina Ipser</author>
  </authors>
  <commentList>
    <comment ref="D60" authorId="0">
      <text>
        <r>
          <rPr>
            <sz val="8"/>
            <color indexed="81"/>
            <rFont val="Tahoma"/>
            <family val="2"/>
          </rPr>
          <t>Quelle Defaultwerte: 
LEKOS bzw. IBO Materialökologie</t>
        </r>
      </text>
    </comment>
  </commentList>
</comments>
</file>

<file path=xl/comments13.xml><?xml version="1.0" encoding="utf-8"?>
<comments xmlns="http://schemas.openxmlformats.org/spreadsheetml/2006/main">
  <authors>
    <author>Lisamaria</author>
  </authors>
  <commentList>
    <comment ref="D3" authorId="0">
      <text>
        <r>
          <rPr>
            <sz val="8"/>
            <color indexed="81"/>
            <rFont val="Tahoma"/>
            <family val="2"/>
          </rPr>
          <t>Quelle Default: Excel-Tool zur Kostenermittlung für Rückbau- und Abbrucharbeiten des LUBW</t>
        </r>
      </text>
    </comment>
    <comment ref="D4" authorId="0">
      <text>
        <r>
          <rPr>
            <sz val="8"/>
            <color indexed="81"/>
            <rFont val="Tahoma"/>
            <family val="2"/>
          </rPr>
          <t>Quelle Default: Excel-Tool zur Kostenermittlung für Rückbau- und Abbrucharbeiten des LUBW</t>
        </r>
      </text>
    </comment>
    <comment ref="D16" authorId="0">
      <text>
        <r>
          <rPr>
            <sz val="8"/>
            <color indexed="81"/>
            <rFont val="Tahoma"/>
            <family val="2"/>
          </rPr>
          <t>Quelle Default: Excel-Tool zur Kostenermittlung für Rückbau- und Abbrucharbeiten des LUBW</t>
        </r>
      </text>
    </comment>
    <comment ref="D17" authorId="0">
      <text>
        <r>
          <rPr>
            <sz val="8"/>
            <color indexed="81"/>
            <rFont val="Tahoma"/>
            <family val="2"/>
          </rPr>
          <t>Quelle Default: Excel-Tool zur Kostenermittlung für Rückbau- und Abbrucharbeiten des LUBW</t>
        </r>
      </text>
    </comment>
    <comment ref="D18" authorId="0">
      <text>
        <r>
          <rPr>
            <sz val="8"/>
            <color indexed="81"/>
            <rFont val="Tahoma"/>
            <family val="2"/>
          </rPr>
          <t>Quelle Default: Excel-Tool zur Kostenermittlung für Rückbau- und Abbrucharbeiten des LUBW</t>
        </r>
      </text>
    </comment>
    <comment ref="D19" authorId="0">
      <text>
        <r>
          <rPr>
            <sz val="8"/>
            <color indexed="81"/>
            <rFont val="Tahoma"/>
            <family val="2"/>
          </rPr>
          <t>Quelle Default: Excel-Tool zur Kostenermittlung für Rückbau- und Abbrucharbeiten des LUBW</t>
        </r>
      </text>
    </comment>
    <comment ref="D20" authorId="0">
      <text>
        <r>
          <rPr>
            <sz val="8"/>
            <color indexed="81"/>
            <rFont val="Tahoma"/>
            <family val="2"/>
          </rPr>
          <t>Quelle Default: Excel-Tool zur Kostenermittlung für Rückbau- und Abbrucharbeiten des LUBW</t>
        </r>
      </text>
    </comment>
    <comment ref="D21" authorId="0">
      <text>
        <r>
          <rPr>
            <sz val="8"/>
            <color indexed="81"/>
            <rFont val="Tahoma"/>
            <family val="2"/>
          </rPr>
          <t>Quelle Default: Excel-Tool zur Kostenermittlung für Rückbau- und Abbrucharbeiten des LUBW</t>
        </r>
      </text>
    </comment>
    <comment ref="D22" authorId="0">
      <text>
        <r>
          <rPr>
            <sz val="8"/>
            <color indexed="81"/>
            <rFont val="Tahoma"/>
            <family val="2"/>
          </rPr>
          <t>Quelle Default: Excel-Tool zur Kostenermittlung für Rückbau- und Abbrucharbeiten des LUBW</t>
        </r>
      </text>
    </comment>
    <comment ref="D23" authorId="0">
      <text>
        <r>
          <rPr>
            <sz val="8"/>
            <color indexed="81"/>
            <rFont val="Tahoma"/>
            <family val="2"/>
          </rPr>
          <t>Quelle Default: Excel-Tool zur Kostenermittlung für Rückbau- und Abbrucharbeiten des LUBW</t>
        </r>
      </text>
    </comment>
    <comment ref="D24" authorId="0">
      <text>
        <r>
          <rPr>
            <sz val="8"/>
            <color indexed="81"/>
            <rFont val="Tahoma"/>
            <family val="2"/>
          </rPr>
          <t>Quelle Default: Excel-Tool zur Kostenermittlung für Rückbau- und Abbrucharbeiten des LUBW</t>
        </r>
      </text>
    </comment>
    <comment ref="D26" authorId="0">
      <text>
        <r>
          <rPr>
            <sz val="8"/>
            <color indexed="81"/>
            <rFont val="Tahoma"/>
            <family val="2"/>
          </rPr>
          <t>Quelle Default: Excel-Tool zur Kostenermittlung für Rückbau- und Abbrucharbeiten des LUBW</t>
        </r>
      </text>
    </comment>
    <comment ref="D27" authorId="0">
      <text>
        <r>
          <rPr>
            <sz val="8"/>
            <color indexed="81"/>
            <rFont val="Tahoma"/>
            <family val="2"/>
          </rPr>
          <t>Quelle Default: Excel-Tool zur Kostenermittlung für Rückbau- und Abbrucharbeiten des LUBW</t>
        </r>
      </text>
    </comment>
    <comment ref="D28" authorId="0">
      <text>
        <r>
          <rPr>
            <sz val="8"/>
            <color indexed="81"/>
            <rFont val="Tahoma"/>
            <family val="2"/>
          </rPr>
          <t>Quelle Default: Excel-Tool zur Kostenermittlung für Rückbau- und Abbrucharbeiten des LUBW</t>
        </r>
      </text>
    </comment>
    <comment ref="D29" authorId="0">
      <text>
        <r>
          <rPr>
            <sz val="8"/>
            <color indexed="81"/>
            <rFont val="Tahoma"/>
            <family val="2"/>
          </rPr>
          <t>Quelle Default: Excel-Tool zur Kostenermittlung für Rückbau- und Abbrucharbeiten des LUBW</t>
        </r>
      </text>
    </comment>
    <comment ref="D30" authorId="0">
      <text>
        <r>
          <rPr>
            <sz val="8"/>
            <color indexed="81"/>
            <rFont val="Tahoma"/>
            <family val="2"/>
          </rPr>
          <t>Quelle Default: Excel-Tool zur Kostenermittlung für Rückbau- und Abbrucharbeiten des LUBW</t>
        </r>
      </text>
    </comment>
    <comment ref="D32" authorId="0">
      <text>
        <r>
          <rPr>
            <sz val="8"/>
            <color indexed="81"/>
            <rFont val="Tahoma"/>
            <family val="2"/>
          </rPr>
          <t>Quelle Default: Excel-Tool zur Kostenermittlung für Rückbau- und Abbrucharbeiten des LUBW</t>
        </r>
      </text>
    </comment>
    <comment ref="D44" authorId="0">
      <text>
        <r>
          <rPr>
            <sz val="8"/>
            <color indexed="81"/>
            <rFont val="Tahoma"/>
            <family val="2"/>
          </rPr>
          <t>Quelle Default: Excel-Tool zur Kostenermittlung für Rückbau- und Abbrucharbeiten des LUBW</t>
        </r>
      </text>
    </comment>
  </commentList>
</comments>
</file>

<file path=xl/comments14.xml><?xml version="1.0" encoding="utf-8"?>
<comments xmlns="http://schemas.openxmlformats.org/spreadsheetml/2006/main">
  <authors>
    <author>Christina Ipser</author>
  </authors>
  <commentList>
    <comment ref="J5" authorId="0">
      <text>
        <r>
          <rPr>
            <sz val="8"/>
            <color indexed="81"/>
            <rFont val="Tahoma"/>
            <family val="2"/>
          </rPr>
          <t>Quelle Default: STATISTIK AUSTRIA: Vorläufiger Pkw-Bestand am 31.12.2013 nach Kraftstoffarten bzw. Energiequelle</t>
        </r>
      </text>
    </comment>
    <comment ref="L5" authorId="0">
      <text>
        <r>
          <rPr>
            <sz val="8"/>
            <color indexed="81"/>
            <rFont val="Tahoma"/>
            <family val="2"/>
          </rPr>
          <t>Quelle Default: STATISTIK AUSTRIA: Vorläufiger Pkw-Bestand am 31.12.2013 nach Kraftstoffarten bzw. Energiequelle</t>
        </r>
      </text>
    </comment>
    <comment ref="J6" authorId="0">
      <text>
        <r>
          <rPr>
            <sz val="8"/>
            <color indexed="81"/>
            <rFont val="Tahoma"/>
            <family val="2"/>
          </rPr>
          <t>Quelle Default: STATISTIK AUSTRIA: Vorläufiger Pkw-Bestand am 31.12.2013 nach Kraftstoffarten bzw. Energiequelle</t>
        </r>
      </text>
    </comment>
    <comment ref="L6" authorId="0">
      <text>
        <r>
          <rPr>
            <sz val="8"/>
            <color indexed="81"/>
            <rFont val="Tahoma"/>
            <family val="2"/>
          </rPr>
          <t>Quelle Default: STATISTIK AUSTRIA: Vorläufiger Pkw-Bestand am 31.12.2013 nach Kraftstoffarten bzw. Energiequelle</t>
        </r>
      </text>
    </comment>
    <comment ref="J7" authorId="0">
      <text>
        <r>
          <rPr>
            <sz val="8"/>
            <color indexed="81"/>
            <rFont val="Tahoma"/>
            <family val="2"/>
          </rPr>
          <t>Quelle Default: STATISTIK AUSTRIA: Vorläufiger Pkw-Bestand am 31.12.2013 nach Kraftstoffarten bzw. Energiequelle</t>
        </r>
      </text>
    </comment>
    <comment ref="L7" authorId="0">
      <text>
        <r>
          <rPr>
            <sz val="8"/>
            <color indexed="81"/>
            <rFont val="Tahoma"/>
            <family val="2"/>
          </rPr>
          <t>Quelle Default: STATISTIK AUSTRIA: Vorläufiger Pkw-Bestand am 31.12.2013 nach Kraftstoffarten bzw. Energiequelle</t>
        </r>
      </text>
    </comment>
    <comment ref="J8" authorId="0">
      <text>
        <r>
          <rPr>
            <sz val="8"/>
            <color indexed="81"/>
            <rFont val="Tahoma"/>
            <family val="2"/>
          </rPr>
          <t>Quelle Default: STATISTIK AUSTRIA: Vorläufiger Pkw-Bestand am 31.12.2013 nach Kraftstoffarten bzw. Energiequelle</t>
        </r>
      </text>
    </comment>
    <comment ref="L8" authorId="0">
      <text>
        <r>
          <rPr>
            <sz val="8"/>
            <color indexed="81"/>
            <rFont val="Tahoma"/>
            <family val="2"/>
          </rPr>
          <t>Quelle Default: STATISTIK AUSTRIA: Vorläufiger Pkw-Bestand am 31.12.2013 nach Kraftstoffarten bzw. Energiequelle</t>
        </r>
      </text>
    </comment>
    <comment ref="J9" authorId="0">
      <text>
        <r>
          <rPr>
            <sz val="8"/>
            <color indexed="81"/>
            <rFont val="Tahoma"/>
            <family val="2"/>
          </rPr>
          <t>Quelle Default: Annahme</t>
        </r>
      </text>
    </comment>
    <comment ref="J13" authorId="0">
      <text>
        <r>
          <rPr>
            <sz val="8"/>
            <color indexed="81"/>
            <rFont val="Tahoma"/>
            <family val="2"/>
          </rPr>
          <t>Quelle Default: Annahme</t>
        </r>
      </text>
    </comment>
    <comment ref="L13" authorId="0">
      <text>
        <r>
          <rPr>
            <sz val="8"/>
            <color indexed="81"/>
            <rFont val="Tahoma"/>
            <family val="2"/>
          </rPr>
          <t>Quelle Default: Annahme</t>
        </r>
      </text>
    </comment>
    <comment ref="J14" authorId="0">
      <text>
        <r>
          <rPr>
            <sz val="8"/>
            <color indexed="81"/>
            <rFont val="Tahoma"/>
            <family val="2"/>
          </rPr>
          <t>Quelle Default: Annahme</t>
        </r>
      </text>
    </comment>
    <comment ref="L14" authorId="0">
      <text>
        <r>
          <rPr>
            <sz val="8"/>
            <color indexed="81"/>
            <rFont val="Tahoma"/>
            <family val="2"/>
          </rPr>
          <t>Quelle Default: Annahme</t>
        </r>
      </text>
    </comment>
    <comment ref="J15" authorId="0">
      <text>
        <r>
          <rPr>
            <sz val="8"/>
            <color indexed="81"/>
            <rFont val="Tahoma"/>
            <family val="2"/>
          </rPr>
          <t>Quelle Default: Annahme, vgl. http://www.wien.gv.at/statistik/verkehr-wohnen/oeffentlich/</t>
        </r>
      </text>
    </comment>
    <comment ref="L15" authorId="0">
      <text>
        <r>
          <rPr>
            <sz val="8"/>
            <color indexed="81"/>
            <rFont val="Tahoma"/>
            <family val="2"/>
          </rPr>
          <t>Quelle Default: Annahme, vgl. http://www.wien.gv.at/statistik/verkehr-wohnen/oeffentlich/</t>
        </r>
      </text>
    </comment>
    <comment ref="J16" authorId="0">
      <text>
        <r>
          <rPr>
            <sz val="8"/>
            <color indexed="81"/>
            <rFont val="Tahoma"/>
            <family val="2"/>
          </rPr>
          <t>Quelle Default: Annahme, vgl. http://www.wien.gv.at/statistik/verkehr-wohnen/oeffentlich/</t>
        </r>
      </text>
    </comment>
    <comment ref="L16" authorId="0">
      <text>
        <r>
          <rPr>
            <sz val="8"/>
            <color indexed="81"/>
            <rFont val="Tahoma"/>
            <family val="2"/>
          </rPr>
          <t>Quelle Default: Annahme, vgl. http://www.wien.gv.at/statistik/verkehr-wohnen/oeffentlich/</t>
        </r>
      </text>
    </comment>
    <comment ref="J17" authorId="0">
      <text>
        <r>
          <rPr>
            <sz val="8"/>
            <color indexed="81"/>
            <rFont val="Tahoma"/>
            <family val="2"/>
          </rPr>
          <t>Quelle Default: Annahme</t>
        </r>
      </text>
    </comment>
  </commentList>
</comments>
</file>

<file path=xl/comments2.xml><?xml version="1.0" encoding="utf-8"?>
<comments xmlns="http://schemas.openxmlformats.org/spreadsheetml/2006/main">
  <authors>
    <author>Lisamaria</author>
  </authors>
  <commentList>
    <comment ref="D9" authorId="0">
      <text>
        <r>
          <rPr>
            <sz val="8"/>
            <color indexed="81"/>
            <rFont val="Tahoma"/>
            <family val="2"/>
          </rPr>
          <t xml:space="preserve">Nur anzugeben, wenn BGF belüftet von BGF beheizt abweicht
</t>
        </r>
      </text>
    </comment>
    <comment ref="D10" authorId="0">
      <text>
        <r>
          <rPr>
            <sz val="8"/>
            <color indexed="81"/>
            <rFont val="Tahoma"/>
            <family val="2"/>
          </rPr>
          <t>Nur anzugeben, wenn BGF gekühlt von BGF beheizt abweicht</t>
        </r>
      </text>
    </comment>
    <comment ref="D15" authorId="0">
      <text>
        <r>
          <rPr>
            <sz val="8"/>
            <color indexed="81"/>
            <rFont val="Tahoma"/>
            <family val="2"/>
          </rPr>
          <t>inkl. Fassadenöffnungen (Fenster und Türen)</t>
        </r>
      </text>
    </comment>
    <comment ref="D18" authorId="0">
      <text>
        <r>
          <rPr>
            <sz val="8"/>
            <color indexed="81"/>
            <rFont val="Tahoma"/>
            <family val="2"/>
          </rPr>
          <t>Bleibt dieses Eingabefeld frei, so wird automatisch eine Summe der Unterpunkte "Fläche Kellerdecke", "Fläche Geschoßdecke" und "Fläche vorkragende Decke" gebildet. Durch Eingabe überschreiben Sie diesen voreingestellten Summenwert.</t>
        </r>
      </text>
    </comment>
    <comment ref="D36" authorId="0">
      <text>
        <r>
          <rPr>
            <sz val="8"/>
            <color indexed="81"/>
            <rFont val="Tahoma"/>
            <family val="2"/>
          </rPr>
          <t>z.B. Büro- und Wohnflächen, meist Nutzfläche abzüglich Sanitärflächen</t>
        </r>
      </text>
    </comment>
    <comment ref="D39" authorId="0">
      <text>
        <r>
          <rPr>
            <sz val="8"/>
            <color indexed="81"/>
            <rFont val="Tahoma"/>
            <family val="2"/>
          </rPr>
          <t>Gang-, Stiegen-, Garagen- und Nebenraumflächen</t>
        </r>
      </text>
    </comment>
    <comment ref="D61" authorId="0">
      <text>
        <r>
          <rPr>
            <sz val="8"/>
            <color indexed="81"/>
            <rFont val="Tahoma"/>
            <family val="2"/>
          </rPr>
          <t>Jeder Haltepunkt jeder Aufzugskabine wird hier einmal gezählt. Bei zwei Aufzügen mit je vier Haltepunkten (Keller, EG, OG1, OG2) beträgt die Anzahl der Aufzugstationen somit acht.</t>
        </r>
      </text>
    </comment>
  </commentList>
</comments>
</file>

<file path=xl/comments3.xml><?xml version="1.0" encoding="utf-8"?>
<comments xmlns="http://schemas.openxmlformats.org/spreadsheetml/2006/main">
  <authors>
    <author>Lisamaria</author>
  </authors>
  <commentList>
    <comment ref="D7" authorId="0">
      <text>
        <r>
          <rPr>
            <sz val="8"/>
            <color indexed="81"/>
            <rFont val="Tahoma"/>
            <family val="2"/>
          </rPr>
          <t>Nicht weiter spezifizierte Kosten der Kostengruppe können hier eingegeben werden</t>
        </r>
      </text>
    </comment>
    <comment ref="D16" authorId="0">
      <text>
        <r>
          <rPr>
            <sz val="8"/>
            <color indexed="81"/>
            <rFont val="Tahoma"/>
            <family val="2"/>
          </rPr>
          <t>Nicht weiter spezifizierte Kosten der Kostengruppe können hier eingegeben werden</t>
        </r>
      </text>
    </comment>
    <comment ref="D35" authorId="0">
      <text>
        <r>
          <rPr>
            <sz val="8"/>
            <color indexed="81"/>
            <rFont val="Tahoma"/>
            <family val="2"/>
          </rPr>
          <t>1 m³ Armierungsstahl entspricht ca.7800 kg</t>
        </r>
      </text>
    </comment>
    <comment ref="D49" authorId="0">
      <text>
        <r>
          <rPr>
            <sz val="8"/>
            <color indexed="81"/>
            <rFont val="Tahoma"/>
            <family val="2"/>
          </rPr>
          <t>Nicht weiter spezifizierte Kosten der Kostengruppe können hier eingegeben werden</t>
        </r>
      </text>
    </comment>
    <comment ref="D61" authorId="0">
      <text>
        <r>
          <rPr>
            <sz val="8"/>
            <color indexed="81"/>
            <rFont val="Tahoma"/>
            <family val="2"/>
          </rPr>
          <t>Nicht weiter spezifizierte Kosten der Kostengruppe können hier eingegeben werden</t>
        </r>
      </text>
    </comment>
    <comment ref="D75" authorId="0">
      <text>
        <r>
          <rPr>
            <sz val="8"/>
            <color indexed="81"/>
            <rFont val="Tahoma"/>
            <family val="2"/>
          </rPr>
          <t>Nicht weiter spezifizierte Kosten der Kostengruppe können hier eingegeben werden</t>
        </r>
      </text>
    </comment>
    <comment ref="D77" authorId="0">
      <text>
        <r>
          <rPr>
            <sz val="8"/>
            <color indexed="81"/>
            <rFont val="Tahoma"/>
            <family val="2"/>
          </rPr>
          <t>Nicht weiter spezifizierte Kosten der Kostengruppe können hier eingegeben werden</t>
        </r>
      </text>
    </comment>
    <comment ref="D80" authorId="0">
      <text>
        <r>
          <rPr>
            <sz val="8"/>
            <color indexed="81"/>
            <rFont val="Tahoma"/>
            <family val="2"/>
          </rPr>
          <t>z.B. Aufzugsanlagen</t>
        </r>
      </text>
    </comment>
    <comment ref="D87" authorId="0">
      <text>
        <r>
          <rPr>
            <sz val="8"/>
            <color indexed="81"/>
            <rFont val="Tahoma"/>
            <family val="2"/>
          </rPr>
          <t>Nicht weiter spezifizierte Kosten der Kostengruppe können hier eingegeben werden</t>
        </r>
      </text>
    </comment>
    <comment ref="D94" authorId="0">
      <text>
        <r>
          <rPr>
            <sz val="8"/>
            <color indexed="81"/>
            <rFont val="Tahoma"/>
            <family val="2"/>
          </rPr>
          <t>Nicht weiter spezifizierte Kosten der Kostengruppe können hier eingegeben werden</t>
        </r>
      </text>
    </comment>
    <comment ref="D100" authorId="0">
      <text>
        <r>
          <rPr>
            <sz val="8"/>
            <color indexed="81"/>
            <rFont val="Tahoma"/>
            <family val="2"/>
          </rPr>
          <t>Nicht weiter spezifizierte Kosten der Kostengruppe können hier eingegeben werden</t>
        </r>
      </text>
    </comment>
    <comment ref="D111" authorId="0">
      <text>
        <r>
          <rPr>
            <sz val="8"/>
            <color indexed="81"/>
            <rFont val="Tahoma"/>
            <family val="2"/>
          </rPr>
          <t>Nicht weiter spezifizierte Kosten der Kostengruppe können hier eingegeben werden</t>
        </r>
      </text>
    </comment>
    <comment ref="D120" authorId="0">
      <text>
        <r>
          <rPr>
            <sz val="8"/>
            <color indexed="81"/>
            <rFont val="Tahoma"/>
            <family val="2"/>
          </rPr>
          <t>Nicht weiter spezifizierte Kosten der Kostengruppe können hier eingegeben werden</t>
        </r>
      </text>
    </comment>
    <comment ref="D123" authorId="0">
      <text>
        <r>
          <rPr>
            <sz val="8"/>
            <color indexed="81"/>
            <rFont val="Tahoma"/>
            <family val="2"/>
          </rPr>
          <t>Nicht weiter spezifizierte Kosten der Kostengruppe können hier eingegeben werden</t>
        </r>
      </text>
    </comment>
    <comment ref="D127" authorId="0">
      <text>
        <r>
          <rPr>
            <sz val="8"/>
            <color indexed="81"/>
            <rFont val="Tahoma"/>
            <family val="2"/>
          </rPr>
          <t>Nicht weiter spezifizierte Kosten der Kostengruppe können hier eingegeben werden</t>
        </r>
      </text>
    </comment>
    <comment ref="D129" authorId="0">
      <text>
        <r>
          <rPr>
            <sz val="8"/>
            <color indexed="81"/>
            <rFont val="Tahoma"/>
            <family val="2"/>
          </rPr>
          <t>Nicht weiter spezifizierte Kosten der Kostengruppe können hier eingegeben werden</t>
        </r>
      </text>
    </comment>
    <comment ref="D136" authorId="0">
      <text>
        <r>
          <rPr>
            <sz val="8"/>
            <color indexed="81"/>
            <rFont val="Tahoma"/>
            <family val="2"/>
          </rPr>
          <t>Kosten und Umweltwirkungen der Photovoltaikmodule werden unter E3.F.02 Eigenstromversorgung berücksichtigt</t>
        </r>
      </text>
    </comment>
    <comment ref="D137" authorId="0">
      <text>
        <r>
          <rPr>
            <sz val="8"/>
            <color indexed="81"/>
            <rFont val="Tahoma"/>
            <family val="2"/>
          </rPr>
          <t>Kosten und Umweltwirkungen der Solarkollektoren werden unter E3.C.01 Wärmeerzeugungsanlagen berücksichtigt</t>
        </r>
      </text>
    </comment>
    <comment ref="D142" authorId="0">
      <text>
        <r>
          <rPr>
            <sz val="8"/>
            <color indexed="81"/>
            <rFont val="Tahoma"/>
            <family val="2"/>
          </rPr>
          <t>Nicht weiter spezifizierte Kosten der Kostengruppe können hier eingegeben werden</t>
        </r>
      </text>
    </comment>
    <comment ref="D150" authorId="0">
      <text>
        <r>
          <rPr>
            <sz val="8"/>
            <color indexed="81"/>
            <rFont val="Tahoma"/>
            <family val="2"/>
          </rPr>
          <t>Kosten und Umweltwirkungen der Photovoltaikmodule werden unter E3.F.02 Eigenstromversorgung berücksichtigt</t>
        </r>
      </text>
    </comment>
    <comment ref="D151" authorId="0">
      <text>
        <r>
          <rPr>
            <sz val="8"/>
            <color indexed="81"/>
            <rFont val="Tahoma"/>
            <family val="2"/>
          </rPr>
          <t>Kosten und Umweltwirkungen der Solarkollektoren werden unter E3.C.01 Wärmeerzeugungsanlagen berücksichtigt</t>
        </r>
      </text>
    </comment>
    <comment ref="D160" authorId="0">
      <text>
        <r>
          <rPr>
            <sz val="8"/>
            <color indexed="81"/>
            <rFont val="Tahoma"/>
            <family val="2"/>
          </rPr>
          <t>Nicht weiter spezifizierte Kosten der Kostengruppe können hier eingegeben werden</t>
        </r>
      </text>
    </comment>
    <comment ref="D165" authorId="0">
      <text>
        <r>
          <rPr>
            <sz val="8"/>
            <color indexed="81"/>
            <rFont val="Tahoma"/>
            <family val="2"/>
          </rPr>
          <t>Nicht weiter spezifizierte Kosten der Kostengruppe können hier eingegeben werden</t>
        </r>
      </text>
    </comment>
    <comment ref="D182" authorId="0">
      <text>
        <r>
          <rPr>
            <sz val="8"/>
            <color indexed="81"/>
            <rFont val="Tahoma"/>
            <family val="2"/>
          </rPr>
          <t>Nicht weiter spezifizierte Kosten der Kostengruppe können hier eingegeben werden</t>
        </r>
      </text>
    </comment>
    <comment ref="D187" authorId="0">
      <text>
        <r>
          <rPr>
            <sz val="8"/>
            <color indexed="81"/>
            <rFont val="Tahoma"/>
            <family val="2"/>
          </rPr>
          <t>Nicht weiter spezifizierte Kosten der Kostengruppe können hier eingegeben werden</t>
        </r>
      </text>
    </comment>
    <comment ref="D193" authorId="0">
      <text>
        <r>
          <rPr>
            <sz val="8"/>
            <color indexed="81"/>
            <rFont val="Tahoma"/>
            <family val="2"/>
          </rPr>
          <t>Nicht weiter spezifizierte Kosten der Kostengruppe können hier eingegeben werden</t>
        </r>
      </text>
    </comment>
    <comment ref="D196" authorId="0">
      <text>
        <r>
          <rPr>
            <sz val="8"/>
            <color indexed="81"/>
            <rFont val="Tahoma"/>
            <family val="2"/>
          </rPr>
          <t>Nicht weiter spezifizierte Kosten der Kostengruppe können hier eingegeben werden</t>
        </r>
      </text>
    </comment>
    <comment ref="D199" authorId="0">
      <text>
        <r>
          <rPr>
            <sz val="8"/>
            <color indexed="81"/>
            <rFont val="Tahoma"/>
            <family val="2"/>
          </rPr>
          <t>Nicht weiter spezifizierte Kosten der Kostengruppe können hier eingegeben werden</t>
        </r>
      </text>
    </comment>
    <comment ref="D203" authorId="0">
      <text>
        <r>
          <rPr>
            <sz val="8"/>
            <color indexed="81"/>
            <rFont val="Tahoma"/>
            <family val="2"/>
          </rPr>
          <t>Nicht weiter spezifizierte Kosten der Kostengruppe können hier eingegeben werden</t>
        </r>
      </text>
    </comment>
  </commentList>
</comments>
</file>

<file path=xl/comments4.xml><?xml version="1.0" encoding="utf-8"?>
<comments xmlns="http://schemas.openxmlformats.org/spreadsheetml/2006/main">
  <authors>
    <author>Lekoecos Team</author>
  </authors>
  <commentList>
    <comment ref="D33" authorId="0">
      <text>
        <r>
          <rPr>
            <sz val="8"/>
            <color indexed="81"/>
            <rFont val="Tahoma"/>
            <family val="2"/>
          </rPr>
          <t>Erfolgt die Warmwassererzeugung elektrisch dezentral, dann muss in dieser Zeile immer "ohne Zirkulation" gewählt werden.</t>
        </r>
      </text>
    </comment>
    <comment ref="D87" authorId="0">
      <text>
        <r>
          <rPr>
            <sz val="8"/>
            <color indexed="81"/>
            <rFont val="Tahoma"/>
            <family val="2"/>
          </rPr>
          <t>Bei sehr hohen Stromerträgen und niedrigem Strombedarf kann der angezeigte Wert unter "Anteil PV-Deckung an Gesamtstrombedarf (inkl. Haushaltstrom bzw. Betriebsstrom)" größer als 100 sein. Da der Anteil natürlich nicht mehr als 100% betragen kann, muss in diesem Fall der "Direktverbrauch aus PV in % der Erzeugung" reduziert werden.</t>
        </r>
      </text>
    </comment>
  </commentList>
</comments>
</file>

<file path=xl/comments5.xml><?xml version="1.0" encoding="utf-8"?>
<comments xmlns="http://schemas.openxmlformats.org/spreadsheetml/2006/main">
  <authors>
    <author>Christina Ipser</author>
    <author>Lisamaria</author>
  </authors>
  <commentList>
    <comment ref="L5" authorId="0">
      <text>
        <r>
          <rPr>
            <b/>
            <sz val="8"/>
            <color indexed="81"/>
            <rFont val="Tahoma"/>
            <family val="2"/>
          </rPr>
          <t>Achtung:</t>
        </r>
        <r>
          <rPr>
            <sz val="8"/>
            <color indexed="81"/>
            <rFont val="Tahoma"/>
            <family val="2"/>
          </rPr>
          <t xml:space="preserve"> Defaulteinstellungen können in dieser Spalte nicht durch Löschen der Eingabe wiederhergestellt werden!</t>
        </r>
      </text>
    </comment>
    <comment ref="D64" authorId="1">
      <text>
        <r>
          <rPr>
            <sz val="9"/>
            <color indexed="81"/>
            <rFont val="Tahoma"/>
            <family val="2"/>
          </rPr>
          <t>Erträge aus der Netzeinspeisung von am Standort mit PV erzeugtem Strom werden als negative Kosten berücksichtigt</t>
        </r>
      </text>
    </comment>
  </commentList>
</comments>
</file>

<file path=xl/comments6.xml><?xml version="1.0" encoding="utf-8"?>
<comments xmlns="http://schemas.openxmlformats.org/spreadsheetml/2006/main">
  <authors>
    <author>Christina Ipser</author>
  </authors>
  <commentList>
    <comment ref="D2" authorId="0">
      <text>
        <r>
          <rPr>
            <sz val="8"/>
            <color indexed="81"/>
            <rFont val="Tahoma"/>
            <family val="2"/>
          </rPr>
          <t>Sämtliche Kosten- und Objektkennwerte sind auf BKI-Kennwerten basierende Annahmen und müssen Projektspezifisch geprüft und korrigiert werden!</t>
        </r>
      </text>
    </comment>
  </commentList>
</comments>
</file>

<file path=xl/comments7.xml><?xml version="1.0" encoding="utf-8"?>
<comments xmlns="http://schemas.openxmlformats.org/spreadsheetml/2006/main">
  <authors>
    <author>Christina Ipser</author>
  </authors>
  <commentList>
    <comment ref="D3" authorId="0">
      <text>
        <r>
          <rPr>
            <sz val="8"/>
            <color indexed="81"/>
            <rFont val="Tahoma"/>
            <family val="2"/>
          </rPr>
          <t>Quelle Default: STATISTIK AUSTRIA: Baupreisindex für den Hochbau, Wohnhaus- und Siedlungsbau insgesamt, Mittelwert 2008-2013</t>
        </r>
      </text>
    </comment>
    <comment ref="D4" authorId="0">
      <text>
        <r>
          <rPr>
            <sz val="8"/>
            <color indexed="81"/>
            <rFont val="Tahoma"/>
            <family val="2"/>
          </rPr>
          <t>Quelle Default: STATISTIK AUSTRIA: Erzeugerpreisindex Investitionsgüter (EU-harmonisierte Verwendungskategorien), Mittelwert 2008-2013</t>
        </r>
      </text>
    </comment>
    <comment ref="D5" authorId="0">
      <text>
        <r>
          <rPr>
            <sz val="8"/>
            <color indexed="81"/>
            <rFont val="Tahoma"/>
            <family val="2"/>
          </rPr>
          <t>Quelle Default: STATISTIK AUSTRIA: Harmonisierter Verbraucherpreisindex, Mittelwert 2008-2013</t>
        </r>
      </text>
    </comment>
    <comment ref="D6" authorId="0">
      <text>
        <r>
          <rPr>
            <sz val="8"/>
            <color indexed="81"/>
            <rFont val="Tahoma"/>
            <family val="2"/>
          </rPr>
          <t>Quelle Default: AEA auf Basis STATISTIK AUSTRIA: EPI Energiepreisindex der Österreichischen Energieagentur, Mittelwert 2008-2013</t>
        </r>
      </text>
    </comment>
    <comment ref="D7" authorId="0">
      <text>
        <r>
          <rPr>
            <sz val="8"/>
            <color indexed="81"/>
            <rFont val="Tahoma"/>
            <family val="2"/>
          </rPr>
          <t>Quelle Default:AEA auf Basis STATISTIK AUSTRIA: Stromanteil EPI,  Mittelwert 2008-2013</t>
        </r>
      </text>
    </comment>
    <comment ref="D8" authorId="0">
      <text>
        <r>
          <rPr>
            <sz val="8"/>
            <color indexed="81"/>
            <rFont val="Tahoma"/>
            <family val="2"/>
          </rPr>
          <t>Quelle Default: AEA auf Basis STATISTIK AUSTRIA: Gasanteil EPI,  Mittelwert 2008-2013</t>
        </r>
      </text>
    </comment>
    <comment ref="D9" authorId="0">
      <text>
        <r>
          <rPr>
            <sz val="8"/>
            <color indexed="81"/>
            <rFont val="Tahoma"/>
            <family val="2"/>
          </rPr>
          <t>Quelle Default: AEA auf Basis STATISTIK AUSTRIA: Fernwärmeanteil EPI,  Mittelwert 2008-2013</t>
        </r>
      </text>
    </comment>
    <comment ref="D10" authorId="0">
      <text>
        <r>
          <rPr>
            <sz val="8"/>
            <color indexed="81"/>
            <rFont val="Tahoma"/>
            <family val="2"/>
          </rPr>
          <t>Quelle Default: AEA auf Basis STATISTIK AUSTRIA: Anteil feste Brennstoffe EPI,  Mittelwert 2008-2013</t>
        </r>
      </text>
    </comment>
    <comment ref="D11" authorId="0">
      <text>
        <r>
          <rPr>
            <sz val="8"/>
            <color indexed="81"/>
            <rFont val="Tahoma"/>
            <family val="2"/>
          </rPr>
          <t>Quelle Default: AEA auf Basis STATISTIK AUSTRIA: Heizölanteil EPI,  Mittelwert 2008-2013</t>
        </r>
      </text>
    </comment>
    <comment ref="D12" authorId="0">
      <text>
        <r>
          <rPr>
            <sz val="8"/>
            <color indexed="81"/>
            <rFont val="Tahoma"/>
            <family val="2"/>
          </rPr>
          <t>Quelle Default: STATISTIK AUSTRIA: Erzeugerpreisindex für unternehmensnahe Dienstleistungen, 
Reinigung von Gebäuden, Straßen und Verkehrsmitteln ÖNACE (2008) 81.2, Mittelwert 2008-2013</t>
        </r>
      </text>
    </comment>
    <comment ref="D13" authorId="0">
      <text>
        <r>
          <rPr>
            <sz val="8"/>
            <color indexed="81"/>
            <rFont val="Tahoma"/>
            <family val="2"/>
          </rPr>
          <t>Dieser Wert ist sehr stark von der internationalen Geldmarktpolitik der Zentralbanken abhängig. Ein sinnvoller Wert für die Verzinsung ergibt sich aus einem Mittelwert der Jahre 2011 bis 2013, da die Werte in diesem Zeitraum auf einer abgestimmten Geldmarktpolitik der Zentralbanken fußen. Quelle Default: Sekundärmarktrendite Österreich, Mittelwert 2011 -2013.</t>
        </r>
      </text>
    </comment>
  </commentList>
</comments>
</file>

<file path=xl/comments8.xml><?xml version="1.0" encoding="utf-8"?>
<comments xmlns="http://schemas.openxmlformats.org/spreadsheetml/2006/main">
  <authors>
    <author>Lisamaria</author>
  </authors>
  <commentList>
    <comment ref="D5" authorId="0">
      <text>
        <r>
          <rPr>
            <sz val="8"/>
            <color indexed="81"/>
            <rFont val="Tahoma"/>
            <family val="2"/>
          </rPr>
          <t>Quelle Default: basiert auf Annahmen und einer Recherche aktueller marktüblicher Preise</t>
        </r>
      </text>
    </comment>
    <comment ref="D8" authorId="0">
      <text>
        <r>
          <rPr>
            <sz val="8"/>
            <color indexed="81"/>
            <rFont val="Tahoma"/>
            <family val="2"/>
          </rPr>
          <t>Quelle Default: basiert auf Annahmen und einer Recherche aktueller marktüblicher Preise</t>
        </r>
      </text>
    </comment>
    <comment ref="D9" authorId="0">
      <text>
        <r>
          <rPr>
            <sz val="8"/>
            <color indexed="81"/>
            <rFont val="Tahoma"/>
            <family val="2"/>
          </rPr>
          <t>Quelle Default: basiert auf Annahmen und einer Recherche aktueller marktüblicher Preise</t>
        </r>
      </text>
    </comment>
    <comment ref="D10" authorId="0">
      <text>
        <r>
          <rPr>
            <sz val="8"/>
            <color indexed="81"/>
            <rFont val="Tahoma"/>
            <family val="2"/>
          </rPr>
          <t>Quelle Default: basiert auf Annahmen und einer Recherche aktueller marktüblicher Preise</t>
        </r>
      </text>
    </comment>
    <comment ref="D11" authorId="0">
      <text>
        <r>
          <rPr>
            <sz val="8"/>
            <color indexed="81"/>
            <rFont val="Tahoma"/>
            <family val="2"/>
          </rPr>
          <t>Quelle Default: basiert auf Annahmen und einer Recherche aktueller marktüblicher Preise</t>
        </r>
      </text>
    </comment>
    <comment ref="D12" authorId="0">
      <text>
        <r>
          <rPr>
            <sz val="8"/>
            <color indexed="81"/>
            <rFont val="Tahoma"/>
            <family val="2"/>
          </rPr>
          <t>Quelle Default: basiert auf Annahmen und einer Recherche aktueller marktüblicher Preise</t>
        </r>
      </text>
    </comment>
    <comment ref="D13" authorId="0">
      <text>
        <r>
          <rPr>
            <sz val="8"/>
            <color indexed="81"/>
            <rFont val="Tahoma"/>
            <family val="2"/>
          </rPr>
          <t>Quelle Default: basiert auf Annahmen und einer Recherche aktueller marktüblicher Preise</t>
        </r>
      </text>
    </comment>
    <comment ref="D14" authorId="0">
      <text>
        <r>
          <rPr>
            <sz val="8"/>
            <color indexed="81"/>
            <rFont val="Tahoma"/>
            <family val="2"/>
          </rPr>
          <t>Quelle Default: basiert auf Annahmen und einer Recherche aktueller marktüblicher Preise</t>
        </r>
      </text>
    </comment>
    <comment ref="D17" authorId="0">
      <text>
        <r>
          <rPr>
            <sz val="8"/>
            <color indexed="81"/>
            <rFont val="Tahoma"/>
            <family val="2"/>
          </rPr>
          <t>Wählen sie "ja", wenn Sie das Dienstleistungsmodell im Blatt "Gebäudedienste" verwenden möchten um auf Basis der Folgekosten Umweltwirkungen für gebäudebezogene Dienstleistungen der Kostengruppen F1, F2, F4, F5 und F6 zu berechnen.</t>
        </r>
      </text>
    </comment>
    <comment ref="D21" authorId="0">
      <text>
        <r>
          <rPr>
            <sz val="8"/>
            <color indexed="81"/>
            <rFont val="Tahoma"/>
            <family val="2"/>
          </rPr>
          <t>Quelle Default: Statistik Austria, durchschnittliche tatsächlich geleistete Arbeitszeit pro Woche, Haupttätigkeit 2012</t>
        </r>
      </text>
    </comment>
    <comment ref="D25" authorId="0">
      <text>
        <r>
          <rPr>
            <sz val="8"/>
            <color indexed="81"/>
            <rFont val="Tahoma"/>
            <family val="2"/>
          </rPr>
          <t>Annahme: 10 pkm bei urbanem, 20 pkm bei ländlichem Gebäudestandort</t>
        </r>
      </text>
    </comment>
    <comment ref="D26" authorId="0">
      <text>
        <r>
          <rPr>
            <sz val="8"/>
            <color indexed="81"/>
            <rFont val="Tahoma"/>
            <family val="2"/>
          </rPr>
          <t>Annahme: 10 pkm bei urbanem, 20 pkm bei ländlichem Gebäudestandort</t>
        </r>
      </text>
    </comment>
    <comment ref="D34" authorId="0">
      <text>
        <r>
          <rPr>
            <sz val="8"/>
            <color indexed="81"/>
            <rFont val="Tahoma"/>
            <family val="2"/>
          </rPr>
          <t>Default Annahme: durchschnittliches Bürogebäude, Details siehe unten*</t>
        </r>
      </text>
    </comment>
    <comment ref="D35" authorId="0">
      <text>
        <r>
          <rPr>
            <sz val="8"/>
            <color indexed="81"/>
            <rFont val="Tahoma"/>
            <family val="2"/>
          </rPr>
          <t>Default Annahme: durchschnittliches Bürogebäude, Details siehe unten*</t>
        </r>
      </text>
    </comment>
    <comment ref="D51" authorId="0">
      <text>
        <r>
          <rPr>
            <sz val="8"/>
            <color indexed="81"/>
            <rFont val="Tahoma"/>
            <family val="2"/>
          </rPr>
          <t>Default Annahme: durchschnittliches Bürogebäue</t>
        </r>
      </text>
    </comment>
  </commentList>
</comments>
</file>

<file path=xl/comments9.xml><?xml version="1.0" encoding="utf-8"?>
<comments xmlns="http://schemas.openxmlformats.org/spreadsheetml/2006/main">
  <authors>
    <author>Christina Ipser</author>
  </authors>
  <commentList>
    <comment ref="D1" authorId="0">
      <text>
        <r>
          <rPr>
            <sz val="7"/>
            <color indexed="81"/>
            <rFont val="Tahoma"/>
            <family val="2"/>
          </rPr>
          <t>verrechneter Stundensatz, ergibt sich aus den Gesamtkosten der Dienstleistung bezogen auf die verrechenbaren Arbeitsstunden
VKh … Verwaltung
TKh … Technische Wartung
RKh … Reinigung
GKh … Gärtnerdienst
SKh … Sicherheitsdienst
PKh … Empfangsdienst
CSh … Consulting</t>
        </r>
      </text>
    </comment>
    <comment ref="G1" authorId="0">
      <text>
        <r>
          <rPr>
            <sz val="7"/>
            <color indexed="81"/>
            <rFont val="Tahoma"/>
            <family val="2"/>
          </rPr>
          <t xml:space="preserve">Anteilige Arbeitszeit pro Einsatz am Objekt (inklusive Fahrzeiten)
</t>
        </r>
        <r>
          <rPr>
            <b/>
            <sz val="7"/>
            <color indexed="81"/>
            <rFont val="Tahoma"/>
            <family val="2"/>
          </rPr>
          <t>Beispiele:</t>
        </r>
        <r>
          <rPr>
            <sz val="7"/>
            <color indexed="81"/>
            <rFont val="Tahoma"/>
            <family val="2"/>
          </rPr>
          <t xml:space="preserve"> 
- Eine Gebäudeverwaltungsperson fährt durchschnittlich je 8 verrechneter Arbeitsstunden einmal zum Objekt --&gt; Arbeitszeit/Einsatz = 8
- Eine Reinigungskraft fährt je 4 verrechneter Arbeitsstunden einmal zum Objekt --&gt; Arbeitszeit/Einsatz = 4</t>
        </r>
      </text>
    </comment>
    <comment ref="H1" authorId="0">
      <text>
        <r>
          <rPr>
            <sz val="7"/>
            <color indexed="81"/>
            <rFont val="Tahoma"/>
            <family val="2"/>
          </rPr>
          <t xml:space="preserve">Anteil Bürotätigkeit je verrechneter Arbeitsstunde
</t>
        </r>
        <r>
          <rPr>
            <b/>
            <sz val="7"/>
            <color indexed="81"/>
            <rFont val="Tahoma"/>
            <family val="2"/>
          </rPr>
          <t>Beispiel:</t>
        </r>
        <r>
          <rPr>
            <sz val="7"/>
            <color indexed="81"/>
            <rFont val="Tahoma"/>
            <family val="2"/>
          </rPr>
          <t xml:space="preserve">
- Auf eine verrechnete Arbeitsstunde Gebäudeverwaltung kommen 1,2 Personenstunden Bürotätigkeit in einem externen Bürogebäude --&gt; Bürotätigkeit = 120%
- Auf eine verrechnete Arbeitsstunde Reinigung kommen 0,1 Personenstunden Bürotätigkeit  in einem externen Bürogebäude --&gt; Bürotätigkeit = 10%</t>
        </r>
      </text>
    </comment>
    <comment ref="I1" authorId="0">
      <text>
        <r>
          <rPr>
            <sz val="7"/>
            <color indexed="81"/>
            <rFont val="Tahoma"/>
            <family val="2"/>
          </rPr>
          <t>Stromverbrauch am Objektstandort pro verrechneter Arbeitsstunde (z.B. aus Gerätebetrieb: Reinigungsautomaten, Hochdruckreiniger, …)</t>
        </r>
      </text>
    </comment>
    <comment ref="J1" authorId="0">
      <text>
        <r>
          <rPr>
            <sz val="7"/>
            <color indexed="81"/>
            <rFont val="Tahoma"/>
            <family val="2"/>
          </rPr>
          <t>Dieselverbrauch pro verrrechneter Arbeitsstunde</t>
        </r>
      </text>
    </comment>
    <comment ref="D4" authorId="0">
      <text>
        <r>
          <rPr>
            <b/>
            <sz val="8"/>
            <color indexed="81"/>
            <rFont val="Tahoma"/>
            <family val="2"/>
          </rPr>
          <t>Achtung:</t>
        </r>
        <r>
          <rPr>
            <sz val="8"/>
            <color indexed="81"/>
            <rFont val="Tahoma"/>
            <family val="2"/>
          </rPr>
          <t xml:space="preserve"> Defaulteinstellungen können in diesem Blatt nicht durch Löschen der Eingabe wiederhergestellt werden!</t>
        </r>
      </text>
    </comment>
    <comment ref="B8" authorId="0">
      <text>
        <r>
          <rPr>
            <sz val="8"/>
            <color indexed="81"/>
            <rFont val="Tahoma"/>
            <family val="2"/>
          </rPr>
          <t>Der Materialeinsatz wird hier vernachlässigt</t>
        </r>
      </text>
    </comment>
    <comment ref="B34" authorId="0">
      <text>
        <r>
          <rPr>
            <sz val="8"/>
            <color indexed="81"/>
            <rFont val="Tahoma"/>
            <family val="2"/>
          </rPr>
          <t>Für die Kostengruppe Gastroservice ist derzeit keine Berechnung von Umweltwirkungen verfügbar, da dieser Dienstleistungsbereich zu inhomogen ist, um durch das "Dienstleistungsmodell" abgebildet zu werden.</t>
        </r>
      </text>
    </comment>
  </commentList>
</comments>
</file>

<file path=xl/sharedStrings.xml><?xml version="1.0" encoding="utf-8"?>
<sst xmlns="http://schemas.openxmlformats.org/spreadsheetml/2006/main" count="10461" uniqueCount="2774">
  <si>
    <t>Allgemein</t>
  </si>
  <si>
    <t>ZNr</t>
  </si>
  <si>
    <t>Variable</t>
  </si>
  <si>
    <t>GSTF</t>
  </si>
  <si>
    <t>BGF</t>
  </si>
  <si>
    <t>BRI</t>
  </si>
  <si>
    <t>NGF</t>
  </si>
  <si>
    <t>NF</t>
  </si>
  <si>
    <t>BGFbeheizt</t>
  </si>
  <si>
    <t>GRÜNF</t>
  </si>
  <si>
    <t>BEFAF</t>
  </si>
  <si>
    <t>BAUGRV</t>
  </si>
  <si>
    <t>GRÜNDF</t>
  </si>
  <si>
    <t>AWF</t>
  </si>
  <si>
    <t>INWF</t>
  </si>
  <si>
    <t>DACHF</t>
  </si>
  <si>
    <t>DECKF</t>
  </si>
  <si>
    <t>GLASF</t>
  </si>
  <si>
    <t>GLASFab</t>
  </si>
  <si>
    <t>GLASFF</t>
  </si>
  <si>
    <t>GLASFFab</t>
  </si>
  <si>
    <t>GLASFNV</t>
  </si>
  <si>
    <t>GLASFNVab</t>
  </si>
  <si>
    <t>IGLASF</t>
  </si>
  <si>
    <t>IGLASFab</t>
  </si>
  <si>
    <t>JALF</t>
  </si>
  <si>
    <t>JALFab</t>
  </si>
  <si>
    <t>SANFH</t>
  </si>
  <si>
    <t>SANFV</t>
  </si>
  <si>
    <t>GANGF</t>
  </si>
  <si>
    <t>STIEGF</t>
  </si>
  <si>
    <t>GARAF</t>
  </si>
  <si>
    <t>NEBF</t>
  </si>
  <si>
    <t>MALFw</t>
  </si>
  <si>
    <t>MALFd</t>
  </si>
  <si>
    <t>NFNUE</t>
  </si>
  <si>
    <t>NUE</t>
  </si>
  <si>
    <t>AUFZANZ</t>
  </si>
  <si>
    <t>AUFZSTA</t>
  </si>
  <si>
    <t>K_BAUGRV</t>
  </si>
  <si>
    <t>K_GRÜNDF</t>
  </si>
  <si>
    <t>K_AWF</t>
  </si>
  <si>
    <t>F_AWFROH</t>
  </si>
  <si>
    <t>F_AWSTÜTZ</t>
  </si>
  <si>
    <t>F_AWFAUS</t>
  </si>
  <si>
    <t>K_INWF</t>
  </si>
  <si>
    <t>F_INWFROH</t>
  </si>
  <si>
    <t>F_INWSTÜTZ</t>
  </si>
  <si>
    <t>F_INWFAUS</t>
  </si>
  <si>
    <t>K_DECKF</t>
  </si>
  <si>
    <t>F_DECKFROH</t>
  </si>
  <si>
    <t>F_DECKFAUS</t>
  </si>
  <si>
    <t>K_DACHF</t>
  </si>
  <si>
    <t>F_DACHFROH</t>
  </si>
  <si>
    <t>F_DACHFAUS</t>
  </si>
  <si>
    <t>K_BKEINB</t>
  </si>
  <si>
    <t>K_SBK</t>
  </si>
  <si>
    <t>K_WASGAS</t>
  </si>
  <si>
    <t>K_WÄRMEANL</t>
  </si>
  <si>
    <t>K_LUFTANL</t>
  </si>
  <si>
    <t>K_SSANL</t>
  </si>
  <si>
    <t>K_FMANL</t>
  </si>
  <si>
    <t>K_FÖRDANL</t>
  </si>
  <si>
    <t>K_NSPANL</t>
  </si>
  <si>
    <t>K_GEBAUTOANL</t>
  </si>
  <si>
    <t>K_STANL</t>
  </si>
  <si>
    <t>Bezeichnung</t>
  </si>
  <si>
    <t>Grundstücksfläche</t>
  </si>
  <si>
    <t>Grünfläche</t>
  </si>
  <si>
    <t>Befestigte Außenflächen</t>
  </si>
  <si>
    <t>Volumen Baugrube</t>
  </si>
  <si>
    <t>Fläche für Gründung</t>
  </si>
  <si>
    <t>Fenster/Glasflächen außen</t>
  </si>
  <si>
    <t>Davon Fenster/Glasflächen außen mit Arbeitsbühne</t>
  </si>
  <si>
    <t>Glasfassadenfläche außen</t>
  </si>
  <si>
    <t>Davon Glasfassadenflächen außen mit Arbeitsbühne</t>
  </si>
  <si>
    <t>Glasflächen nicht vertikal außen mit Arbeitsbühne</t>
  </si>
  <si>
    <t>Davon Glasflächen innen mit Arbeitsbühne</t>
  </si>
  <si>
    <t>Davon Jalousienflächen mit Arbeitsbühne</t>
  </si>
  <si>
    <t>Sanitärflächen horizontal</t>
  </si>
  <si>
    <t>Sanitärflächen vertikal</t>
  </si>
  <si>
    <t>Gangflächen</t>
  </si>
  <si>
    <t>Stiegenflächen</t>
  </si>
  <si>
    <t>Garagenflächen</t>
  </si>
  <si>
    <t>Nebenraumflächen</t>
  </si>
  <si>
    <t>Ausmalflächen Wände</t>
  </si>
  <si>
    <t>Ausmalflächen Decken</t>
  </si>
  <si>
    <t>Nutzfläche je aktiven Nutzer</t>
  </si>
  <si>
    <t>Anzahl der Aufzugskabinen</t>
  </si>
  <si>
    <t>Anmerkung</t>
  </si>
  <si>
    <t>Formel</t>
  </si>
  <si>
    <t>NF/NFNUE</t>
  </si>
  <si>
    <t>m²</t>
  </si>
  <si>
    <t>m³</t>
  </si>
  <si>
    <t>Stk</t>
  </si>
  <si>
    <t>Stationen</t>
  </si>
  <si>
    <t>€/m³</t>
  </si>
  <si>
    <t>€/m²</t>
  </si>
  <si>
    <t>%</t>
  </si>
  <si>
    <t>€/m² BGF</t>
  </si>
  <si>
    <t>Gesamt</t>
  </si>
  <si>
    <t>Valorisierung</t>
  </si>
  <si>
    <t>Index</t>
  </si>
  <si>
    <t>€</t>
  </si>
  <si>
    <t>Gesamtkosten Errichtung [E0-E9]</t>
  </si>
  <si>
    <t>GK</t>
  </si>
  <si>
    <t>Errichtungskosten [E1-E9]</t>
  </si>
  <si>
    <t>EK</t>
  </si>
  <si>
    <t>Baukosten  [E1-E6]</t>
  </si>
  <si>
    <t>BK</t>
  </si>
  <si>
    <t>Bauwerkskosten  [E2-E4]</t>
  </si>
  <si>
    <t>BWK</t>
  </si>
  <si>
    <t>Sonstige Reservemittel</t>
  </si>
  <si>
    <t>E9.S</t>
  </si>
  <si>
    <t>Reservemittel Budget</t>
  </si>
  <si>
    <t>E9.B</t>
  </si>
  <si>
    <t>E9.A</t>
  </si>
  <si>
    <t>#SUM</t>
  </si>
  <si>
    <t>Reserven</t>
  </si>
  <si>
    <t>E9</t>
  </si>
  <si>
    <t>Sonstige Nebenleistungen</t>
  </si>
  <si>
    <t>E8.S</t>
  </si>
  <si>
    <t>Baunebenleistungen</t>
  </si>
  <si>
    <t>E8.B</t>
  </si>
  <si>
    <t>Nebenleistungen</t>
  </si>
  <si>
    <t>E8</t>
  </si>
  <si>
    <t>Sonstige Planungsleistungen</t>
  </si>
  <si>
    <t xml:space="preserve">E7.S </t>
  </si>
  <si>
    <t>Planungsleistung</t>
  </si>
  <si>
    <t>E7.C</t>
  </si>
  <si>
    <t>Planungsleistungen</t>
  </si>
  <si>
    <t>E7</t>
  </si>
  <si>
    <t>Sonstige Außenanlagen</t>
  </si>
  <si>
    <t>E6.S</t>
  </si>
  <si>
    <t xml:space="preserve">Bauteile Außenanlagen </t>
  </si>
  <si>
    <t>E6.D</t>
  </si>
  <si>
    <t>Befestigte Flächen</t>
  </si>
  <si>
    <t>E6.C</t>
  </si>
  <si>
    <t>Geländeflächen</t>
  </si>
  <si>
    <t>E6.B</t>
  </si>
  <si>
    <t>E6.A</t>
  </si>
  <si>
    <t>Außenanlagen</t>
  </si>
  <si>
    <t>E6</t>
  </si>
  <si>
    <t>Sonstige Einrichtung</t>
  </si>
  <si>
    <t>E5.S</t>
  </si>
  <si>
    <t>Ausstattungen, Kunstwerke</t>
  </si>
  <si>
    <t>E5.C</t>
  </si>
  <si>
    <t>Betriebseinrichtungen</t>
  </si>
  <si>
    <t>E5.B</t>
  </si>
  <si>
    <t>E5.A</t>
  </si>
  <si>
    <t>Einrichtung</t>
  </si>
  <si>
    <t>E5</t>
  </si>
  <si>
    <t>Sonstiger Innenausbau</t>
  </si>
  <si>
    <t>E4.D.S</t>
  </si>
  <si>
    <t>Innenwandelemente</t>
  </si>
  <si>
    <t>E4.D.05</t>
  </si>
  <si>
    <t>Innentüren, Innenfenster</t>
  </si>
  <si>
    <t>E4.D.04</t>
  </si>
  <si>
    <t>DECKF*F_DECKFAUS/100*K_DECKF</t>
  </si>
  <si>
    <t>Deckenverkleidungen</t>
  </si>
  <si>
    <t>E4.D.03</t>
  </si>
  <si>
    <t>INWF*F_INWFAUS/100*K_INWF</t>
  </si>
  <si>
    <t>Wandverkleidungen</t>
  </si>
  <si>
    <t>E4.D.02</t>
  </si>
  <si>
    <t>Bodenbeläge</t>
  </si>
  <si>
    <t>E4.D.01</t>
  </si>
  <si>
    <t>Innenausbau</t>
  </si>
  <si>
    <t>E4.D</t>
  </si>
  <si>
    <t>Sonstige Fassadenhülle</t>
  </si>
  <si>
    <t>E4.C.S</t>
  </si>
  <si>
    <t>Sonnenschutz</t>
  </si>
  <si>
    <t>E4.C.03</t>
  </si>
  <si>
    <t>Fassadenöffnungen</t>
  </si>
  <si>
    <t>E4.C.02</t>
  </si>
  <si>
    <t>AWF*F_AWFAUS/100*K_AWF</t>
  </si>
  <si>
    <t>Fassadenverkleidungen</t>
  </si>
  <si>
    <t>E4.C.01</t>
  </si>
  <si>
    <t>Fassadenhülle</t>
  </si>
  <si>
    <t>E4.C</t>
  </si>
  <si>
    <t>Sonstige Dachverkleidung</t>
  </si>
  <si>
    <t>E4.B.S</t>
  </si>
  <si>
    <t>Balkon-/Terrassenbeläge</t>
  </si>
  <si>
    <t>E4.B.03</t>
  </si>
  <si>
    <t>Dachfenster/-öffnungen</t>
  </si>
  <si>
    <t>E4.B.02</t>
  </si>
  <si>
    <t>DACHF*F_DACHFAUS/100*K_DACHF</t>
  </si>
  <si>
    <t>E4.B.01.b</t>
  </si>
  <si>
    <t>E4.B.01.a</t>
  </si>
  <si>
    <t>Dachbeläge</t>
  </si>
  <si>
    <t>E4.B.01</t>
  </si>
  <si>
    <t>Dachverkleidung</t>
  </si>
  <si>
    <t>E4.B</t>
  </si>
  <si>
    <t>E4.A</t>
  </si>
  <si>
    <t>Bauwerk - Ausbau</t>
  </si>
  <si>
    <t>E4</t>
  </si>
  <si>
    <t>BGF*K_STANL</t>
  </si>
  <si>
    <t>Sonstiges Bauwerk-Technik</t>
  </si>
  <si>
    <t>E3.S</t>
  </si>
  <si>
    <t>Sonstiges</t>
  </si>
  <si>
    <t>E3.I.S</t>
  </si>
  <si>
    <t>Mechatronische Anlagen</t>
  </si>
  <si>
    <t>E3.I.02</t>
  </si>
  <si>
    <t>Maschinenanlagen</t>
  </si>
  <si>
    <t>E3.I.01</t>
  </si>
  <si>
    <t>Spezielle Anlagen</t>
  </si>
  <si>
    <t>E3.I</t>
  </si>
  <si>
    <t>BGF*K_GEBAUTOANL</t>
  </si>
  <si>
    <t>E3.H.S</t>
  </si>
  <si>
    <t>Mess-, Steuer-, Regel- und Leitanlagen</t>
  </si>
  <si>
    <t>E3.H.01</t>
  </si>
  <si>
    <t>Gebäudeautomation</t>
  </si>
  <si>
    <t>E3.H</t>
  </si>
  <si>
    <t>BGF*K_FMANL</t>
  </si>
  <si>
    <t>Sonstige Informationstechnische Anlagen</t>
  </si>
  <si>
    <t>E3.G.S</t>
  </si>
  <si>
    <t>Übertragungsnetze</t>
  </si>
  <si>
    <t>E3.G.07</t>
  </si>
  <si>
    <t>Gefahrenmelde-/Alarmanlagen</t>
  </si>
  <si>
    <t>E3.G.06</t>
  </si>
  <si>
    <t>Fernseh-/Antennenanlagen</t>
  </si>
  <si>
    <t>E3.G.05</t>
  </si>
  <si>
    <t>Elektroakustische Anlagen</t>
  </si>
  <si>
    <t>E3.G.04</t>
  </si>
  <si>
    <t>Zeitdienstanlagen</t>
  </si>
  <si>
    <t>E3.G.03</t>
  </si>
  <si>
    <t>Such-/Signalanlagen</t>
  </si>
  <si>
    <t>E3.G.02</t>
  </si>
  <si>
    <t>Telekommunikationsanlagen</t>
  </si>
  <si>
    <t>E3.G.01</t>
  </si>
  <si>
    <t>Fernmelde- und Informationstechnische Anlagen</t>
  </si>
  <si>
    <t>E3.G</t>
  </si>
  <si>
    <t>BGF*K_SSANL</t>
  </si>
  <si>
    <t>Sonstige Starkstromanlagen</t>
  </si>
  <si>
    <t>E3.F.S</t>
  </si>
  <si>
    <t>Blitzschutzanlagen</t>
  </si>
  <si>
    <t>E3.F.06</t>
  </si>
  <si>
    <t>Beleuchtungsanlagen</t>
  </si>
  <si>
    <t>E3.F.05</t>
  </si>
  <si>
    <t>Niederspannungsinstallation</t>
  </si>
  <si>
    <t>E3.F.04</t>
  </si>
  <si>
    <t>Niederspannungsschaltanlagen</t>
  </si>
  <si>
    <t>E3.F.03</t>
  </si>
  <si>
    <t>Eigenstromversorgung</t>
  </si>
  <si>
    <t>E3.F.02</t>
  </si>
  <si>
    <t>Hoch-/Mittelspannungsanlage</t>
  </si>
  <si>
    <t>E3.F.01</t>
  </si>
  <si>
    <t>Starkstromanlagen</t>
  </si>
  <si>
    <t>E3.F</t>
  </si>
  <si>
    <t>BGF*K_WASGAS</t>
  </si>
  <si>
    <t>Sonstige Sanitär-/Gasanlagen</t>
  </si>
  <si>
    <t>E3.E.S</t>
  </si>
  <si>
    <t>Feuerlöschanlagen</t>
  </si>
  <si>
    <t>E3.E.04</t>
  </si>
  <si>
    <t>Gasanlagen</t>
  </si>
  <si>
    <t>E3.E.03</t>
  </si>
  <si>
    <t>Wasseranlagen</t>
  </si>
  <si>
    <t>E3.E.02</t>
  </si>
  <si>
    <t>Abwasseranlagen</t>
  </si>
  <si>
    <t>E3.E.01</t>
  </si>
  <si>
    <t>Sanitär-/Gasanlagen</t>
  </si>
  <si>
    <t>E3.E</t>
  </si>
  <si>
    <t>BGF*K_LUFTANL</t>
  </si>
  <si>
    <t>Sonstige Klima-/Lüftungsanlagen</t>
  </si>
  <si>
    <t>E3.D.S</t>
  </si>
  <si>
    <t>Prozesslufttechnische Anlagen</t>
  </si>
  <si>
    <t>E3.D.05</t>
  </si>
  <si>
    <t>Kälteanlagen</t>
  </si>
  <si>
    <t>E3.D.04</t>
  </si>
  <si>
    <t>Klimaanlagen</t>
  </si>
  <si>
    <t>E3.D.03</t>
  </si>
  <si>
    <t>Teilklimaanlagen</t>
  </si>
  <si>
    <t>E3.D.02</t>
  </si>
  <si>
    <t>Lüftungsanlagen</t>
  </si>
  <si>
    <t>E3.D.01</t>
  </si>
  <si>
    <t>Klima-/Lüftungsanlagen</t>
  </si>
  <si>
    <t>E3.D</t>
  </si>
  <si>
    <t>BGF*K_WÄRMEANL</t>
  </si>
  <si>
    <t>Sonstige Wärmeversorgungsanlagen</t>
  </si>
  <si>
    <t>E3.C.S</t>
  </si>
  <si>
    <t>Raumheizflächen</t>
  </si>
  <si>
    <t>E3.C.03</t>
  </si>
  <si>
    <t>Wärmeverteilnetze</t>
  </si>
  <si>
    <t>E3.C.02</t>
  </si>
  <si>
    <t>Wärmeerzeugungsanlagen</t>
  </si>
  <si>
    <t>E3.C.01</t>
  </si>
  <si>
    <t>Wärmeversorgungsanlagen</t>
  </si>
  <si>
    <t>E3.C</t>
  </si>
  <si>
    <t>Förderanlagen</t>
  </si>
  <si>
    <t>E3.B</t>
  </si>
  <si>
    <t>E3.A</t>
  </si>
  <si>
    <t>Bauwerk - Technik</t>
  </si>
  <si>
    <t>E3</t>
  </si>
  <si>
    <t>BGF*(K_SBK+K_BKEINB)</t>
  </si>
  <si>
    <t>Rohbau Sonstiges</t>
  </si>
  <si>
    <t>E2.S</t>
  </si>
  <si>
    <t>Sonstiges Vertikale Baukonstruktionen</t>
  </si>
  <si>
    <t>E2.E.S</t>
  </si>
  <si>
    <t>Spezielle Konstruktionen</t>
  </si>
  <si>
    <t>E2.E.04</t>
  </si>
  <si>
    <t>AWF*F_AWSTÜTZ/100*K_AWF+INWF*F_INWSTÜTZ/100*K_INWF</t>
  </si>
  <si>
    <t>Stützenkonstruktionen</t>
  </si>
  <si>
    <t>E2.E.03</t>
  </si>
  <si>
    <t>Innenwandkonstruktionen</t>
  </si>
  <si>
    <t>E2.E.02</t>
  </si>
  <si>
    <t>E2.E.01.d</t>
  </si>
  <si>
    <t>AWF*F_AWFROH/100*K_AWF</t>
  </si>
  <si>
    <t>E2.E.01.b</t>
  </si>
  <si>
    <t>E2.E.01.a</t>
  </si>
  <si>
    <t>Aussenwandkonstruktionen</t>
  </si>
  <si>
    <t>E2.E.01</t>
  </si>
  <si>
    <t>Vertikale Baukonstruktionen</t>
  </si>
  <si>
    <t>E2.E</t>
  </si>
  <si>
    <t>Sonstiges Horizontale Baukonstruktionen</t>
  </si>
  <si>
    <t>E2.D.S</t>
  </si>
  <si>
    <t>E2.D.03.b</t>
  </si>
  <si>
    <t>DACHF*F_DACHFROH/100*K_DACHF</t>
  </si>
  <si>
    <t>E2.D.03.a</t>
  </si>
  <si>
    <t>Dachkonstruktionen</t>
  </si>
  <si>
    <t>E2.D.03</t>
  </si>
  <si>
    <t>Treppenkonstruktionen</t>
  </si>
  <si>
    <t>E2.D.02</t>
  </si>
  <si>
    <t>DECKF*F_DECKFROH/100*K_DECKF</t>
  </si>
  <si>
    <t>Deckenkonstruktionen</t>
  </si>
  <si>
    <t>E2.D.01</t>
  </si>
  <si>
    <t>Horizontale Baukonstruktionen</t>
  </si>
  <si>
    <t>E2.D</t>
  </si>
  <si>
    <t>GRÜNDF*K_GRÜNDF</t>
  </si>
  <si>
    <t>Gründungen, Bodenkonstruktionen</t>
  </si>
  <si>
    <t>E2.C</t>
  </si>
  <si>
    <t>BAUGRV* K_BAUGRV</t>
  </si>
  <si>
    <t>Erdarbeiten, Baugrube</t>
  </si>
  <si>
    <t>E2.B</t>
  </si>
  <si>
    <t>E2.A</t>
  </si>
  <si>
    <t>Bauwerk - Rohbau</t>
  </si>
  <si>
    <t>E2</t>
  </si>
  <si>
    <t>Sonstiges für Aufschließung</t>
  </si>
  <si>
    <t>E1.S</t>
  </si>
  <si>
    <t>Provisorien</t>
  </si>
  <si>
    <t>E1.E</t>
  </si>
  <si>
    <t>Erschließung</t>
  </si>
  <si>
    <t>E1.C</t>
  </si>
  <si>
    <t>Baureifmachung</t>
  </si>
  <si>
    <t>E1.B</t>
  </si>
  <si>
    <t>E1.A</t>
  </si>
  <si>
    <t>Aufschließung</t>
  </si>
  <si>
    <t>E1</t>
  </si>
  <si>
    <t>Sonstiges für Grund</t>
  </si>
  <si>
    <t>E0.S</t>
  </si>
  <si>
    <t>Grunderwerb</t>
  </si>
  <si>
    <t>E0.B</t>
  </si>
  <si>
    <t>E0.A</t>
  </si>
  <si>
    <t>Grund</t>
  </si>
  <si>
    <t>E0</t>
  </si>
  <si>
    <t>Objekt-Errichtung</t>
  </si>
  <si>
    <t>E</t>
  </si>
  <si>
    <t>Finanzielle Parameter</t>
  </si>
  <si>
    <t>PBAU</t>
  </si>
  <si>
    <t>%/a</t>
  </si>
  <si>
    <t>PTECHNIK</t>
  </si>
  <si>
    <t>PALLG</t>
  </si>
  <si>
    <t>PENERG</t>
  </si>
  <si>
    <t>PLOHN</t>
  </si>
  <si>
    <t>R</t>
  </si>
  <si>
    <t>VWKm2</t>
  </si>
  <si>
    <t>€/m²NF a</t>
  </si>
  <si>
    <t>Technischer Gebäudebetrieb</t>
  </si>
  <si>
    <t>TGM</t>
  </si>
  <si>
    <t>Technisches Gebäudemanagement</t>
  </si>
  <si>
    <t>TKh</t>
  </si>
  <si>
    <t>€/h</t>
  </si>
  <si>
    <t>E3Bw</t>
  </si>
  <si>
    <t>Förderanlagen W</t>
  </si>
  <si>
    <t>E3Bi</t>
  </si>
  <si>
    <t>Förderanlagen I</t>
  </si>
  <si>
    <t>E3C01w</t>
  </si>
  <si>
    <t>Wärmeerzeugungsanlagen W</t>
  </si>
  <si>
    <t>E3C01i</t>
  </si>
  <si>
    <t>Wärmeerzeugungsanlagen I</t>
  </si>
  <si>
    <t>E3C02w</t>
  </si>
  <si>
    <t>Wärmeverteilnetze W</t>
  </si>
  <si>
    <t>E3C02i</t>
  </si>
  <si>
    <t>Wärmeverteilnetze I</t>
  </si>
  <si>
    <t>E3C03w</t>
  </si>
  <si>
    <t>Raumheizflächen W</t>
  </si>
  <si>
    <t>E3C03i</t>
  </si>
  <si>
    <t>Raumheizflächen I</t>
  </si>
  <si>
    <t>E3CSw</t>
  </si>
  <si>
    <t>Wärmeversorgungsanlagen Sonstiges W</t>
  </si>
  <si>
    <t>E3CSi</t>
  </si>
  <si>
    <t>Wärmeversorgungsanlagen Sonstiges I</t>
  </si>
  <si>
    <t>E3D01Rw</t>
  </si>
  <si>
    <t>Lüftungsanlagen Rohre W</t>
  </si>
  <si>
    <t>E3D01Ri</t>
  </si>
  <si>
    <t>Lüftungsanlagen Rohre I</t>
  </si>
  <si>
    <t>E3D01Vw</t>
  </si>
  <si>
    <t>Lüftungsanlagen Ventilatoren W</t>
  </si>
  <si>
    <t>E3D01Vi</t>
  </si>
  <si>
    <t>Lüftungsanlagen Ventilatoren I</t>
  </si>
  <si>
    <t>E3D01VAnteil</t>
  </si>
  <si>
    <t>Anteil Ventilatoren an Lüftungsanlagen (Rest Rohre)</t>
  </si>
  <si>
    <t>E3D02w</t>
  </si>
  <si>
    <t>Teilklimaanlagen W</t>
  </si>
  <si>
    <t>E3D02i</t>
  </si>
  <si>
    <t>Teilklimaanlagen I</t>
  </si>
  <si>
    <t>E3D03w</t>
  </si>
  <si>
    <t>Klimaanlagen W</t>
  </si>
  <si>
    <t>E3D03i</t>
  </si>
  <si>
    <t>Klimaanlagen I</t>
  </si>
  <si>
    <t>E3D04w</t>
  </si>
  <si>
    <t>Kälteanlagen W</t>
  </si>
  <si>
    <t>E3D04i</t>
  </si>
  <si>
    <t>Kälteanlagen I</t>
  </si>
  <si>
    <t>E3D05w</t>
  </si>
  <si>
    <t>Prozesslufttechnische Anlagen W</t>
  </si>
  <si>
    <t>E3D05i</t>
  </si>
  <si>
    <t>Prozesslufttechnische Anlagen I</t>
  </si>
  <si>
    <t>E3DSw</t>
  </si>
  <si>
    <t>Klima-/Lüftungsanlagen Sonstiges W</t>
  </si>
  <si>
    <t>E3DSi</t>
  </si>
  <si>
    <t>Klima-/Lüftungsanlagen Sonstiges I</t>
  </si>
  <si>
    <t>E3E01w</t>
  </si>
  <si>
    <t>Abwasseranlagen W</t>
  </si>
  <si>
    <t>E3E01i</t>
  </si>
  <si>
    <t>Abwasseranlagen I</t>
  </si>
  <si>
    <t>E3E02w</t>
  </si>
  <si>
    <t>Wasseranlagen W</t>
  </si>
  <si>
    <t>E3E02i</t>
  </si>
  <si>
    <t>Wasseranlagen I</t>
  </si>
  <si>
    <t>E3E03w</t>
  </si>
  <si>
    <t>Gasanlagen W</t>
  </si>
  <si>
    <t>E3E03i</t>
  </si>
  <si>
    <t>Gasanlagen I</t>
  </si>
  <si>
    <t>E3E04w</t>
  </si>
  <si>
    <t>Feuerlöschanlagen W</t>
  </si>
  <si>
    <t>E3E04i</t>
  </si>
  <si>
    <t>Feuerlöschanlagen I</t>
  </si>
  <si>
    <t>E3ESw</t>
  </si>
  <si>
    <t>Sanitär-/Gasanlagen Sonstiges W</t>
  </si>
  <si>
    <t>E3ESi</t>
  </si>
  <si>
    <t>Sanitär-/Gasanlagen Sonstiges I</t>
  </si>
  <si>
    <t>E3Fw</t>
  </si>
  <si>
    <t>Starkstromanlagen W</t>
  </si>
  <si>
    <t>E3Fi</t>
  </si>
  <si>
    <t>Starkstromanlagen I</t>
  </si>
  <si>
    <t>E3Gw</t>
  </si>
  <si>
    <t>Fernmelde- und Informationstechnische Anlagen W</t>
  </si>
  <si>
    <t>E3Gi</t>
  </si>
  <si>
    <t>Fernmelde- und Informationstechnische Anlagen I</t>
  </si>
  <si>
    <t>E3Hw</t>
  </si>
  <si>
    <t>Gebäudeautomation W</t>
  </si>
  <si>
    <t>E3Hi</t>
  </si>
  <si>
    <t>Gebäudeautomation I</t>
  </si>
  <si>
    <t>E3Iw</t>
  </si>
  <si>
    <t>Spezielle Anlagen W</t>
  </si>
  <si>
    <t>E3Ii</t>
  </si>
  <si>
    <t>Spezielle Anlagen I</t>
  </si>
  <si>
    <t>E4Bw</t>
  </si>
  <si>
    <t>Dachverkleidung W</t>
  </si>
  <si>
    <t>E4Bi</t>
  </si>
  <si>
    <t>Dachverkleidung I</t>
  </si>
  <si>
    <t>E4Cw</t>
  </si>
  <si>
    <t>Fassadenhülle W</t>
  </si>
  <si>
    <t>E4Ci</t>
  </si>
  <si>
    <t>Fassadenhülle I</t>
  </si>
  <si>
    <t>E4Dw</t>
  </si>
  <si>
    <t>Innenausbau W</t>
  </si>
  <si>
    <t>E4Di</t>
  </si>
  <si>
    <t>Innenausbau I</t>
  </si>
  <si>
    <t>E5Bw</t>
  </si>
  <si>
    <t>Betriebseinrichtungen W</t>
  </si>
  <si>
    <t>E5Bi</t>
  </si>
  <si>
    <t>Betriebseinrichtungen I</t>
  </si>
  <si>
    <t>E5Cw</t>
  </si>
  <si>
    <t>Ausstattungen, Kunstwerke W</t>
  </si>
  <si>
    <t>E5Ci</t>
  </si>
  <si>
    <t>Ausstattungen, Kunstwerke I</t>
  </si>
  <si>
    <t>E6Cw</t>
  </si>
  <si>
    <t>Befestigte Flächen W</t>
  </si>
  <si>
    <t>E6Ci</t>
  </si>
  <si>
    <t>Befestigte Flächen I</t>
  </si>
  <si>
    <t>Bauteile Außenanlagen</t>
  </si>
  <si>
    <t>E6Dw</t>
  </si>
  <si>
    <t>Bauteile Außenanlagen W</t>
  </si>
  <si>
    <t>E6Di</t>
  </si>
  <si>
    <t>Bauteile Außenanlagen I</t>
  </si>
  <si>
    <t>Kostenkennwerte</t>
  </si>
  <si>
    <t>KOST</t>
  </si>
  <si>
    <t>€/kWh</t>
  </si>
  <si>
    <t>KOGA</t>
  </si>
  <si>
    <t>Strom Verbraucher</t>
  </si>
  <si>
    <t>STTkWh</t>
  </si>
  <si>
    <t>HEIZkWh</t>
  </si>
  <si>
    <t>Strom Aufzüge</t>
  </si>
  <si>
    <t>€/a</t>
  </si>
  <si>
    <t>Wasser und Abwasser</t>
  </si>
  <si>
    <t>KOWA</t>
  </si>
  <si>
    <t>Wasserbezugsgebühr pro Kubikmeter</t>
  </si>
  <si>
    <t>KOAW</t>
  </si>
  <si>
    <t>Abwassergebühr pro Kubikmeter Wasser</t>
  </si>
  <si>
    <t>WAVpa</t>
  </si>
  <si>
    <t>Wasserverbrauch pro Person/Jahr</t>
  </si>
  <si>
    <t>l/Person a</t>
  </si>
  <si>
    <t>WAVnf</t>
  </si>
  <si>
    <t>Wasserverbrauch pro m² Nutzfläche</t>
  </si>
  <si>
    <t>WAVpa/1000'm3'/NFNUE</t>
  </si>
  <si>
    <t>m³/m²NF a</t>
  </si>
  <si>
    <t>AWVnf</t>
  </si>
  <si>
    <t>Abwasserverbrauch pro m² Nutzfläche</t>
  </si>
  <si>
    <t>WAVgf</t>
  </si>
  <si>
    <t>Wasserverbrauch pro m² Grünfläche</t>
  </si>
  <si>
    <t>m³/m²GRÜNF a</t>
  </si>
  <si>
    <t>AWVgf</t>
  </si>
  <si>
    <t>Abwasserverbrauch pro m² Grünfläche</t>
  </si>
  <si>
    <t>Müllentsorgung</t>
  </si>
  <si>
    <t>MÜLLKm3</t>
  </si>
  <si>
    <t>Müllentsorgungskosten pro 1000l</t>
  </si>
  <si>
    <t>€/1000l (1m³)</t>
  </si>
  <si>
    <t>MÜLLm3</t>
  </si>
  <si>
    <t>m³/Person a</t>
  </si>
  <si>
    <t>RKh</t>
  </si>
  <si>
    <t>Unterhaltsreinigung</t>
  </si>
  <si>
    <t>RBWfreq</t>
  </si>
  <si>
    <t>Frequenz/Woche</t>
  </si>
  <si>
    <t>RBWleis</t>
  </si>
  <si>
    <t>min/m²</t>
  </si>
  <si>
    <t>RKBWm2mon</t>
  </si>
  <si>
    <t>RKh*RBWfreq*RBWleis*4,35/60</t>
  </si>
  <si>
    <t>€/m²/mon</t>
  </si>
  <si>
    <t>RKBWa</t>
  </si>
  <si>
    <t>RFliesfreqh</t>
  </si>
  <si>
    <t>Frequenz Reinigung Sanitär bezogen auf die Fliesenfläche</t>
  </si>
  <si>
    <t>RFliesLeish</t>
  </si>
  <si>
    <t>Reinigungsleistung Sanitär bezogen auf die Fliesenfläche</t>
  </si>
  <si>
    <t>RKSANhm2mon</t>
  </si>
  <si>
    <t>Monat. Sanitärreinigungskostenh/m²</t>
  </si>
  <si>
    <t>RFliesfreqh*RFliesLeish*RKh*4,35/60</t>
  </si>
  <si>
    <t>RFliesfreqv</t>
  </si>
  <si>
    <t>Frequenz Reinigung Sanitär bezogen auf die Bodenfläche</t>
  </si>
  <si>
    <t>RFliesLeisv</t>
  </si>
  <si>
    <t>Reinigungsleistung Sanitär bezogen auf die Bodenfläche</t>
  </si>
  <si>
    <t>RKSANvm2mon</t>
  </si>
  <si>
    <t>Monat. Sanitärreinigungskostenv/m²</t>
  </si>
  <si>
    <t>RFliesfreqv*RFliesLeisv*RKh*4,35/60</t>
  </si>
  <si>
    <t>RKSANta</t>
  </si>
  <si>
    <t>Jährl. Sanitärreinigungskosten</t>
  </si>
  <si>
    <t>(RKSANhm2mon*SANFH + RKSANvm2mon*SANFV)*12</t>
  </si>
  <si>
    <t>RGangfreq</t>
  </si>
  <si>
    <t>Frequenz Reinigung Gang</t>
  </si>
  <si>
    <t>RGangLeis</t>
  </si>
  <si>
    <t>Reinigungsleistung Gang</t>
  </si>
  <si>
    <t>RKGm2mon</t>
  </si>
  <si>
    <t>Gang Reinigungskosten/m²</t>
  </si>
  <si>
    <t>RGangfreq*RGangLeis*RKh*4,35/60</t>
  </si>
  <si>
    <t>RStiegfreq</t>
  </si>
  <si>
    <t>Frequenz Reinigung Stiege</t>
  </si>
  <si>
    <t>RStiegLeis</t>
  </si>
  <si>
    <t>Reinigungsleistung Stiege</t>
  </si>
  <si>
    <t>RKSTm2mon</t>
  </si>
  <si>
    <t>Stiegen Reinigungskosten/m²</t>
  </si>
  <si>
    <t>RStiegfreq*RStiegLeis*RKh*4,35/60</t>
  </si>
  <si>
    <t>RKGSTa</t>
  </si>
  <si>
    <t>Jährl. Gang+Stiegenreinigungskosten</t>
  </si>
  <si>
    <t>(RKGm2mon*GANGF + RKSTm2mon*STIEGF)*12</t>
  </si>
  <si>
    <t>RTGfreq</t>
  </si>
  <si>
    <t>Frequenz Reinigung Tiefgarage</t>
  </si>
  <si>
    <t>RTGLeis</t>
  </si>
  <si>
    <t>Reinigungsleistung Tiefgarage</t>
  </si>
  <si>
    <t>RKTGm2mon</t>
  </si>
  <si>
    <t>Tiefgarage</t>
  </si>
  <si>
    <t>RTGfreq*RTGLeis*RKh*4,25/60</t>
  </si>
  <si>
    <t>RNebfreq</t>
  </si>
  <si>
    <t>Frequenz Reinigung Nebenflächen</t>
  </si>
  <si>
    <t>RNebFLeis</t>
  </si>
  <si>
    <t>Reinigungsleistung Nebenflächen</t>
  </si>
  <si>
    <t>RKNebFm2mon</t>
  </si>
  <si>
    <t>Nebenflächen</t>
  </si>
  <si>
    <t>RNebfreq*RNebFLeis*RKh*4,25/60</t>
  </si>
  <si>
    <t>RKTGNFa</t>
  </si>
  <si>
    <t>Jährl. Tiefgaragen+Nebenflreinigungskosten</t>
  </si>
  <si>
    <t>(RKTGm2mon*GARAF + RKNebFm2mon*NEBF)*12</t>
  </si>
  <si>
    <t>Fensterreinigung</t>
  </si>
  <si>
    <t>GLASFRKm2</t>
  </si>
  <si>
    <t>Fensterreinigungskosten</t>
  </si>
  <si>
    <t>GLASFRfreq</t>
  </si>
  <si>
    <t>Frequenz Reinigung Fenster und Glaswände</t>
  </si>
  <si>
    <t>Frequenz/Jahr</t>
  </si>
  <si>
    <t>BÜHd</t>
  </si>
  <si>
    <t>Arbeitsbühne Miete</t>
  </si>
  <si>
    <t>€/d</t>
  </si>
  <si>
    <t>GLASFRKa</t>
  </si>
  <si>
    <t>Jährliche Fensterreinigungskosten</t>
  </si>
  <si>
    <t>GLASFRKm2*GLASFRfreq*(GLASF+GLASFNV)+((GLASFab+GLASFNVab)*GLASFRKm2*GLASFRfreq/RKh/8)*BÜHd</t>
  </si>
  <si>
    <t>IGLASFRKm2</t>
  </si>
  <si>
    <t>Glasflächen innen Reinigungskosten</t>
  </si>
  <si>
    <t>GLASFIRfreq</t>
  </si>
  <si>
    <t>Frequenz Reinigung Glasflächen innen</t>
  </si>
  <si>
    <t>IGLASFRKa</t>
  </si>
  <si>
    <t>Jährliche Innenglasflächenreinigung</t>
  </si>
  <si>
    <t>IGLASFRKm2*GLASFIRfreq*(IGLASF*2+GLASF+GLASFF+GLASFNV)+(IGLASFab*IGLASFRKm2*GLASFIRfreq/RKh/8)*BÜHd</t>
  </si>
  <si>
    <t>JALRKm2</t>
  </si>
  <si>
    <t>Reinigung Sonnenschutz</t>
  </si>
  <si>
    <t>JALRfreq</t>
  </si>
  <si>
    <t>Frequenz Jalousienreinigung</t>
  </si>
  <si>
    <t>SBÜHd</t>
  </si>
  <si>
    <t>JALRKa</t>
  </si>
  <si>
    <t>Jährliche Sonnenschutzreinig.kosten</t>
  </si>
  <si>
    <t>JALRKm2*JALRfreq*JALF+(JALFab*JALRKm2*JALRfreq/RKh/8)*SBÜHd</t>
  </si>
  <si>
    <t>FASSRKm2</t>
  </si>
  <si>
    <t>Fassadenreinigung</t>
  </si>
  <si>
    <t>FASSRfreq</t>
  </si>
  <si>
    <t>Frequenz Reinigung Glasfassade</t>
  </si>
  <si>
    <t>FASSRKa</t>
  </si>
  <si>
    <t>Jährliche Fassadenreinigung ohne A.</t>
  </si>
  <si>
    <t>FASSRKm2*FASSRfreq*GLASFF</t>
  </si>
  <si>
    <t>FBÜHd</t>
  </si>
  <si>
    <t>FASSRKTa</t>
  </si>
  <si>
    <t>Jährliche Fassadenreinigung</t>
  </si>
  <si>
    <t>FASSRKm2*FASSRfreq*GLASFF+(GLASFFab*FASSRKm2*FASSRfreq/RKh/8)*FBÜHd</t>
  </si>
  <si>
    <t>Reinigung und Pflege Außenanlagen</t>
  </si>
  <si>
    <t>RAPKm2a</t>
  </si>
  <si>
    <t>Kosten Rasenflächenpflege</t>
  </si>
  <si>
    <t>€/m²a</t>
  </si>
  <si>
    <t>RAPKGa</t>
  </si>
  <si>
    <t>Jährliche Rasenpflegekosten</t>
  </si>
  <si>
    <t>RAPKm2a*GRÜNF</t>
  </si>
  <si>
    <t>RAuFfreq</t>
  </si>
  <si>
    <t>Frequenz Reinigung Außenflächen</t>
  </si>
  <si>
    <t>RAuFLeis</t>
  </si>
  <si>
    <t>Reinigungsleistung Außenflächen</t>
  </si>
  <si>
    <t>SRKm2a</t>
  </si>
  <si>
    <t>Kosten Reinigung und Schneeräumung</t>
  </si>
  <si>
    <t>AuFKm2a</t>
  </si>
  <si>
    <t>Kosten Reinigung befestigte Außenflächen</t>
  </si>
  <si>
    <t>RAuFfreq*RAuFLeis*RKh*4,35*12/60</t>
  </si>
  <si>
    <t>SRKGa</t>
  </si>
  <si>
    <t>Jährl. Reinigungs- und Schneer.kosten</t>
  </si>
  <si>
    <t>(SRKm2a+AuFKm2a)*BEFAF</t>
  </si>
  <si>
    <t>Gang- und Stiegenflächen</t>
  </si>
  <si>
    <t>Garage und Nebenflächen</t>
  </si>
  <si>
    <t>Jalousien und Sonnenschutz</t>
  </si>
  <si>
    <t>Sanitärflächen</t>
  </si>
  <si>
    <t>Fassadenflächen</t>
  </si>
  <si>
    <t>Umzüge</t>
  </si>
  <si>
    <t>Umzugsrate</t>
  </si>
  <si>
    <t>Umzugsrate (Umzüge/Jahr)</t>
  </si>
  <si>
    <t>Umzüge/Jahr</t>
  </si>
  <si>
    <t>Umzugskosten</t>
  </si>
  <si>
    <t>€/Nutzungseinheit</t>
  </si>
  <si>
    <t>Sicherheit</t>
  </si>
  <si>
    <t>SKh</t>
  </si>
  <si>
    <t>Große Instandsetzung</t>
  </si>
  <si>
    <t>GIF</t>
  </si>
  <si>
    <t>Rohbauerneuerung bei Großer Instandsetzung</t>
  </si>
  <si>
    <t>PLANUNG</t>
  </si>
  <si>
    <t>Anteil Planung, Nebenleistungen und Reserven in den EK</t>
  </si>
  <si>
    <t>EINZELP</t>
  </si>
  <si>
    <t>Zu-/Abschlag für die Einzelplanung der Instandsetzungen</t>
  </si>
  <si>
    <t>% (+/-)</t>
  </si>
  <si>
    <t>PFAKT</t>
  </si>
  <si>
    <t>Planungsfaktor für große Instandsetzung</t>
  </si>
  <si>
    <t>Faktor</t>
  </si>
  <si>
    <t>Ausmalen</t>
  </si>
  <si>
    <t>AUSMKm2</t>
  </si>
  <si>
    <t>Ausmalkosten</t>
  </si>
  <si>
    <t>Abbruch und Entsorgung</t>
  </si>
  <si>
    <t>Abbruchkosten</t>
  </si>
  <si>
    <t>AB_KO_GEBÄUDE</t>
  </si>
  <si>
    <t>Abbruchkosten entkerntes Gebäude €/m³</t>
  </si>
  <si>
    <t>AB_KO_ENTKERNUNG</t>
  </si>
  <si>
    <t>Kosten Entkernung in €/m³</t>
  </si>
  <si>
    <t>F_ENTK</t>
  </si>
  <si>
    <t>Faktor für Entkernung</t>
  </si>
  <si>
    <t>AB_KO_SONSTIGES</t>
  </si>
  <si>
    <t>Kosten Sonstiges in €/m³</t>
  </si>
  <si>
    <t>AB_GESAMT</t>
  </si>
  <si>
    <t>Abbruch Gesamt</t>
  </si>
  <si>
    <t>BRI*AB_KO_GEBÄUDE+BRI*AB_KO_ENTKERNUNG*F_ENTK+BRI*AB_KO_SONSTIGES</t>
  </si>
  <si>
    <t>Entsorgungsanteil je Material</t>
  </si>
  <si>
    <t>AT_BETON_SR</t>
  </si>
  <si>
    <t xml:space="preserve">Beton sortenrein </t>
  </si>
  <si>
    <t>AT_BETON_SMINERAL</t>
  </si>
  <si>
    <t xml:space="preserve">Beton als sonst. mineralisches Material </t>
  </si>
  <si>
    <t>AT_BETON_RESTABFALL</t>
  </si>
  <si>
    <t>Beton als Restabfall</t>
  </si>
  <si>
    <t>AT_HOLZ_SR</t>
  </si>
  <si>
    <t xml:space="preserve">Holz sortenrein </t>
  </si>
  <si>
    <t>AT_HOLZ_RESTABFALL</t>
  </si>
  <si>
    <t>Holz als Restabfall</t>
  </si>
  <si>
    <t>AT_METALL_SR</t>
  </si>
  <si>
    <t>AT_METALL_RESTABFALL</t>
  </si>
  <si>
    <t>Metalle als Restabfall</t>
  </si>
  <si>
    <t>Entsorgungskosten je t Material</t>
  </si>
  <si>
    <t>ENTS_KO_BETON_T</t>
  </si>
  <si>
    <t>Entsorgung Beton €/t</t>
  </si>
  <si>
    <t>€/t</t>
  </si>
  <si>
    <t>ENTS_KO_HOLZ_T</t>
  </si>
  <si>
    <t>Entsorgung Holz €/t</t>
  </si>
  <si>
    <t>ENTS_KO_METALL_T</t>
  </si>
  <si>
    <t>Entsorgung Metalle €/t</t>
  </si>
  <si>
    <t>ENTS_KO_RESTABFALL_T</t>
  </si>
  <si>
    <t>Entsorgung Restabfall €/t</t>
  </si>
  <si>
    <t>Entsorgungskosten</t>
  </si>
  <si>
    <t>ENTS_KO_BETON</t>
  </si>
  <si>
    <t>Entsorgung Beton</t>
  </si>
  <si>
    <t>ENTS_KO_HOLZ</t>
  </si>
  <si>
    <t>Entsorgung Holz</t>
  </si>
  <si>
    <t>ENTS_KO_METALL</t>
  </si>
  <si>
    <t>Entsorgung Metalle</t>
  </si>
  <si>
    <t>ENTS_KO_RESTABFALL</t>
  </si>
  <si>
    <t>Entsorgung Restabfall</t>
  </si>
  <si>
    <t>ENTS_GESAMT</t>
  </si>
  <si>
    <t>Entsorgung  Gesamt</t>
  </si>
  <si>
    <t>AB_ENTS_GESAMT</t>
  </si>
  <si>
    <t>Abbruch und Entsorgung Gesamt</t>
  </si>
  <si>
    <t>AB_GESAMT+ENTS_GESAMT</t>
  </si>
  <si>
    <t>Herstellung des Vertragszustands</t>
  </si>
  <si>
    <t>HVZm2</t>
  </si>
  <si>
    <t>Vertragszustandsherstellungskosten/m² befestigte Außenfl.</t>
  </si>
  <si>
    <t>€/m²BEFAF</t>
  </si>
  <si>
    <t>Hierarchietyp</t>
  </si>
  <si>
    <t>Indexwert</t>
  </si>
  <si>
    <t>Ü</t>
  </si>
  <si>
    <t>F</t>
  </si>
  <si>
    <t>Objekt-Folgekosten</t>
  </si>
  <si>
    <t>KHG</t>
  </si>
  <si>
    <t>F1</t>
  </si>
  <si>
    <t>Verwaltung</t>
  </si>
  <si>
    <t>€/Jahr</t>
  </si>
  <si>
    <t>KOA</t>
  </si>
  <si>
    <t>F1.1</t>
  </si>
  <si>
    <t>Verwaltung und Management</t>
  </si>
  <si>
    <t>NF*VWKm2</t>
  </si>
  <si>
    <t>1</t>
  </si>
  <si>
    <t>F1.2</t>
  </si>
  <si>
    <t>Gebühren, Steuern und Abgaben</t>
  </si>
  <si>
    <t>F1.3</t>
  </si>
  <si>
    <t>Flächenmanagement</t>
  </si>
  <si>
    <t>F1.4</t>
  </si>
  <si>
    <t>F2</t>
  </si>
  <si>
    <t>F2.1</t>
  </si>
  <si>
    <t>TGM*NF</t>
  </si>
  <si>
    <t>F2.2</t>
  </si>
  <si>
    <t>Inspektionen</t>
  </si>
  <si>
    <t>KUG</t>
  </si>
  <si>
    <t>F2.3</t>
  </si>
  <si>
    <t>Wartung</t>
  </si>
  <si>
    <t>F2.3-3.B</t>
  </si>
  <si>
    <t>F2.3-3.C</t>
  </si>
  <si>
    <t>F2.3-3.D</t>
  </si>
  <si>
    <t>F2.3-3.E</t>
  </si>
  <si>
    <t>F2.3-3.F</t>
  </si>
  <si>
    <t>F2.3-3.G</t>
  </si>
  <si>
    <t>F2.3-3.H</t>
  </si>
  <si>
    <t>F2.3-3.I</t>
  </si>
  <si>
    <t>F2.3-4.B</t>
  </si>
  <si>
    <t>F2.3-4.C</t>
  </si>
  <si>
    <t>F2.3-4.D</t>
  </si>
  <si>
    <t>F2.3-5.B</t>
  </si>
  <si>
    <t>F2.3-5.C</t>
  </si>
  <si>
    <t>F2.3-6.C</t>
  </si>
  <si>
    <t>F2.3-6.D</t>
  </si>
  <si>
    <t>F2.4</t>
  </si>
  <si>
    <t>Kleine Instandsetzung, Reparaturen</t>
  </si>
  <si>
    <t>F2.4-3.B</t>
  </si>
  <si>
    <t>F2.4-3.C</t>
  </si>
  <si>
    <t>F2.4-3.D</t>
  </si>
  <si>
    <t>F2.4-3.E</t>
  </si>
  <si>
    <t>F2.4-3.F</t>
  </si>
  <si>
    <t>F2.4-3.G</t>
  </si>
  <si>
    <t>F2.4-3.H</t>
  </si>
  <si>
    <t>F2.4-3.I</t>
  </si>
  <si>
    <t>F2.4-4.B</t>
  </si>
  <si>
    <t>F2.4-4.C</t>
  </si>
  <si>
    <t>F2.4-4.D</t>
  </si>
  <si>
    <t>F2.4-5.B</t>
  </si>
  <si>
    <t>F2.4-5.C</t>
  </si>
  <si>
    <t>F2.4-6.C</t>
  </si>
  <si>
    <t>F2.4-6.D</t>
  </si>
  <si>
    <t>F2.5</t>
  </si>
  <si>
    <t>F3</t>
  </si>
  <si>
    <t>Ver- und Entsorgung</t>
  </si>
  <si>
    <t>F3.1</t>
  </si>
  <si>
    <t>Energie (Wärme, Kälte, Strom)</t>
  </si>
  <si>
    <t>F3.1.a</t>
  </si>
  <si>
    <t>F3.1.b</t>
  </si>
  <si>
    <t>F3.1.c</t>
  </si>
  <si>
    <t>F3.1.d</t>
  </si>
  <si>
    <t>F3.1.e</t>
  </si>
  <si>
    <t>F3.2</t>
  </si>
  <si>
    <t>F3.3</t>
  </si>
  <si>
    <t>F3.4</t>
  </si>
  <si>
    <t>Sonstige Medien</t>
  </si>
  <si>
    <t>F4</t>
  </si>
  <si>
    <t>Reinigung und Pflege</t>
  </si>
  <si>
    <t>F4.1</t>
  </si>
  <si>
    <t>F4.1.a</t>
  </si>
  <si>
    <t>Büro/Wohnflächenreinigungskosten</t>
  </si>
  <si>
    <t>F4.1.b</t>
  </si>
  <si>
    <t>Sanitärreinigungskosten</t>
  </si>
  <si>
    <t>F4.1.c</t>
  </si>
  <si>
    <t>Gang+Stiegenreinigungskosten</t>
  </si>
  <si>
    <t>F4.1.d</t>
  </si>
  <si>
    <t>Tiefgaragen+Nebenflächenreingungskosten</t>
  </si>
  <si>
    <t>F4.2</t>
  </si>
  <si>
    <t>Fenster- und Glasflächenreinigung</t>
  </si>
  <si>
    <t>F4.2.a</t>
  </si>
  <si>
    <t>F4.2.b</t>
  </si>
  <si>
    <t>Innenglasflächenreinigung</t>
  </si>
  <si>
    <t>F4.3</t>
  </si>
  <si>
    <t>F4.4</t>
  </si>
  <si>
    <t>Sonderreinigungen</t>
  </si>
  <si>
    <t>F4.4.a</t>
  </si>
  <si>
    <t>Sonnenschutzreinigungskosten</t>
  </si>
  <si>
    <t>F4.5</t>
  </si>
  <si>
    <t>Winterdienste</t>
  </si>
  <si>
    <t>SRKm2a*BEFAF</t>
  </si>
  <si>
    <t>F4.6</t>
  </si>
  <si>
    <t>Reinigung Außenanlagen</t>
  </si>
  <si>
    <t>AufKm2a*BEFAF</t>
  </si>
  <si>
    <t>F4.7</t>
  </si>
  <si>
    <t>Gärtnerdienste</t>
  </si>
  <si>
    <t>F5</t>
  </si>
  <si>
    <t>F5.1</t>
  </si>
  <si>
    <t>Sicherheitsdienste (Schließdienste, Bewachung)</t>
  </si>
  <si>
    <t>0,02*365/60*SKh*NF</t>
  </si>
  <si>
    <t>F5.2</t>
  </si>
  <si>
    <t>Brandschutzdienste</t>
  </si>
  <si>
    <t>F6</t>
  </si>
  <si>
    <t>Gebäudedienste</t>
  </si>
  <si>
    <t>F6.1</t>
  </si>
  <si>
    <t>Hauspost (Verteilung der Post im Haus)</t>
  </si>
  <si>
    <t>F6.2</t>
  </si>
  <si>
    <t>Kommunikations- und Informationstechnik</t>
  </si>
  <si>
    <t>F6.3</t>
  </si>
  <si>
    <t>Umzüge - interne Transporte, Hausarbeiterdienste</t>
  </si>
  <si>
    <t>NUE*UMZUGSrate*Umzugskosten</t>
  </si>
  <si>
    <t>F6.4</t>
  </si>
  <si>
    <t>Empfang und interne Bürodienste</t>
  </si>
  <si>
    <t>F6.5</t>
  </si>
  <si>
    <t>Gastroservice</t>
  </si>
  <si>
    <t>F6.6</t>
  </si>
  <si>
    <t>Sonstige Dienste</t>
  </si>
  <si>
    <t>F7</t>
  </si>
  <si>
    <t>Instandsetzung, Umbau</t>
  </si>
  <si>
    <t>F7.1</t>
  </si>
  <si>
    <t>Große Instandsetzung (inkl. Planung, Nebenleist., Reserve)</t>
  </si>
  <si>
    <t>F7.1-2</t>
  </si>
  <si>
    <t>Bauwerk-Rohbau</t>
  </si>
  <si>
    <t>F7.1-2.A</t>
  </si>
  <si>
    <t>Bauwerk Rohbau Allgemein</t>
  </si>
  <si>
    <t>€/Instandsetzung</t>
  </si>
  <si>
    <t>F7.1-2.B</t>
  </si>
  <si>
    <t>F7.1-2.C</t>
  </si>
  <si>
    <t>F7.1-2.D</t>
  </si>
  <si>
    <t>F7.1-2.D.01</t>
  </si>
  <si>
    <t>F7.1-2.D.02</t>
  </si>
  <si>
    <t>F7.1-2.D.03</t>
  </si>
  <si>
    <t>F7.1-2.D.03.a</t>
  </si>
  <si>
    <t>F7.1-2.D.03.b</t>
  </si>
  <si>
    <t>F7.1-2.E</t>
  </si>
  <si>
    <t>F7.1-2.E.01</t>
  </si>
  <si>
    <t>F7.1-2.E.01.a</t>
  </si>
  <si>
    <t>F7.1-2.E.01.b</t>
  </si>
  <si>
    <t>F7.1-2.E.01.d</t>
  </si>
  <si>
    <t>F7.1-2.E.02</t>
  </si>
  <si>
    <t>F7.1-2.E.03</t>
  </si>
  <si>
    <t>F7.1-2.E.04</t>
  </si>
  <si>
    <t>F7.1-2.E.S</t>
  </si>
  <si>
    <t>F7.1-2.S</t>
  </si>
  <si>
    <t>Sonstige Bauwerk Rohbau</t>
  </si>
  <si>
    <t>F7.1-3</t>
  </si>
  <si>
    <t>Bauwerk Technik</t>
  </si>
  <si>
    <t>F7.1-3.A</t>
  </si>
  <si>
    <t>Allgemein Bauwerk - Technik</t>
  </si>
  <si>
    <t>F7.1-3.B</t>
  </si>
  <si>
    <t>F7.1-3.C</t>
  </si>
  <si>
    <t>F7.1-3.C.01</t>
  </si>
  <si>
    <t>F7.1-3.C.02</t>
  </si>
  <si>
    <t>F7.1-3.C.03</t>
  </si>
  <si>
    <t>F7.1-3.C.S</t>
  </si>
  <si>
    <t>F7.1-3.D</t>
  </si>
  <si>
    <t>F7.1-3.D.01</t>
  </si>
  <si>
    <t>F7.1-3.D.01a</t>
  </si>
  <si>
    <t>Lüftungsanlagen Rohre</t>
  </si>
  <si>
    <t>F7.1-3.D.01b</t>
  </si>
  <si>
    <t>Lüftungsanlagen Ventilatoren</t>
  </si>
  <si>
    <t>F7.1-3.D.02</t>
  </si>
  <si>
    <t>F7.1-3.D.03</t>
  </si>
  <si>
    <t>F7.1-3.D.04</t>
  </si>
  <si>
    <t>F7.1-3.D.05</t>
  </si>
  <si>
    <t>F7.1-3.D.S</t>
  </si>
  <si>
    <t>F7.1-3.E</t>
  </si>
  <si>
    <t>F7.1-3.E.01</t>
  </si>
  <si>
    <t>F7.1-3.E.02</t>
  </si>
  <si>
    <t>F7.1-3.E.03</t>
  </si>
  <si>
    <t>F7.1-3.E.04</t>
  </si>
  <si>
    <t>F7.1-3.E.S</t>
  </si>
  <si>
    <t>F7.1-3.F</t>
  </si>
  <si>
    <t>F7.1-3.G</t>
  </si>
  <si>
    <t>F7.1-3.G.01</t>
  </si>
  <si>
    <t>F7.1-3.G.02</t>
  </si>
  <si>
    <t>F7.1-3.G.03</t>
  </si>
  <si>
    <t>F7.1-3.G.04</t>
  </si>
  <si>
    <t>F7.1-3.G.05</t>
  </si>
  <si>
    <t>F7.1-3.G.06</t>
  </si>
  <si>
    <t>F7.1-3.G.07</t>
  </si>
  <si>
    <t>F7.1-3.G.S</t>
  </si>
  <si>
    <t>F7.1-3.H</t>
  </si>
  <si>
    <t>F7.1-3.S</t>
  </si>
  <si>
    <t>Sonstige Anlagen Bauwerk - Technik</t>
  </si>
  <si>
    <t>F7.1-4</t>
  </si>
  <si>
    <t>Bauwerk Ausbau</t>
  </si>
  <si>
    <t>F7.1-4.A</t>
  </si>
  <si>
    <t>Allgemein Bauwerk - Ausbau</t>
  </si>
  <si>
    <t>F7.1-4.B</t>
  </si>
  <si>
    <t>F7.1-4.B.01</t>
  </si>
  <si>
    <t>F7.1-4.B.01.a</t>
  </si>
  <si>
    <t>F7.1-4.B.01.b</t>
  </si>
  <si>
    <t>F7.1-4.B.02</t>
  </si>
  <si>
    <t>F7.1-4.B.03</t>
  </si>
  <si>
    <t>F7.1-4.B.S</t>
  </si>
  <si>
    <t>F7.1-4.C</t>
  </si>
  <si>
    <t>F7.1-4.D</t>
  </si>
  <si>
    <t>F7.1-4.D.01</t>
  </si>
  <si>
    <t>F7.1-4.D.02</t>
  </si>
  <si>
    <t>F7.1-4.D.02a</t>
  </si>
  <si>
    <t>AUSMKm2*MALFw</t>
  </si>
  <si>
    <t>F7.1-4.D.02b</t>
  </si>
  <si>
    <t>Instandsetzung Wandverkleidungen</t>
  </si>
  <si>
    <t>F7.1-4.D.03</t>
  </si>
  <si>
    <t>F7.1-4.D.03a</t>
  </si>
  <si>
    <t>AUSMKm2*MALFd</t>
  </si>
  <si>
    <t>F7.1-4.D.03b</t>
  </si>
  <si>
    <t>Instandsetzung Deckenverkleidungen</t>
  </si>
  <si>
    <t>F7.1-4.D.04</t>
  </si>
  <si>
    <t>F7.1-4.D.05</t>
  </si>
  <si>
    <t>F7.1-4.D.S</t>
  </si>
  <si>
    <t>F7.1-5</t>
  </si>
  <si>
    <t>F7.1-5.A</t>
  </si>
  <si>
    <t>Allgemeine Einrichtung</t>
  </si>
  <si>
    <t>F7.1-5.B</t>
  </si>
  <si>
    <t>Betriebseinrichtung</t>
  </si>
  <si>
    <t>F7.1-5.C</t>
  </si>
  <si>
    <t>F7.1-5.S</t>
  </si>
  <si>
    <t>Einrichtung Sonstiges</t>
  </si>
  <si>
    <t>F7.1-6</t>
  </si>
  <si>
    <t>F7.1-6.A</t>
  </si>
  <si>
    <t>Allgemeine Außenanlagen</t>
  </si>
  <si>
    <t>F7.1-6.B</t>
  </si>
  <si>
    <t>F7.1-6.C</t>
  </si>
  <si>
    <t>F7.1-6.D</t>
  </si>
  <si>
    <t>F7.1-6.S</t>
  </si>
  <si>
    <t>Außenanlagen Sonstiges</t>
  </si>
  <si>
    <t>F7.2</t>
  </si>
  <si>
    <t>Verbesserung und Umnutzung</t>
  </si>
  <si>
    <t>LEBENT</t>
  </si>
  <si>
    <t>F8</t>
  </si>
  <si>
    <t>F8.1</t>
  </si>
  <si>
    <t>F9</t>
  </si>
  <si>
    <t>Objektbeseitigung, Abbruch</t>
  </si>
  <si>
    <t>F9.1</t>
  </si>
  <si>
    <t>Planung und Organisation</t>
  </si>
  <si>
    <t>AB_ENTS_GESAMT * PFAKT-AB_ENTS_GESAMT</t>
  </si>
  <si>
    <t>F9.2</t>
  </si>
  <si>
    <t>F9.3</t>
  </si>
  <si>
    <t>HVZm2*BEFAF</t>
  </si>
  <si>
    <t>SKG</t>
  </si>
  <si>
    <t>KGB</t>
  </si>
  <si>
    <t>Kosten des Gebäudebetriebs [F1-F5]</t>
  </si>
  <si>
    <t>GBK</t>
  </si>
  <si>
    <t>Gebäudebasiskosten [E1-F5]</t>
  </si>
  <si>
    <t>EK+KGB</t>
  </si>
  <si>
    <t>ONK</t>
  </si>
  <si>
    <t>Nutzungskosten [F1-F8]</t>
  </si>
  <si>
    <t>OFK</t>
  </si>
  <si>
    <t>Folgekosten [F1-F9]</t>
  </si>
  <si>
    <t>LZK</t>
  </si>
  <si>
    <t>Lebenszykluskosten [E1-F9]</t>
  </si>
  <si>
    <t>EK+OFK</t>
  </si>
  <si>
    <t>GKBGF</t>
  </si>
  <si>
    <t>Gesamtkosten Errichtung/Brutto-Grundfläche</t>
  </si>
  <si>
    <t>€/m2</t>
  </si>
  <si>
    <t>GKNUE</t>
  </si>
  <si>
    <t>Gesamtkosten Errichtung/Nutzungseinheit</t>
  </si>
  <si>
    <t>€/NUE</t>
  </si>
  <si>
    <t>LZKBGF</t>
  </si>
  <si>
    <t>Lebenszykluskosten/Brutto-Grundfläche</t>
  </si>
  <si>
    <t>LZKNF</t>
  </si>
  <si>
    <t>Lebenszykluskosten/Nutzfläche</t>
  </si>
  <si>
    <t>LZKNUE</t>
  </si>
  <si>
    <t>Lebenszykluskosten/Nutzungseinheit</t>
  </si>
  <si>
    <t>LZKEK</t>
  </si>
  <si>
    <t>Lebenszykluskosten/Errichtungskosten</t>
  </si>
  <si>
    <t>F1NF</t>
  </si>
  <si>
    <t>Verwaltung je Nutzfläche</t>
  </si>
  <si>
    <t>F2NF</t>
  </si>
  <si>
    <t xml:space="preserve">Technischer Gebäudebetrieb je Nutzfläche </t>
  </si>
  <si>
    <t>F3NF</t>
  </si>
  <si>
    <t>Ver- und Entsorgung je Nutzfläche</t>
  </si>
  <si>
    <t>F4NF</t>
  </si>
  <si>
    <t>Reinigung und Pflege je Nutzfläche</t>
  </si>
  <si>
    <t>F5FN</t>
  </si>
  <si>
    <t>Sicherheit je Nutzfläche</t>
  </si>
  <si>
    <t>F6NF</t>
  </si>
  <si>
    <t>Gebäudedienste je Nutzfläche</t>
  </si>
  <si>
    <t>F7NF</t>
  </si>
  <si>
    <t>F8NF</t>
  </si>
  <si>
    <t>Sonstiges je Nutzfläche</t>
  </si>
  <si>
    <t>F9NF</t>
  </si>
  <si>
    <t>F1NFJ</t>
  </si>
  <si>
    <t>Verwaltung je Nutzfläche und Jahr</t>
  </si>
  <si>
    <t>€/m2/Jahr</t>
  </si>
  <si>
    <t>F2NFJ</t>
  </si>
  <si>
    <t xml:space="preserve">Technischer Gebäudebetrieb je Nutzfläche und Jahr </t>
  </si>
  <si>
    <t>F3NFJ</t>
  </si>
  <si>
    <t>Ver- und Entsorgung je Nutzfläche und Jahr</t>
  </si>
  <si>
    <t>F4NFJ</t>
  </si>
  <si>
    <t>Reinigung und Pflege je Nutzfläche und Jahr</t>
  </si>
  <si>
    <t>F5NFJ</t>
  </si>
  <si>
    <t>F6NFJ</t>
  </si>
  <si>
    <t>Gebäudedienste je Nutzfläche und Jahr</t>
  </si>
  <si>
    <t>F7NFJ</t>
  </si>
  <si>
    <t>F8NFJ</t>
  </si>
  <si>
    <t>Sonstiges je Nutzfläche und Jahr</t>
  </si>
  <si>
    <t>F9NFJ</t>
  </si>
  <si>
    <t>Objektbeseitigung, Abbruch je Nutzfläche und Jahr</t>
  </si>
  <si>
    <t>Jahresarbeitsstunden Technische Wartung</t>
  </si>
  <si>
    <t>#F2.3/TKh</t>
  </si>
  <si>
    <t>h/Jahr</t>
  </si>
  <si>
    <t>Überschrift</t>
  </si>
  <si>
    <t>Kostenhauptgruppe</t>
  </si>
  <si>
    <t>Kostenuntergruppe</t>
  </si>
  <si>
    <t>Kostenart</t>
  </si>
  <si>
    <t>Summe von Kostengruppen</t>
  </si>
  <si>
    <t>Abkürzungen:</t>
  </si>
  <si>
    <t>Lebensdauer</t>
  </si>
  <si>
    <t>Jahre</t>
  </si>
  <si>
    <t>Projektbezeichnung</t>
  </si>
  <si>
    <t>E2+E3+E4</t>
  </si>
  <si>
    <t>E1+BWK+E5+E6</t>
  </si>
  <si>
    <t>BK+E7+E8+E9</t>
  </si>
  <si>
    <t>E0+EK</t>
  </si>
  <si>
    <t>F1+F2+F3+F4+F5</t>
  </si>
  <si>
    <t>KGB+F6+F7+F8</t>
  </si>
  <si>
    <t>ONK+F9</t>
  </si>
  <si>
    <t>Basisinfo</t>
  </si>
  <si>
    <t>Beschreibung</t>
  </si>
  <si>
    <t>E3.B*E3Bw/100</t>
  </si>
  <si>
    <t>E3.C.01*E3C01w/100+E3.C.02*E3C02w/100+E3.C.03*E3C03w/100+E3.C.S*E3CSw/100</t>
  </si>
  <si>
    <t>E3.D.01*E3D01Rw/100*(1-E3D01VAnteil/100) + E3.D.01*E3D01Vw/100*E3D01VAnteil/100 + E3.D.02*E3D02w/100+E3.D.03*E3D03w/100+E3.D.04*E3D04w/100+E3.D.05*E3D05w/100+E3.D.S*E3DSw/100</t>
  </si>
  <si>
    <t>E3.E.01*E3E01w/100+E3.E.02*E3E02w/100+E3.E.03*E3E03w/100+E3.E.04*E3E04w/100+E3.E.S*E3ESw/100</t>
  </si>
  <si>
    <t>E3.F*E3Fw/100</t>
  </si>
  <si>
    <t>E3.G*E3Gw/100</t>
  </si>
  <si>
    <t>E3.H*E3Hw/100</t>
  </si>
  <si>
    <t>E3.I*E3Iw/100</t>
  </si>
  <si>
    <t>E4.B*E4Bw/100</t>
  </si>
  <si>
    <t>E3.S.01</t>
  </si>
  <si>
    <t>E4.C*E4Cw/100</t>
  </si>
  <si>
    <t>E4.D*E4Dw/100</t>
  </si>
  <si>
    <t>E5.B*E5Bw/100</t>
  </si>
  <si>
    <t>E5.C*E5Cw/100</t>
  </si>
  <si>
    <t>E6.C*E6Cw/100</t>
  </si>
  <si>
    <t>E6.D*E6Dw/100</t>
  </si>
  <si>
    <t>E3.B*E3Bi/100</t>
  </si>
  <si>
    <t>E3.C.01*E3C01i/100+E3.C.02*E3C02i/100+E3.C.03*E3C03i/100+E3.C.S*E3CSi/100</t>
  </si>
  <si>
    <t>E3.D.01*E3D01Ri/100*(1-E3D01VAnteil/100) + E3.D.01*E3D01Vi/100*E3D01VAnteil/100 + E3.D.02*E3D02i/100+E3.D.03*E3D03i/100+E3.D.04*E3D04i/100+E3.D.05*E3D05i/100+E3.D.S*E3DSi/100</t>
  </si>
  <si>
    <t>E3.E.01*E3E01i/100+E3.E.02*E3E02i/100+E3.E.03*E3E03i/100+E3.E.04*E3E04i/100+E3.E.S*E3ESi/100</t>
  </si>
  <si>
    <t>E3.F*E3Fi/100</t>
  </si>
  <si>
    <t>E3.G*E3Gi/100</t>
  </si>
  <si>
    <t>E3.H*E3Hi/100</t>
  </si>
  <si>
    <t>E3.I*E3Ii/100</t>
  </si>
  <si>
    <t>E4.B*E4Bi/100</t>
  </si>
  <si>
    <t>E4.C*E4Ci/100</t>
  </si>
  <si>
    <t>E4.D*E4Di/100</t>
  </si>
  <si>
    <t>E5.B*E5Bi/100</t>
  </si>
  <si>
    <t>E5.C*E5Ci/100</t>
  </si>
  <si>
    <t>E6.C*E6Ci/100</t>
  </si>
  <si>
    <t>E6.D*E6Di/100</t>
  </si>
  <si>
    <t>E2.A *GIF/100* PFAKT</t>
  </si>
  <si>
    <t>E2.B *GIF/100* PFAKT</t>
  </si>
  <si>
    <t>E2.C *GIF/100* PFAKT</t>
  </si>
  <si>
    <t>E2.D.01 *GIF/100* PFAKT</t>
  </si>
  <si>
    <t>E2.D.02 *GIF/100* PFAKT</t>
  </si>
  <si>
    <t>E2.D.03.a *GIF/100* PFAKT</t>
  </si>
  <si>
    <t>E2.D.03.b *GIF/100* PFAKT</t>
  </si>
  <si>
    <t>E2.E.01.a *GIF/100* PFAKT</t>
  </si>
  <si>
    <t>E2.E.01.b *GIF/100* PFAKT</t>
  </si>
  <si>
    <t>E2.E.01.d *GIF/100* PFAKT</t>
  </si>
  <si>
    <t>E2.E.02 *GIF/100* PFAKT</t>
  </si>
  <si>
    <t>E2.E.03 *GIF/100* PFAKT</t>
  </si>
  <si>
    <t>E2.E.04 *GIF/100* PFAKT</t>
  </si>
  <si>
    <t>E2.E.S *GIF/100* PFAKT</t>
  </si>
  <si>
    <t>E2.S *GIF/100* PFAKT</t>
  </si>
  <si>
    <t>E3.A * PFAKT</t>
  </si>
  <si>
    <t>E3.B * PFAKT</t>
  </si>
  <si>
    <t>E3.C.01 * PFAKT</t>
  </si>
  <si>
    <t>E3.C.02 * PFAKT</t>
  </si>
  <si>
    <t>E3.C.03 * PFAKT</t>
  </si>
  <si>
    <t>E3.C.S * PFAKT</t>
  </si>
  <si>
    <t>E3.D.01*(100-E3D01VAnteil)/100 * PFAKT</t>
  </si>
  <si>
    <t>E3.D.01*E3D01VAnteil/100 * PFAKT</t>
  </si>
  <si>
    <t>E3.D.02 * PFAKT</t>
  </si>
  <si>
    <t>E3.D.03 * PFAKT</t>
  </si>
  <si>
    <t>E3.D.04 * PFAKT</t>
  </si>
  <si>
    <t>E3.D.05 * PFAKT</t>
  </si>
  <si>
    <t>E3.D.S * PFAKT</t>
  </si>
  <si>
    <t>E3.E.01 * PFAKT</t>
  </si>
  <si>
    <t>E3.E.02 * PFAKT</t>
  </si>
  <si>
    <t>E3.E.03 * PFAKT</t>
  </si>
  <si>
    <t>E3.E.04 * PFAKT</t>
  </si>
  <si>
    <t>E3.E.S * PFAKT</t>
  </si>
  <si>
    <t>E3.F * PFAKT</t>
  </si>
  <si>
    <t>E3.G.01 * PFAKT</t>
  </si>
  <si>
    <t>E3.G.02 * PFAKT</t>
  </si>
  <si>
    <t>E3.G.03 * PFAKT</t>
  </si>
  <si>
    <t>E3.G.04 * PFAKT</t>
  </si>
  <si>
    <t>E3.G.05 * PFAKT</t>
  </si>
  <si>
    <t>E3.G.06 * PFAKT</t>
  </si>
  <si>
    <t>E3.G.07 * PFAKT</t>
  </si>
  <si>
    <t>E3.G.S * PFAKT</t>
  </si>
  <si>
    <t>E3.H * PFAKT</t>
  </si>
  <si>
    <t>E3.S * PFAKT</t>
  </si>
  <si>
    <t>E4.A * PFAKT</t>
  </si>
  <si>
    <t>E4.B.01.a * PFAKT</t>
  </si>
  <si>
    <t>E4.B.01.b * PFAKT</t>
  </si>
  <si>
    <t>E4.B.02 * PFAKT</t>
  </si>
  <si>
    <t>E4.B.03 * PFAKT</t>
  </si>
  <si>
    <t>E4.B.S * PFAKT</t>
  </si>
  <si>
    <t>E4.C * PFAKT</t>
  </si>
  <si>
    <t>E4.D.01 * PFAKT</t>
  </si>
  <si>
    <t>E4.D.02 * PFAKT</t>
  </si>
  <si>
    <t>E4.D.03 * PFAKT</t>
  </si>
  <si>
    <t>E4.D.04 * PFAKT</t>
  </si>
  <si>
    <t>E4.D.05 * PFAKT</t>
  </si>
  <si>
    <t>E4.D.S * PFAKT</t>
  </si>
  <si>
    <t>E5.A * PFAKT</t>
  </si>
  <si>
    <t>E5.B * PFAKT</t>
  </si>
  <si>
    <t>E5.C * PFAKT</t>
  </si>
  <si>
    <t>E5.S * PFAKT</t>
  </si>
  <si>
    <t>E6.A * PFAKT</t>
  </si>
  <si>
    <t>E6.B * PFAKT</t>
  </si>
  <si>
    <t>E6.C * PFAKT</t>
  </si>
  <si>
    <t>E6.D * PFAKT</t>
  </si>
  <si>
    <t>E6.S * PFAKT</t>
  </si>
  <si>
    <t>k</t>
  </si>
  <si>
    <t>GK/BGF</t>
  </si>
  <si>
    <t>GK/NUE</t>
  </si>
  <si>
    <t>LZK/BGF</t>
  </si>
  <si>
    <t>LZK/NF</t>
  </si>
  <si>
    <t>LZK/NUE</t>
  </si>
  <si>
    <t>LZK/EK*100</t>
  </si>
  <si>
    <t>#F1/NF</t>
  </si>
  <si>
    <t>#F1+#F2+#F3+#F4+#F5</t>
  </si>
  <si>
    <t>KGB+#F6+#F7+#F8</t>
  </si>
  <si>
    <t>ONK+#F9</t>
  </si>
  <si>
    <t>#F2/NF</t>
  </si>
  <si>
    <t>#F3/NF</t>
  </si>
  <si>
    <t>#F4/NF</t>
  </si>
  <si>
    <t>#F5/NF</t>
  </si>
  <si>
    <t>#F6/NF</t>
  </si>
  <si>
    <t>#F7/NF</t>
  </si>
  <si>
    <t>#F8/NF</t>
  </si>
  <si>
    <t>#F9/NF</t>
  </si>
  <si>
    <t>#F1/NF/LEBENT</t>
  </si>
  <si>
    <t>#F2/NF/LEBENT</t>
  </si>
  <si>
    <t>#F3/NF/LEBENT</t>
  </si>
  <si>
    <t>#F4/NF/LEBENT</t>
  </si>
  <si>
    <t>#F5/NF/LEBENT</t>
  </si>
  <si>
    <t>#F6/NF/LEBENT</t>
  </si>
  <si>
    <t>#F7/NF/LEBENT</t>
  </si>
  <si>
    <t>#F8/NF/LEBENT</t>
  </si>
  <si>
    <t>#F9/NF/LEBENT</t>
  </si>
  <si>
    <t>Nicht weiter spezifizierte Kosten der Kostengruppe können hier eingegeben werden</t>
  </si>
  <si>
    <t>Wasserwerke Wien, Stand Jänner 2013</t>
  </si>
  <si>
    <t>Wien MA48, Stand Jänner 2013</t>
  </si>
  <si>
    <t>Annahme: Raumwärmeerzeugung mit Energieträger Gas, Warmwassererzeugung mit Energieträger Strom</t>
  </si>
  <si>
    <t>Außenhülle erdberührt</t>
  </si>
  <si>
    <t>ja</t>
  </si>
  <si>
    <t>Anmerkung Tina</t>
  </si>
  <si>
    <t>E1.D</t>
  </si>
  <si>
    <t>Abbruch, Rückbau</t>
  </si>
  <si>
    <t xml:space="preserve">Tiefengründungen </t>
  </si>
  <si>
    <t>Flachgründungen</t>
  </si>
  <si>
    <t>Bodenkonstruktionen</t>
  </si>
  <si>
    <t xml:space="preserve">Bauwerksabdichtungen </t>
  </si>
  <si>
    <t>E2.C.02</t>
  </si>
  <si>
    <t>E2.C.03</t>
  </si>
  <si>
    <t>E2.C.04</t>
  </si>
  <si>
    <t>E2.C.05</t>
  </si>
  <si>
    <t>E2.D.04</t>
  </si>
  <si>
    <t>spezielle Konstruktionen</t>
  </si>
  <si>
    <t>E2.G</t>
  </si>
  <si>
    <t>Rohbau zu Bauwerk-Technik</t>
  </si>
  <si>
    <t>Transporte</t>
  </si>
  <si>
    <t>Warmwasser</t>
  </si>
  <si>
    <t>F3.1.a-1</t>
  </si>
  <si>
    <t>F3.1.a-2</t>
  </si>
  <si>
    <t>F3.1.a-3</t>
  </si>
  <si>
    <t>Strom Beleuchtung</t>
  </si>
  <si>
    <t>Strom Lüftung</t>
  </si>
  <si>
    <t>Strom IT+Kommunikation</t>
  </si>
  <si>
    <t>F3.1.f</t>
  </si>
  <si>
    <t>F3.2.a</t>
  </si>
  <si>
    <t>F3.2.b</t>
  </si>
  <si>
    <t>Wasser</t>
  </si>
  <si>
    <t>Abwasser</t>
  </si>
  <si>
    <t>Eingabe</t>
  </si>
  <si>
    <t>Rechenwert</t>
  </si>
  <si>
    <t>Defaultwert</t>
  </si>
  <si>
    <t>Faktor Anteil Glasfassadenflächen außen mit Arbeitsbühne</t>
  </si>
  <si>
    <t>Faktor Anteil Fenster/Glasflächen außen an Außenwandfläche</t>
  </si>
  <si>
    <t>Faktor Anteil Fenster/Glasflächen außen mit Arbeitsbühne</t>
  </si>
  <si>
    <t>Faktor Anteil Glasfassadenfläche außen an Außenwandfläche</t>
  </si>
  <si>
    <t>Faktor Anteil Glasflächen innen an Außenwandfläche</t>
  </si>
  <si>
    <t>Faktor Anteil Glasflächen innen mit Arbeitsbühne</t>
  </si>
  <si>
    <t>F_GLASF</t>
  </si>
  <si>
    <t>F_GLASFab</t>
  </si>
  <si>
    <t>F_GLASFF</t>
  </si>
  <si>
    <t>F_GLASFFab</t>
  </si>
  <si>
    <t>F_IGLASF</t>
  </si>
  <si>
    <t>F_IGLASFab</t>
  </si>
  <si>
    <t>F_JALF</t>
  </si>
  <si>
    <t>F_JALFab</t>
  </si>
  <si>
    <t>Faktor Anteil Jalousienflächen mit Arbeitsbühne</t>
  </si>
  <si>
    <t>Faktor Anteil Jalousienflächen an Innenglasflächen</t>
  </si>
  <si>
    <t>F_GANGF</t>
  </si>
  <si>
    <t>F_STIEGF</t>
  </si>
  <si>
    <t>F_GARAF</t>
  </si>
  <si>
    <t>F_NEBF</t>
  </si>
  <si>
    <t>F_MALFw</t>
  </si>
  <si>
    <t>F_MALFd</t>
  </si>
  <si>
    <t>Faktor Anteil Gangflächen an Nebenfläche</t>
  </si>
  <si>
    <t>Faktor Anteil Stiegenflächen an Nebenfläche</t>
  </si>
  <si>
    <t>Faktor Anteil Garagenflächen an Nebenfläche</t>
  </si>
  <si>
    <t>Faktor Anteil Nebenraumflächen an Nebenfläche</t>
  </si>
  <si>
    <t>Nebenfläche = (NGF-NF)</t>
  </si>
  <si>
    <t>Faktor Anteil Ausmalflächen Decken an Deckenfläche</t>
  </si>
  <si>
    <t>Faktor Anteil Ausmalflächen Wände an Innenwandfläche</t>
  </si>
  <si>
    <t>Parameter zur Abschätzung der Flächenkennwerte</t>
  </si>
  <si>
    <t>E2.C.S</t>
  </si>
  <si>
    <t>Sonstige Gründungen, Bodenkonstruktionen</t>
  </si>
  <si>
    <t>Bürogebäude</t>
  </si>
  <si>
    <t>Projektart</t>
  </si>
  <si>
    <t>Energieträger Strom</t>
  </si>
  <si>
    <t>Energieträger Heizung</t>
  </si>
  <si>
    <t>Energieträger Warmwasser</t>
  </si>
  <si>
    <t>Energieträger Kühlung</t>
  </si>
  <si>
    <t>PV-Eigenverbrauch</t>
  </si>
  <si>
    <t>Ökostrom</t>
  </si>
  <si>
    <t>AT Mix</t>
  </si>
  <si>
    <t>UCTE Mix</t>
  </si>
  <si>
    <t>Pellets</t>
  </si>
  <si>
    <t>Solarthermie</t>
  </si>
  <si>
    <t>keine Kühlung vorgesehen</t>
  </si>
  <si>
    <t>Energieträger 1</t>
  </si>
  <si>
    <t>Anteil in %</t>
  </si>
  <si>
    <t>Default %</t>
  </si>
  <si>
    <t>Eingabe %</t>
  </si>
  <si>
    <t>Energieträger 2</t>
  </si>
  <si>
    <t>Energieträger 3</t>
  </si>
  <si>
    <t>Kombinationen von bis zu 3 Energieträgern können eingegeben werden</t>
  </si>
  <si>
    <t>Energiebedarf</t>
  </si>
  <si>
    <t>niedrig</t>
  </si>
  <si>
    <t>mittel</t>
  </si>
  <si>
    <t>hoch</t>
  </si>
  <si>
    <t>Lüftungsart</t>
  </si>
  <si>
    <t>Mehrgeschoßiger Wohnbau</t>
  </si>
  <si>
    <t>Auswahlmöglichkeiten Allgemeine Angaben und Energie</t>
  </si>
  <si>
    <t>Kühlung ja/nein</t>
  </si>
  <si>
    <t>nein</t>
  </si>
  <si>
    <t>Profil</t>
  </si>
  <si>
    <t>Strom Gebäudetechnik allgemeine Teile des Hauses (ohne Aufzüge)</t>
  </si>
  <si>
    <t>Strom Aufzüge (allgemeine Teile des Hauses)</t>
  </si>
  <si>
    <t>Strom Beleuchtung Nutzungseinheiten</t>
  </si>
  <si>
    <t>Haushaltstrombedarf Nutzungseinheiten</t>
  </si>
  <si>
    <t>Kubatur</t>
  </si>
  <si>
    <t>Transportweite</t>
  </si>
  <si>
    <t>km</t>
  </si>
  <si>
    <t>Aushub Transportweite</t>
  </si>
  <si>
    <t>Auswahl</t>
  </si>
  <si>
    <t>Verwendung</t>
  </si>
  <si>
    <t>Errichtung</t>
  </si>
  <si>
    <t>Sanierung</t>
  </si>
  <si>
    <t>Sanierung BG0,1</t>
  </si>
  <si>
    <t>Entsorgung Errichtung &amp; Erneuerung</t>
  </si>
  <si>
    <t>Erneuerung</t>
  </si>
  <si>
    <t>Entsorgung Errichtung</t>
  </si>
  <si>
    <t>Entsorgung Erneuerung</t>
  </si>
  <si>
    <t>Pos</t>
  </si>
  <si>
    <t>Bauteil / Konstruktion</t>
  </si>
  <si>
    <t>OI3Kon</t>
  </si>
  <si>
    <t>Masse</t>
  </si>
  <si>
    <t>global warming (GWP100)</t>
  </si>
  <si>
    <t>GWP C-Speicher</t>
  </si>
  <si>
    <t>CO2 Prozess</t>
  </si>
  <si>
    <t>acidification</t>
  </si>
  <si>
    <t xml:space="preserve">PEI nicht erneuerbar </t>
  </si>
  <si>
    <t xml:space="preserve">PEI erneuerbar </t>
  </si>
  <si>
    <t>photochemical oxidation</t>
  </si>
  <si>
    <t>eutrophication</t>
  </si>
  <si>
    <t>ozone layer depletion (ODP)</t>
  </si>
  <si>
    <t>Menge</t>
  </si>
  <si>
    <t>gewichtete Menge Entsorgung</t>
  </si>
  <si>
    <t>Pot</t>
  </si>
  <si>
    <t>Ges</t>
  </si>
  <si>
    <t>Min</t>
  </si>
  <si>
    <t>Org</t>
  </si>
  <si>
    <t>Met</t>
  </si>
  <si>
    <t>Fraktionszahl</t>
  </si>
  <si>
    <t>m/m2/m3</t>
  </si>
  <si>
    <t>kg</t>
  </si>
  <si>
    <t>kg CO2 eq.</t>
  </si>
  <si>
    <t>kg SO2 eq.</t>
  </si>
  <si>
    <t>MJ</t>
  </si>
  <si>
    <t>kg C2H2</t>
  </si>
  <si>
    <t>kg PO4--- eq</t>
  </si>
  <si>
    <t>kg CFC-11 eq</t>
  </si>
  <si>
    <t>-</t>
  </si>
  <si>
    <t>E2-C-BP-SW-15</t>
  </si>
  <si>
    <t>E2-C-BP-SW-20</t>
  </si>
  <si>
    <t>E2-C-BP-WU-30</t>
  </si>
  <si>
    <t>E2-C-Abd-WDu</t>
  </si>
  <si>
    <t>E2-C-Wd-uCGbit</t>
  </si>
  <si>
    <t>Es-C-Estr-GW</t>
  </si>
  <si>
    <t>E2-C-Estr-SpDibo</t>
  </si>
  <si>
    <t>E2-D-01-GD-STB</t>
  </si>
  <si>
    <t>E2-D-01-GD-HM</t>
  </si>
  <si>
    <t>E2-D-01-GD-HO_offen</t>
  </si>
  <si>
    <t>E2-D-01-WDu-KD_MW</t>
  </si>
  <si>
    <t>E2-D-01-WDu-KD_Schaf</t>
  </si>
  <si>
    <t>E2-D-01-WD-KD_EPSgran</t>
  </si>
  <si>
    <t>E2-D-01-WD-KD_EPS</t>
  </si>
  <si>
    <t>E2-D-01-WD-KD_Perlite</t>
  </si>
  <si>
    <t>E2-D-01-WD-KD_GwDibo</t>
  </si>
  <si>
    <t>E2-D-01-WD-KD_SchafDibo</t>
  </si>
  <si>
    <t>E2-D-01-WD-AD_WDV-MinS</t>
  </si>
  <si>
    <t>E2-D-01-WD-AD_Holz-Gw</t>
  </si>
  <si>
    <t>E2-D-01-WD-AD_Holz-Hanf</t>
  </si>
  <si>
    <t>E2-D-01-WD-AD_Holz-Zell</t>
  </si>
  <si>
    <t>E2-d-01-Estr_Gw-EPSgran</t>
  </si>
  <si>
    <t>E2-d-01-Estr_Sp-Dibo-Gw</t>
  </si>
  <si>
    <t>E2-d-01-Estr_Sp-Dibo-Schaf</t>
  </si>
  <si>
    <t>E2-d-01-Estr_GFP-Dibo-Gw</t>
  </si>
  <si>
    <t>E2-d-01-Estr_GFP-Dibo</t>
  </si>
  <si>
    <t>E2-D-02-STIEGE-STB</t>
  </si>
  <si>
    <t>E2-D-03-HO-SD_Gw</t>
  </si>
  <si>
    <t>E2-D-03-HO-SD_Hanf</t>
  </si>
  <si>
    <t>E2-D-03-HO-SD_Schaf</t>
  </si>
  <si>
    <t>E2-D-03-HO-SD_Zell</t>
  </si>
  <si>
    <t>E2D-03-Abd_Bit</t>
  </si>
  <si>
    <t>E2D-03-Abd_Bit-Gummi</t>
  </si>
  <si>
    <t>E2D-03-Abd_EPDM</t>
  </si>
  <si>
    <t>E2D-03-Abd_Kunstst</t>
  </si>
  <si>
    <t>E2-E-01z_EAW-STB18</t>
  </si>
  <si>
    <t>E2-E-01z_EAW-STB25</t>
  </si>
  <si>
    <t>E2-E-01z_EAW-WU</t>
  </si>
  <si>
    <t>E2-E-01a-AW-HLZ38</t>
  </si>
  <si>
    <t>E2-E-01a-AW-HLZ25</t>
  </si>
  <si>
    <t>E2-E-01a-AW-HLZ20</t>
  </si>
  <si>
    <t>E2-E-01a-AW-PORBET30</t>
  </si>
  <si>
    <t>E2-E-01b-AW-STB18</t>
  </si>
  <si>
    <t>E2-E-01c1-AW-HM</t>
  </si>
  <si>
    <t>E2-E-01c2-AW-HO_Gw</t>
  </si>
  <si>
    <t>E2-E-01c2-AW-HO_Hanf</t>
  </si>
  <si>
    <t>E2-E-01c2-AW-HO_Schaf</t>
  </si>
  <si>
    <t>E2-E-01c2-AW-HO_Zell</t>
  </si>
  <si>
    <t>E2-E-01c2-AW-HOI_Gw</t>
  </si>
  <si>
    <t>E2-E-02a_IW-STB18</t>
  </si>
  <si>
    <t>E2-E-02a_IW-SSZ</t>
  </si>
  <si>
    <t>E2-E-02a_IW-HLZ12</t>
  </si>
  <si>
    <t>E2-E-02a_IW-HLZ25</t>
  </si>
  <si>
    <t>E2-E-02a_IWl-Met_Gw</t>
  </si>
  <si>
    <t>E2-E-02a_IWl-HO_Gw</t>
  </si>
  <si>
    <t>E2-E-02a_IWl-HO_Hanf</t>
  </si>
  <si>
    <t>E2-E-02a_IWl-HO_Schafw</t>
  </si>
  <si>
    <t>E2-E-02a_IWl-HO_Zell</t>
  </si>
  <si>
    <t>E2-E-02a_IWl-HO16_Gw</t>
  </si>
  <si>
    <t>E2-E-02a_IWl-HO16_Hanf</t>
  </si>
  <si>
    <t>E2-E-02a_IWl-HO16_Schafw</t>
  </si>
  <si>
    <t>E2-E-02a_IWl-HO16_Zell</t>
  </si>
  <si>
    <t>E4-B-DD-Ziegel</t>
  </si>
  <si>
    <t>E4-B-DD-Alublech</t>
  </si>
  <si>
    <t>E4-B-DD-Kies</t>
  </si>
  <si>
    <t>E4-B-DD-Kies-UKD</t>
  </si>
  <si>
    <t>E4-B-DD-Kies-Terr</t>
  </si>
  <si>
    <t>E4-C-01a-Putzf_WDV-EPS</t>
  </si>
  <si>
    <t>E4-C-01a-Putzf_WDV-MinS</t>
  </si>
  <si>
    <t>E4-C-01a-Putzf_WDV-Stw</t>
  </si>
  <si>
    <t>E4-C-01b1-VorgF_FZ-Alu-ohneD</t>
  </si>
  <si>
    <t>E4-C-01b1-VorgF_FZ-Ho-ohneD</t>
  </si>
  <si>
    <t>E4-C-01b1-VorgF_Alu-Alu-ohneD</t>
  </si>
  <si>
    <t>E4-C-01b1-VorgF_Ho-Ho-ohneD</t>
  </si>
  <si>
    <t>E4-C-01b2-VorgF_Ho-MDF-Stw</t>
  </si>
  <si>
    <t>E4-C-01b2-VorgF_Ho-MDF-Hanf</t>
  </si>
  <si>
    <t>E4-C-01b2-VorgF_Ho-MDF-Schaf</t>
  </si>
  <si>
    <t>E4-C-01b2-VorgF_Ho-MDF-Zell</t>
  </si>
  <si>
    <t>E4-C-01b2-VorgF_Ho-PE-Stw</t>
  </si>
  <si>
    <t>E4-C-01b2-VorgF_Ho-PE-Hanf</t>
  </si>
  <si>
    <t>E4-C-01b2-VorgF_Ho-PE-Schafw</t>
  </si>
  <si>
    <t>E4-C-01b2-VorgF_Ho-PE-Zell</t>
  </si>
  <si>
    <t>E4-C-04-Sockel-XPS</t>
  </si>
  <si>
    <t>E4-C-04-Peri-XPS</t>
  </si>
  <si>
    <t>E4-D-01_BB-Parkett</t>
  </si>
  <si>
    <t>E4-D-01_BB-Fliesen</t>
  </si>
  <si>
    <t>E4-D-01_BB-Schiffb</t>
  </si>
  <si>
    <t>E4-D-01_BB-Schiffb-Ho-TSD-Gw</t>
  </si>
  <si>
    <t>E4-D-01_BB-Schiffb-Ho-TSD-Schaf</t>
  </si>
  <si>
    <t>E4-D-01_BB-Elast_Lino</t>
  </si>
  <si>
    <t>E4-D-01_BB-Elast_PVC</t>
  </si>
  <si>
    <t>E4-D-01_BB-Textil</t>
  </si>
  <si>
    <t>E4-D-02-WV-GKP-Feder-Gw</t>
  </si>
  <si>
    <t>E4-D-02-WV-GKP-Holz-Stw</t>
  </si>
  <si>
    <t>E4-D-02-WV-GKP-Holz-Schaf</t>
  </si>
  <si>
    <t>E4-D-02-WV-GKP15-direkt</t>
  </si>
  <si>
    <t>E4-D-02-WV-GKP30-direkt</t>
  </si>
  <si>
    <t>E4-D-02-WV-Putz</t>
  </si>
  <si>
    <t>E4-D-03-AbgDE-GKP-Feder_Stw</t>
  </si>
  <si>
    <t>E4-D-03-AbgDE-GKP-Feder_Schafw</t>
  </si>
  <si>
    <t>E4-D-03-AbgDE-GKP-Holz-Stw</t>
  </si>
  <si>
    <t>E4-D-03-AbgDE-GKP-Holz-Schaf</t>
  </si>
  <si>
    <t>E4-D-03-DEunt-GKP15-direkt</t>
  </si>
  <si>
    <t>E4-D-03-DEunt-GKP30-direkt</t>
  </si>
  <si>
    <t>E4-D-03-DEunt-Putz</t>
  </si>
  <si>
    <t>E4-D-03-DEunt-HWL</t>
  </si>
  <si>
    <t>E4-D-05-IW-GKP_Met-Gw</t>
  </si>
  <si>
    <t>E4-D-05-IW-GKP_Met-Schafw</t>
  </si>
  <si>
    <t>E4-D-05-IW-GKP_Ho-Gw</t>
  </si>
  <si>
    <t>E4-D-05-IW-GKP_Ho-Schafw</t>
  </si>
  <si>
    <t>Stahlbetonplatte 15 cm</t>
  </si>
  <si>
    <t>Stahlbetonplatte 20 cm</t>
  </si>
  <si>
    <t>Fundamentplatte inkl. Rollierung</t>
  </si>
  <si>
    <t>Wärmedämmung</t>
  </si>
  <si>
    <t>Bodenaufbau (Estrich)</t>
  </si>
  <si>
    <t>Schaumglasplatte in Bitumen</t>
  </si>
  <si>
    <t>Estrich mit Trittschalldämmung ohne Wärmedämmung</t>
  </si>
  <si>
    <t>Beton und Stahl für Fundament</t>
  </si>
  <si>
    <t>Normalbeton</t>
  </si>
  <si>
    <t>Armierungsstahl</t>
  </si>
  <si>
    <t>Kies</t>
  </si>
  <si>
    <t>E2.C.Fun</t>
  </si>
  <si>
    <t>Holzträgerdecke (offen)</t>
  </si>
  <si>
    <t>Kellerdecke (KD)</t>
  </si>
  <si>
    <t>Wärmedämmung für KD</t>
  </si>
  <si>
    <t>Estrich auf KD</t>
  </si>
  <si>
    <t>Geschoßdecken (GD)</t>
  </si>
  <si>
    <t>Estrich auf GD</t>
  </si>
  <si>
    <t>Vorkragende Decken (AD)</t>
  </si>
  <si>
    <t>Wärmedämmung auf AD</t>
  </si>
  <si>
    <t>Estrich auf AD</t>
  </si>
  <si>
    <t>Mineralschaumplatte verputzt</t>
  </si>
  <si>
    <t>Stahlbetonstiege</t>
  </si>
  <si>
    <t>Polymerbitumen-Dichtungsbahn + Gummigranulat</t>
  </si>
  <si>
    <t>EPDM-Dichtungsbahn</t>
  </si>
  <si>
    <t>Kunststoff-Dichtungsbahn</t>
  </si>
  <si>
    <t>Porenbeton 30 cm</t>
  </si>
  <si>
    <t>Schallschutzfüllziegel</t>
  </si>
  <si>
    <t>Aludach auf Lattung</t>
  </si>
  <si>
    <t>Kiesdach</t>
  </si>
  <si>
    <t>WDVS-EPS 38 cm</t>
  </si>
  <si>
    <t>WDVS-Mineralschaum 38 cm</t>
  </si>
  <si>
    <t>Massivparkett verklebt</t>
  </si>
  <si>
    <t>Fliesen verklebt</t>
  </si>
  <si>
    <t>Schiffboden</t>
  </si>
  <si>
    <t>Schiffboden + Polsterh + TSD Glaswolle</t>
  </si>
  <si>
    <t>Schiffboden + Polsterh + TSD Schafwolle</t>
  </si>
  <si>
    <t>Linoleum verklebt</t>
  </si>
  <si>
    <t>PVC-Belag verklebt</t>
  </si>
  <si>
    <t>Teppich verklebt</t>
  </si>
  <si>
    <t>Holzwolleleichtbauplatte</t>
  </si>
  <si>
    <t>Schaumglasschotter</t>
  </si>
  <si>
    <t>Zementestrich MW-T + EPS-Granulat</t>
  </si>
  <si>
    <t>Hanfdämmplatte zwischen Holzträger</t>
  </si>
  <si>
    <t>Erdberührte Außenwände</t>
  </si>
  <si>
    <t>Stahlbeton 18 cm  inkl. Abdichtung</t>
  </si>
  <si>
    <t>Stahlbeton 25 cm  inkl. Abdichtung</t>
  </si>
  <si>
    <t>GK-Holzständer-Trennwand, Schafwolle</t>
  </si>
  <si>
    <t>GK-Holzständer-Trennwand, Zellulose</t>
  </si>
  <si>
    <t>Putzfassade</t>
  </si>
  <si>
    <t>Vorgehängte Fassade - Verkleidung</t>
  </si>
  <si>
    <t>Vorgehängte Fassade - Dämmebene</t>
  </si>
  <si>
    <t>WDVS-Steinwolle 38 cm</t>
  </si>
  <si>
    <t>Terrasse-Betonplatten</t>
  </si>
  <si>
    <t>Sockeldämmung</t>
  </si>
  <si>
    <t>Perimeterdämmung</t>
  </si>
  <si>
    <t>Einheit</t>
  </si>
  <si>
    <t xml:space="preserve">Warmwasserbereitung mit der Heizung </t>
  </si>
  <si>
    <t>E4.C.04</t>
  </si>
  <si>
    <t>LKW-Transport 28 t</t>
  </si>
  <si>
    <t>Bahntransport</t>
  </si>
  <si>
    <t>Frachter Binnen</t>
  </si>
  <si>
    <t>Holz Errichtung</t>
  </si>
  <si>
    <t>Kunststoff Errichtung</t>
  </si>
  <si>
    <t>Metall Errichtung</t>
  </si>
  <si>
    <t>tkm</t>
  </si>
  <si>
    <t>Keine Abdichtung</t>
  </si>
  <si>
    <t>E2-C-WD-oPerl</t>
  </si>
  <si>
    <t>E2-C-Wd-oEPS</t>
  </si>
  <si>
    <t>E2-C-Wd-oXPS</t>
  </si>
  <si>
    <t>E2-C-Wd-uXPS</t>
  </si>
  <si>
    <t>E2-C-Wd-uCG</t>
  </si>
  <si>
    <t>E2-C-Wd-SchGlSchotter</t>
  </si>
  <si>
    <t>Trockenestrich (Spanplatte + Distanzbodenhalter)</t>
  </si>
  <si>
    <t>Stahlbetondecke 20 cm</t>
  </si>
  <si>
    <t>Holzmassivdecke 16 cm</t>
  </si>
  <si>
    <t>E2-D-01-GD-HO_OSB-Gw</t>
  </si>
  <si>
    <t>E2-D-01-GD-HO_OSB-Hanf</t>
  </si>
  <si>
    <t>E2-D-01-GD-HO_OSB-Schaf</t>
  </si>
  <si>
    <t>E2-D-01-GD-HO_OSB-Gw20</t>
  </si>
  <si>
    <t>E2-D-01-GD-HO_OSB-Zell20</t>
  </si>
  <si>
    <t>E2-D-01-GD-STAHL_Gw</t>
  </si>
  <si>
    <t>E2-D-01-GD-BUERO</t>
  </si>
  <si>
    <t>E2-D-01-WD-AD_WDV-EPS</t>
  </si>
  <si>
    <t>Details</t>
  </si>
  <si>
    <t>Kosten</t>
  </si>
  <si>
    <t>cm</t>
  </si>
  <si>
    <t>Konstruktionen</t>
  </si>
  <si>
    <t>Kellerdecke (KD; Bruttofläche)</t>
  </si>
  <si>
    <t>Wärmedämmung für KD (Nettofläche)</t>
  </si>
  <si>
    <t>Estrich auf KD (Nettofläche)</t>
  </si>
  <si>
    <t>Dämmstärke</t>
  </si>
  <si>
    <t>Geschoßdecken (GD; Bruttofläche)</t>
  </si>
  <si>
    <t>Estrich auf GD (Nettofläche)</t>
  </si>
  <si>
    <t>Vorkragende Decken (AD; Bruttofläche)</t>
  </si>
  <si>
    <t>GWP Speicher</t>
  </si>
  <si>
    <t>GWP Prozess</t>
  </si>
  <si>
    <t>PEI n.e.</t>
  </si>
  <si>
    <t>kg CO2 eq./Jahr</t>
  </si>
  <si>
    <t>GWP Summe</t>
  </si>
  <si>
    <t>Berechnung mit Schätzfaktoren</t>
  </si>
  <si>
    <t>Ergebnisse als überschreibbare Rechenwerte ins Blatt "Objektkenndaten" übernehmen?</t>
  </si>
  <si>
    <t>F_PVDE</t>
  </si>
  <si>
    <t>F_PVF</t>
  </si>
  <si>
    <t>Erträge aus PV nach Deckung Eigenbedarf</t>
  </si>
  <si>
    <t>Energiegewinnung aus PV</t>
  </si>
  <si>
    <t>Ergebnisse als überschreibbare Rechenwerte ins Blatt "Errichtung" übernehmen?</t>
  </si>
  <si>
    <t>Zurück zu "Objektkenndaten"</t>
  </si>
  <si>
    <t>Zurück zu "Errichtung"</t>
  </si>
  <si>
    <t>zu "Finanzielle Parameter"</t>
  </si>
  <si>
    <t>NF*(WAVnf*KOWA) + GRÜNF*(WAVgf*KOWA)</t>
  </si>
  <si>
    <t>NF*(AWVnf*KOAW) + GRÜNF*(AWVgf*KOAW)</t>
  </si>
  <si>
    <t>KÜHLkWh</t>
  </si>
  <si>
    <t>Strom Gebäudetechnik (ohne Kühlen/Lüften)</t>
  </si>
  <si>
    <t>F3.1.a-4</t>
  </si>
  <si>
    <t>Haushaltsstrombedarf</t>
  </si>
  <si>
    <t>F3.1.a-5</t>
  </si>
  <si>
    <t>Strom Be- und Entfeuchtung</t>
  </si>
  <si>
    <t>HAUSHkWh</t>
  </si>
  <si>
    <t>NUE*MÜLLm3*MÜLLKm3</t>
  </si>
  <si>
    <t>Müllmenge pro Person (Nutzungseinheit) und Jahr</t>
  </si>
  <si>
    <t>Nutzer und Nutzungseinheiten</t>
  </si>
  <si>
    <t>AUFZkWh</t>
  </si>
  <si>
    <t>IKTkWh</t>
  </si>
  <si>
    <t>BELkWh</t>
  </si>
  <si>
    <t>LUFTkWh</t>
  </si>
  <si>
    <t>STE1</t>
  </si>
  <si>
    <t>STE2</t>
  </si>
  <si>
    <t>STE3</t>
  </si>
  <si>
    <t>HEIZE1</t>
  </si>
  <si>
    <t>HEIZE2</t>
  </si>
  <si>
    <t>HEIZE3</t>
  </si>
  <si>
    <t>WWE1</t>
  </si>
  <si>
    <t>WWE2</t>
  </si>
  <si>
    <t>WWE3</t>
  </si>
  <si>
    <t>WWkWh</t>
  </si>
  <si>
    <t>KÜHLE1</t>
  </si>
  <si>
    <t>KÜHLE2</t>
  </si>
  <si>
    <t>KÜHLE3</t>
  </si>
  <si>
    <t>KOPELL</t>
  </si>
  <si>
    <t>KOFERNW</t>
  </si>
  <si>
    <t>E2.E.02a</t>
  </si>
  <si>
    <t>E2.E.02b</t>
  </si>
  <si>
    <t>E2-E-02a_IWl-HM</t>
  </si>
  <si>
    <t>Dämmung unter Kellerdecke MW mit GKP</t>
  </si>
  <si>
    <t>Dämmung unter Kellerdecke Schafwolle mit GKP</t>
  </si>
  <si>
    <t>Dämmung auf Kellerdecke EPS-Granulat</t>
  </si>
  <si>
    <t>Dämmung auf Kellerdecke EPS-Platte W20</t>
  </si>
  <si>
    <t>Dämmung auf Kellerdecke Perlite</t>
  </si>
  <si>
    <t>Dämmung auf Kellerdecke Glaswolle + Dibo</t>
  </si>
  <si>
    <t>Dämmung auf Kellerdecke Schafwolle + Dibo</t>
  </si>
  <si>
    <t>EPS verputzt</t>
  </si>
  <si>
    <t>E2-D-03-STB</t>
  </si>
  <si>
    <t>E2-D-03-HM</t>
  </si>
  <si>
    <t>E2-D-03-HO-Innen-PE</t>
  </si>
  <si>
    <t>E2-D-03-HO-Innen-Alu</t>
  </si>
  <si>
    <t>Stahlbeton 20 cm</t>
  </si>
  <si>
    <t>Holzmassivdach 20 cm mit Alu-Bitumenbahn</t>
  </si>
  <si>
    <t>Holzleichtdach Innenschale + PE-Dampfbremse</t>
  </si>
  <si>
    <t>E2-D-03-PS</t>
  </si>
  <si>
    <t>E2-D-03-GW</t>
  </si>
  <si>
    <t>E2-D-03-Schaf</t>
  </si>
  <si>
    <t>E2-D-03-Hanf</t>
  </si>
  <si>
    <t>E2-D-03-Zell</t>
  </si>
  <si>
    <t>E2-D-03-STW</t>
  </si>
  <si>
    <t>E2-D-03-Kork</t>
  </si>
  <si>
    <t>Glaswolle zw. Brettschichtholz, tragend</t>
  </si>
  <si>
    <t>Hanf zw. Brettschichtholz, tragend</t>
  </si>
  <si>
    <t>Schafwolle zw. Brettschichtholz, tragend</t>
  </si>
  <si>
    <t>Zellulose zw. Brettschichtholz, tragend</t>
  </si>
  <si>
    <t>Glaswolle zw. Doppel-T-Träger, nicht tragend</t>
  </si>
  <si>
    <t>Hanf zw. Doppel-T-Träger, nicht tragend</t>
  </si>
  <si>
    <t>Schafwolle zw. Doppel-T-Träger, nicht tragend</t>
  </si>
  <si>
    <t>Zellulose zw. Doppel-T-Träger, nicht tragend</t>
  </si>
  <si>
    <t>Steinwolle Warmdachdämmung</t>
  </si>
  <si>
    <t>Kork Warmdachdämmung</t>
  </si>
  <si>
    <t>E2-D-03-UD_Holz</t>
  </si>
  <si>
    <t>E2-D-03-UD-Spanpl</t>
  </si>
  <si>
    <t>E2-D-03-UD_HFP</t>
  </si>
  <si>
    <t>Unterdach Holzschalung</t>
  </si>
  <si>
    <t>Unterdach Spanplatte</t>
  </si>
  <si>
    <t>Unterdach Holzfaserplatte</t>
  </si>
  <si>
    <t>Eigene Dachabdichtung</t>
  </si>
  <si>
    <t>E4-C-01a-Putzf_Putz</t>
  </si>
  <si>
    <t>Vorgehängte Fassade</t>
  </si>
  <si>
    <t>Fenster</t>
  </si>
  <si>
    <t>Türen</t>
  </si>
  <si>
    <t>Kellerdeckenverkleidungen</t>
  </si>
  <si>
    <t>Geschoßdeckenverkleidungen</t>
  </si>
  <si>
    <t>Dachverkleidungen</t>
  </si>
  <si>
    <t>KOFERNK</t>
  </si>
  <si>
    <t>Kosten Strom</t>
  </si>
  <si>
    <t>Kosten Fernwärme</t>
  </si>
  <si>
    <t>KOHEIZ</t>
  </si>
  <si>
    <t>KOWW</t>
  </si>
  <si>
    <t>KOKÜHL</t>
  </si>
  <si>
    <t>Kosten für Heizen</t>
  </si>
  <si>
    <t>Kosten für Kühlen</t>
  </si>
  <si>
    <t>Kosten für Warmwasser</t>
  </si>
  <si>
    <t>Kosten Gas</t>
  </si>
  <si>
    <t>Kosten Fernkälte</t>
  </si>
  <si>
    <t>Kosten Pellets</t>
  </si>
  <si>
    <t>Kosten Energieträger</t>
  </si>
  <si>
    <t>HEIZE1*XY +HEIZE2*XY+ HEIZE3*XY</t>
  </si>
  <si>
    <t>Kosten für Strom</t>
  </si>
  <si>
    <t>KOSTROM</t>
  </si>
  <si>
    <t>STE1*XY+STE2*XY*STE3*XY</t>
  </si>
  <si>
    <t>KÜHLE1*…</t>
  </si>
  <si>
    <t>WWE1*…</t>
  </si>
  <si>
    <t>kWh/m²BGFbeheizt a</t>
  </si>
  <si>
    <t>kWh/m²BGFgekühlt a</t>
  </si>
  <si>
    <t>BGFgekühlt</t>
  </si>
  <si>
    <t>BGFbelüftet</t>
  </si>
  <si>
    <t>LÜFT</t>
  </si>
  <si>
    <t>KÜHL</t>
  </si>
  <si>
    <t>kWh/m²BGFbelüftet a</t>
  </si>
  <si>
    <t>IKTkWh*BGFbeheizt*KOSTROM</t>
  </si>
  <si>
    <t>BELkWh*BGFbeheizt*KOSTROM</t>
  </si>
  <si>
    <t>LUFTkWh*BGFbelüftet*KOSTROM</t>
  </si>
  <si>
    <t>HAUSHkWh*BGFbeheizt*KOSTROM</t>
  </si>
  <si>
    <t>STTkWh*BGFbeheizt*KOSTROM</t>
  </si>
  <si>
    <t>AUFZkWh*BGFbeheizt*KOSTROM</t>
  </si>
  <si>
    <t>Heizung</t>
  </si>
  <si>
    <t>Kühlung</t>
  </si>
  <si>
    <t>Entsorgungsmengen</t>
  </si>
  <si>
    <t>Beton</t>
  </si>
  <si>
    <t>Baurestmassen</t>
  </si>
  <si>
    <t>Holz</t>
  </si>
  <si>
    <t>Metall</t>
  </si>
  <si>
    <t>BETON</t>
  </si>
  <si>
    <t>HOLZ</t>
  </si>
  <si>
    <t>METALL</t>
  </si>
  <si>
    <t>RESTABFALL</t>
  </si>
  <si>
    <t>KUNSTST</t>
  </si>
  <si>
    <t>t</t>
  </si>
  <si>
    <t>ENTS_KO_KUNSTST_T</t>
  </si>
  <si>
    <t>Entsorgung Kunststoffe €/t</t>
  </si>
  <si>
    <t>BETON*AT_BETON_SR/100*ENTS_KO_BETON_T</t>
  </si>
  <si>
    <t>HOLZ*AT_HOLZ_SR/100*ENTS_KO_HOLZ_T</t>
  </si>
  <si>
    <t>METALL*AT_METALL_SR/100*ENTS_KO_METALL_T</t>
  </si>
  <si>
    <t>E1.Dk</t>
  </si>
  <si>
    <t>E1.Dt</t>
  </si>
  <si>
    <t>E2.Ba</t>
  </si>
  <si>
    <t>E2.C.03a</t>
  </si>
  <si>
    <t>E2.C.03b</t>
  </si>
  <si>
    <t>E2.C.03c</t>
  </si>
  <si>
    <t>E2.C.04a</t>
  </si>
  <si>
    <t>E2.C.04b</t>
  </si>
  <si>
    <t>E2.C.04c</t>
  </si>
  <si>
    <t>aus Massenbilanz</t>
  </si>
  <si>
    <t>Annahme: Konventioneller Abbruch, Quelle: Massenrechner für Abbruchmassen des LUBW</t>
  </si>
  <si>
    <t>ENTS_KO_MINERAL_T</t>
  </si>
  <si>
    <t>Entsorgung sonst. min. Material €/t</t>
  </si>
  <si>
    <t>ENTS_KO_MINERAL</t>
  </si>
  <si>
    <t xml:space="preserve">Entsorgung sonst. min. Material </t>
  </si>
  <si>
    <t>BETON*AT_BETON_SMINERAL/100*ENTS_KO_MINERAL_T</t>
  </si>
  <si>
    <t>AT_KUNSTST_SR</t>
  </si>
  <si>
    <t>AT_KUNSTST_RESTABFALL</t>
  </si>
  <si>
    <t xml:space="preserve">Metalle sortenrein </t>
  </si>
  <si>
    <t xml:space="preserve">Kunststoffe sortenrein </t>
  </si>
  <si>
    <t>Kunststoffe als Restabfall</t>
  </si>
  <si>
    <t>http://www.abfallwirtschaft.steiermark.at/cms/ziel/71142128/DE/</t>
  </si>
  <si>
    <t>Quelle: Massenrechner für Abbruchmassen des LUBW</t>
  </si>
  <si>
    <t>ENTS_KO_RESTABFALL_T*(RESTABFALL + BETON*AT_BETON_RESTABFALL/100+HOLZ*AT_HOLZ_RESTABFALL/100+METALL*AT_METALL_RESTABFALL/100+KUNSTST*AT_KUNSTST_RESTABFALL/100)</t>
  </si>
  <si>
    <t>ENTS_KO_SONST</t>
  </si>
  <si>
    <t xml:space="preserve">Entsorgung Sonstiges </t>
  </si>
  <si>
    <t>SONSTIGES*ENTS_KO_SONSTIGES_T</t>
  </si>
  <si>
    <t>SONSTIGES</t>
  </si>
  <si>
    <t>ENTS_KO_SONST_T</t>
  </si>
  <si>
    <t>Entsorgung Sonstiges €/t</t>
  </si>
  <si>
    <t>Entsorgung Kunststoffe</t>
  </si>
  <si>
    <t>KUNSTST*AT_KUNSTST_SR/100*ENTS_KO_KUNSTST_T</t>
  </si>
  <si>
    <t>ENTS_KO_KUNSTST</t>
  </si>
  <si>
    <t>ENTS_KO_BETON+ENTS_KO_MINERAL+ENTS_KO_HOLZ+ENTS_KO_METALL+ENTS_KO_KUNSTST+ENTS_KO_RESTABFALL+ENTS_KO_SONSTIGES</t>
  </si>
  <si>
    <t>Bauwerksabdichtungen</t>
  </si>
  <si>
    <t>E2.C.Fun.a</t>
  </si>
  <si>
    <t>E2.C.Fun.b</t>
  </si>
  <si>
    <t>E2.C.Fun.c</t>
  </si>
  <si>
    <t>Holzleichtdach Innenschale + Alu-Dampfsperre</t>
  </si>
  <si>
    <t>E2.D.01.Ka</t>
  </si>
  <si>
    <t>E2.D.01.K</t>
  </si>
  <si>
    <t>E2.D.01.Kb</t>
  </si>
  <si>
    <t>E2.D.01.Kc</t>
  </si>
  <si>
    <t>E2.D.01.G</t>
  </si>
  <si>
    <t>E2.D.01.Ga</t>
  </si>
  <si>
    <t>E2.D.01.A</t>
  </si>
  <si>
    <t>E2.D.01.Aa</t>
  </si>
  <si>
    <t>E2.D.01.Ab</t>
  </si>
  <si>
    <t>E2.D.01.Ac</t>
  </si>
  <si>
    <t>negative Kosten</t>
  </si>
  <si>
    <t>Mechanische Lüftung ja/nein</t>
  </si>
  <si>
    <t>Polystyrol XPS unter Bodenplatte</t>
  </si>
  <si>
    <t>Perlite auf Bodenplatte</t>
  </si>
  <si>
    <t>Polystyrol EPS-W25 auf Bodenplatte</t>
  </si>
  <si>
    <t>Polystyrol XPS auf Bodenplatte</t>
  </si>
  <si>
    <t>Schaumglas unter Bodenplatte</t>
  </si>
  <si>
    <t>Eigene Dämmung (E2.C)</t>
  </si>
  <si>
    <t>Stahlträgerdecke</t>
  </si>
  <si>
    <t>Bürodecke</t>
  </si>
  <si>
    <t>Eigene Decke (E2.D.01)</t>
  </si>
  <si>
    <t>Eigene Bodenplatte (E2.C)</t>
  </si>
  <si>
    <t>Eigener Estrich (E2.C)</t>
  </si>
  <si>
    <t>Eigene Abdichtung (E2.C)</t>
  </si>
  <si>
    <t>Eigene Dämmung (E2.D.01.K)</t>
  </si>
  <si>
    <t>Eigene Dämmung (E2.D.01.A)</t>
  </si>
  <si>
    <t>Trockenestrich (Spanplatte, Dibo, Glaswolle)</t>
  </si>
  <si>
    <t>Trockenestrich (Spanplatte, Dibo, Schafwolle)</t>
  </si>
  <si>
    <t>Trockenestrich (Gipsfaserplatte, Dibo, Glaswolle)</t>
  </si>
  <si>
    <t>Trockenestrich (Gipsfaserplatte, Dibo, Schafwolle)</t>
  </si>
  <si>
    <t>Eigener Estrich (E2.D.01)</t>
  </si>
  <si>
    <t>Eigene Stiege</t>
  </si>
  <si>
    <t>Hochlochziegel 38 cm</t>
  </si>
  <si>
    <t>Hochlochziegel 25 cm</t>
  </si>
  <si>
    <t>Hochlochziegel 20 cm</t>
  </si>
  <si>
    <t>Holzträgerdecke mit Glaswolle 8 cm und OSB-Platten</t>
  </si>
  <si>
    <t>Holzträgerdecke mit Hanf 8 cm und OSB-Platten</t>
  </si>
  <si>
    <t>Holzträgerdecke mit Schafwolle 8 cm und OSB-Platten</t>
  </si>
  <si>
    <t>Holzträgerdecke mit Glaswolle 20 cm und OSB-Platten</t>
  </si>
  <si>
    <t>Holzträgerdecke mit Zellulose 20 cm und OSB-Platten</t>
  </si>
  <si>
    <t>Eigene Holzmassiv-Außenwand</t>
  </si>
  <si>
    <t>Eigene Beton-Außenwand</t>
  </si>
  <si>
    <t>Eigene Erdberührte Außenwand</t>
  </si>
  <si>
    <t>Hanffaser zwischen Holzträger</t>
  </si>
  <si>
    <t>Schafwolle zwischen Holzträger</t>
  </si>
  <si>
    <t>Aussenwandkonstruktionen Holzleichtbau</t>
  </si>
  <si>
    <t>Hochlochziegel 12 cm vermörtelt</t>
  </si>
  <si>
    <t>Hochlochziegel 25 cm vermörtelt</t>
  </si>
  <si>
    <t>Eigene massive Innenwand</t>
  </si>
  <si>
    <t>GK-Metallständer-Trennwand, Glaswolle</t>
  </si>
  <si>
    <t>GK-Holzständer-Trennwand, Glaswolle</t>
  </si>
  <si>
    <t>GK-Holzständer-Trennwand, Hanffaser</t>
  </si>
  <si>
    <t>Holzträger mit Glaswolle + GK-Verkleidung</t>
  </si>
  <si>
    <t>Holzträger mit Hanffaser + GK-Verkleidung</t>
  </si>
  <si>
    <t>Holzträger mit Schafwolle + GK-Verkleidung</t>
  </si>
  <si>
    <t>Holzträger mit Zellulose + GK-Verkleidung</t>
  </si>
  <si>
    <t>Eigene leichte Innenwand</t>
  </si>
  <si>
    <t>Dachziegel inkl. Lattung</t>
  </si>
  <si>
    <t>Eigene Putzfassade</t>
  </si>
  <si>
    <t>Putz ohne Dämmung</t>
  </si>
  <si>
    <t>Faserzement auf Alu</t>
  </si>
  <si>
    <t>Faserzement auf Latten</t>
  </si>
  <si>
    <t>Metallverkleidung</t>
  </si>
  <si>
    <t>Holzschalung</t>
  </si>
  <si>
    <t>Eigene Fassadenverkleidung</t>
  </si>
  <si>
    <t>Steinwolle zw. Holz-I-Träger mit MDF</t>
  </si>
  <si>
    <t>Hanffaser zw. Holz-I-Träger mit MDF</t>
  </si>
  <si>
    <t>Schafwolle zw. Holz-I-Träger mit MDF</t>
  </si>
  <si>
    <t>Zellulose zw. Holz-I-Träger mit MDF</t>
  </si>
  <si>
    <t>Steinwolle zw. Holz-I-Träger mit Holz+PE</t>
  </si>
  <si>
    <t>Hanffaser zw. Holz-I-Träger mit Holz+PE</t>
  </si>
  <si>
    <t>Schafwolle zw. Holz-I-Träger mit Holz+PE</t>
  </si>
  <si>
    <t>Zellulose zw. Holz-I-Träger mit Holz+PE</t>
  </si>
  <si>
    <t>Steinwolle zw. Metallträger</t>
  </si>
  <si>
    <t>Hanffaser zw. Metallträger</t>
  </si>
  <si>
    <t>Schafwolle zw. Metallträger</t>
  </si>
  <si>
    <t>Zellulose zw. Metallträger</t>
  </si>
  <si>
    <t>XPS-Sockeldämmung</t>
  </si>
  <si>
    <t>Eigene Sockeldämmung</t>
  </si>
  <si>
    <t>XPS-Perimeterdämmung</t>
  </si>
  <si>
    <t>Eigene Perimeterdämmung</t>
  </si>
  <si>
    <t>Eigene Wandverkleidung</t>
  </si>
  <si>
    <t>Eigene Deckenverkleidung</t>
  </si>
  <si>
    <t>Gipskarton-Metallständerw mit Glaswolle</t>
  </si>
  <si>
    <t>Gipskarton-Metallständerw mit Schafwolle</t>
  </si>
  <si>
    <t>Gipskarton-Holzständerw mit Glaswolle</t>
  </si>
  <si>
    <t>Gipskarton-Holzständerw mit Schafwolle</t>
  </si>
  <si>
    <t>Eigenes Innenwandelement</t>
  </si>
  <si>
    <t>Nutzungsdauern</t>
  </si>
  <si>
    <t>E2.E.01.f</t>
  </si>
  <si>
    <t>Dachabdichtung</t>
  </si>
  <si>
    <t>Dämmung</t>
  </si>
  <si>
    <t>Unterdach</t>
  </si>
  <si>
    <t>Eigene Dachkonstruktion</t>
  </si>
  <si>
    <t>Eigenes Unterdach</t>
  </si>
  <si>
    <t>E4.D.01a</t>
  </si>
  <si>
    <t>E4.D.01b</t>
  </si>
  <si>
    <t>E4.D.01c</t>
  </si>
  <si>
    <t>Wandverkleidung 1</t>
  </si>
  <si>
    <t>Wandverkleidung 2</t>
  </si>
  <si>
    <t>E4.D.02a</t>
  </si>
  <si>
    <t>E4.D.02b</t>
  </si>
  <si>
    <t>Bodenbelag 1</t>
  </si>
  <si>
    <t>Bodenbelag 2</t>
  </si>
  <si>
    <t>Bodenbelag 3</t>
  </si>
  <si>
    <t>Hackschnitzel</t>
  </si>
  <si>
    <t>Gasbrennwert</t>
  </si>
  <si>
    <t>Gas konventionell</t>
  </si>
  <si>
    <t>Wärmepumpe (JAZ = 4)</t>
  </si>
  <si>
    <t>Wärmepumpe (JAZ = 3,5)</t>
  </si>
  <si>
    <t>Luft-Wärmepumpe (JAZ = 2,7)</t>
  </si>
  <si>
    <t>elektrisch zentral</t>
  </si>
  <si>
    <t>elektrisch dezentral</t>
  </si>
  <si>
    <t>Absorptionskältemaschine (FW)</t>
  </si>
  <si>
    <t>Absorptionskältemaschine (Gas)</t>
  </si>
  <si>
    <t>Free Cooling (Lüftungsanlage)</t>
  </si>
  <si>
    <t>Free Cooling (Grundwasser)</t>
  </si>
  <si>
    <t>Kompressionskältemaschine (SEER=2,5)</t>
  </si>
  <si>
    <t>Turbokältemaschine (SEER=6)</t>
  </si>
  <si>
    <t xml:space="preserve">mechanische Lüftung mit/ohne Wärmerückgewinnung </t>
  </si>
  <si>
    <t>Abluftanlage (bedarfsorientiert)</t>
  </si>
  <si>
    <t>ENBEDARF</t>
  </si>
  <si>
    <t>GWP für Heizung/kWh</t>
  </si>
  <si>
    <t>PEI für Warmwasser/kWh</t>
  </si>
  <si>
    <t>GWP für Warmwasser/kWh</t>
  </si>
  <si>
    <t>GWP für Kühlung/kWh</t>
  </si>
  <si>
    <t>PEI für Kühlung/kWh</t>
  </si>
  <si>
    <t>Strom</t>
  </si>
  <si>
    <t>GWP für Strom/kWh</t>
  </si>
  <si>
    <t>PEI für Strom/kWh</t>
  </si>
  <si>
    <t>Nutzungsgrad Versorgungs-system</t>
  </si>
  <si>
    <t>Gwp100</t>
  </si>
  <si>
    <t>Acidification</t>
  </si>
  <si>
    <t>GWPProzess</t>
  </si>
  <si>
    <t>Natural gas, burned in boiler fan burner non-modulating &lt;100kW/RER S</t>
  </si>
  <si>
    <t>Strommix (AT)</t>
  </si>
  <si>
    <t>Strommix (UCTE)</t>
  </si>
  <si>
    <t>kWh</t>
  </si>
  <si>
    <t>Ökostrommix (AT)</t>
  </si>
  <si>
    <t>Nutzwärme, ab Erdgas-BHKW</t>
  </si>
  <si>
    <t xml:space="preserve">Nutzwärme, ab Holz-WKK </t>
  </si>
  <si>
    <t>Nutzwärme, Mix</t>
  </si>
  <si>
    <t>kg CO2 eq</t>
  </si>
  <si>
    <t>E2.D.03.a1</t>
  </si>
  <si>
    <t>E2.D.03.a2</t>
  </si>
  <si>
    <t>E2.D.03.a3</t>
  </si>
  <si>
    <t>E2.D.03.b1</t>
  </si>
  <si>
    <t>E2.D.03.b2</t>
  </si>
  <si>
    <t>E2.D.03.b3</t>
  </si>
  <si>
    <t>Dachfläche * %-Anteil Dachfläche * Ökodaten/m²</t>
  </si>
  <si>
    <t>Dachfläche * %-Anteil Dachfläche *0,01*Dämmstärke* Ökodaten/m²</t>
  </si>
  <si>
    <t>Heizwärmebedarf</t>
  </si>
  <si>
    <t>PE n.e. für Heizung/kWh</t>
  </si>
  <si>
    <t>Eigene Daten (Strom)</t>
  </si>
  <si>
    <t>Eigene Daten (Heizung)</t>
  </si>
  <si>
    <t>Eigene Daten (Warmwasser)</t>
  </si>
  <si>
    <t>Eigene Daten (Kühlung)</t>
  </si>
  <si>
    <t>mit/ohne Zirkulation</t>
  </si>
  <si>
    <t>Energiebedarf Einstufung</t>
  </si>
  <si>
    <t>Betriebsstrom Nutzungseinheiten (inkl. IKT)</t>
  </si>
  <si>
    <t>Energiebedarf Befeuchten</t>
  </si>
  <si>
    <t>Energiebedarf Entfeuchten</t>
  </si>
  <si>
    <t>Fensterlüftung</t>
  </si>
  <si>
    <t>keine Angabe</t>
  </si>
  <si>
    <t>kg CO2 eq./kWh</t>
  </si>
  <si>
    <t>MJ/kWh</t>
  </si>
  <si>
    <t>(GWP1+GWP2+GWP3)*3,6 (MJ vs. kWh)</t>
  </si>
  <si>
    <t>nur Hilfsstrom</t>
  </si>
  <si>
    <t>nur Pumpenhilfsstrom</t>
  </si>
  <si>
    <t>E4.C.04a</t>
  </si>
  <si>
    <t>E4.C.04b</t>
  </si>
  <si>
    <t>E4.D.03a</t>
  </si>
  <si>
    <t>E4.D.03b</t>
  </si>
  <si>
    <t>E4.D.03c</t>
  </si>
  <si>
    <t>GWPSTROM</t>
  </si>
  <si>
    <t>PESTROM</t>
  </si>
  <si>
    <t>GWPKÜHL</t>
  </si>
  <si>
    <t>PEKÜHL</t>
  </si>
  <si>
    <t>GWPWW</t>
  </si>
  <si>
    <t>PEWW</t>
  </si>
  <si>
    <t>GWPHEIZ</t>
  </si>
  <si>
    <t>PEHEIZ</t>
  </si>
  <si>
    <t>Eigene Dämmung zwischen Holzträger</t>
  </si>
  <si>
    <t>Beton Errichtung</t>
  </si>
  <si>
    <t>BRM Errichtung</t>
  </si>
  <si>
    <t>Eigene Dachdämmung</t>
  </si>
  <si>
    <t>Beplankung mit Spanplatten + Dampfbremse</t>
  </si>
  <si>
    <t>E2-E-01c2-AW-HO_Sp-Sp</t>
  </si>
  <si>
    <t>Beplankung OSB / MDF-Platte + Dampfbremse</t>
  </si>
  <si>
    <t>E2-E-01c2-AW-HO_MDF-OSB</t>
  </si>
  <si>
    <t>Holzverschalung + Winddichtung + Dampfbremse</t>
  </si>
  <si>
    <t>E2-E-01c2-AW-HO_Holzverkl</t>
  </si>
  <si>
    <t>Eigene Beplankung</t>
  </si>
  <si>
    <t>Eigene Dachverkleidung</t>
  </si>
  <si>
    <t>Kiesdach mit UKD 8cm</t>
  </si>
  <si>
    <t>Eigene Flachdachbelegung</t>
  </si>
  <si>
    <t>Eigene Fassadendämmung zw. Träger</t>
  </si>
  <si>
    <t>Gipskarton 15 mm direkt (Wandverkleidung)</t>
  </si>
  <si>
    <t>Gipskarton 15 mm direkt (Deckenverkleidung)</t>
  </si>
  <si>
    <t>Gipskarton 30 mm direkt (Wandverkleidung)</t>
  </si>
  <si>
    <t>Gipskarton 30 mm direkt (Deckenverkleidung)</t>
  </si>
  <si>
    <t>Kalkzementputz (Wandverkleidung)</t>
  </si>
  <si>
    <t>Kalkzementputz (Deckenverkleidung)</t>
  </si>
  <si>
    <t>Gipskarton mit Federschiene Glaswolle (WV)</t>
  </si>
  <si>
    <t>Gipskarton mit Lattung Steinwolle (WV)</t>
  </si>
  <si>
    <t>Gipskarton mit Lattung Schafwolle (WV)</t>
  </si>
  <si>
    <t>Gipskarton mit Federschiene Steinwolle (DV)</t>
  </si>
  <si>
    <t>Gipskarton mit Federschiene Schafwolle (DV)</t>
  </si>
  <si>
    <t>Gipskarton mit Lattung Steinwolle (DV)</t>
  </si>
  <si>
    <t>Gipskarton mit Lattung Schafwolle (DV)</t>
  </si>
  <si>
    <t>Glaswolle zwischen Holzträger (E2.D.01)</t>
  </si>
  <si>
    <t>Polymerbitumen-Dichtungsbahn (E2.C)</t>
  </si>
  <si>
    <t>Polymerbitumen-Dichtungsbahn (E2.D)</t>
  </si>
  <si>
    <t>Stahlbetonwand 18 cm (AW)</t>
  </si>
  <si>
    <t>Stahlbetonwand 18 cm (IW)</t>
  </si>
  <si>
    <t>Holzmassivwand 12 cm (AW)</t>
  </si>
  <si>
    <t>Holzmassivwand 12 cm (IW)</t>
  </si>
  <si>
    <t>WU-Beton (EAW)</t>
  </si>
  <si>
    <t>WU-Beton (E2.C)</t>
  </si>
  <si>
    <t>Zellulose zwischen Holzträger (E2.D01)</t>
  </si>
  <si>
    <t>Zellulose zwischen Holzträger (E2.E.01)</t>
  </si>
  <si>
    <t>Zweifachverglasung_Argon</t>
  </si>
  <si>
    <t>ZweifachG_Kr</t>
  </si>
  <si>
    <t>Dreifachverglasung_Argon</t>
  </si>
  <si>
    <t>Dreifachverglasung_Krypton</t>
  </si>
  <si>
    <t>Eigene Verglasung</t>
  </si>
  <si>
    <t>Zweifachverglasung Argon</t>
  </si>
  <si>
    <t>Zweifachverglasung Krypton</t>
  </si>
  <si>
    <t>Dreifachverglasung Argon</t>
  </si>
  <si>
    <t>Dreifachverglasung Krypton</t>
  </si>
  <si>
    <t>Alu-Rahmen</t>
  </si>
  <si>
    <t>Holz-Rahmen_110mm</t>
  </si>
  <si>
    <t>Holz-Rahmen_90mm</t>
  </si>
  <si>
    <t>Holz-Alu-Rahmen_110m</t>
  </si>
  <si>
    <t>Holz-Alu-Rahmen_90mm</t>
  </si>
  <si>
    <t>PVC-Rahmen_3Kammer</t>
  </si>
  <si>
    <t>PVC-Rahmen_5Kammer</t>
  </si>
  <si>
    <t>Eigener Fensterrahmen</t>
  </si>
  <si>
    <t>Alurahmen</t>
  </si>
  <si>
    <t>Holzrahmen 110 mm</t>
  </si>
  <si>
    <t>Holzrahmen 90 mm</t>
  </si>
  <si>
    <t>Holz-Alu-Rahmen 110 mm</t>
  </si>
  <si>
    <t>Holz-Alu-Rahmen 90 mm</t>
  </si>
  <si>
    <t>PVC-Rahmen 3-Kammer</t>
  </si>
  <si>
    <t>PVC-Rahmen 5-Kammer</t>
  </si>
  <si>
    <t>E2-E-03-Stuetze_STB</t>
  </si>
  <si>
    <t>E2-E-03_Stuetze_BSH</t>
  </si>
  <si>
    <t>E2-E-03_Stuetze_Stahl</t>
  </si>
  <si>
    <t>E2-E-03_Stuetze_Edelstahl</t>
  </si>
  <si>
    <t>Eigenes Stützenelement</t>
  </si>
  <si>
    <t>Stütze Stahlbeton</t>
  </si>
  <si>
    <t>Stütze Brettschichtholz</t>
  </si>
  <si>
    <t>Stütze Stahlblech</t>
  </si>
  <si>
    <t>Stütze Edelstahl</t>
  </si>
  <si>
    <t>Rahmen</t>
  </si>
  <si>
    <t>Verglasung</t>
  </si>
  <si>
    <t>E4.B.02a</t>
  </si>
  <si>
    <t>E4.B.02b</t>
  </si>
  <si>
    <t>E4.C.02a</t>
  </si>
  <si>
    <t>E4.C.02b</t>
  </si>
  <si>
    <t>E4.C.02a1</t>
  </si>
  <si>
    <t>E4.C.02a2</t>
  </si>
  <si>
    <t>Fenster - Verglasung</t>
  </si>
  <si>
    <t>Fenster - Rahmen</t>
  </si>
  <si>
    <t>PVDACH</t>
  </si>
  <si>
    <t>PVFASS</t>
  </si>
  <si>
    <t>SOLARF</t>
  </si>
  <si>
    <t>Kellerdecke gesamt</t>
  </si>
  <si>
    <t>Geschoßdecken gesamt</t>
  </si>
  <si>
    <t>Vorkragende Decken gesamt</t>
  </si>
  <si>
    <t>Dachkonstruktion 1 gesamt</t>
  </si>
  <si>
    <t>Dach</t>
  </si>
  <si>
    <t>Dachkonstruktion 2 gesamt</t>
  </si>
  <si>
    <t>Nutzenergie Kühlung</t>
  </si>
  <si>
    <t>Nutzenergie Kühlung Einstufung</t>
  </si>
  <si>
    <t>Entfeuchtung ja/nein</t>
  </si>
  <si>
    <t>Warmwasserwärmebedarf Einstufung</t>
  </si>
  <si>
    <t>Heizwärmebedarf HWB Einstufung</t>
  </si>
  <si>
    <t>Warmwasserwärmebedarf  WWWB</t>
  </si>
  <si>
    <t>E2.E.01.ds</t>
  </si>
  <si>
    <t>Dachkonstruktion 1</t>
  </si>
  <si>
    <t>Dachkonstruktion 2</t>
  </si>
  <si>
    <t>TONNAGE</t>
  </si>
  <si>
    <t>GWP 100</t>
  </si>
  <si>
    <t>MJ/Jahr</t>
  </si>
  <si>
    <t>E2.D.03.as</t>
  </si>
  <si>
    <t>E2.D.03.bs</t>
  </si>
  <si>
    <t>F7.1-2.E.01.f</t>
  </si>
  <si>
    <t>BEFEUCHT</t>
  </si>
  <si>
    <t>ENTFEUCHT</t>
  </si>
  <si>
    <t>Befeuchtung ja/nein</t>
  </si>
  <si>
    <t>zu "Reinigung"</t>
  </si>
  <si>
    <t>zu "Gebäudedienste"</t>
  </si>
  <si>
    <t>zu "Instandsetzung"</t>
  </si>
  <si>
    <t>zu "Nutzungsdauern"</t>
  </si>
  <si>
    <t>Heizenergiebedarf Raumwärme HEB-RH (exkl. Hilfsstrom)</t>
  </si>
  <si>
    <t>davon Hilfsstrom Abgabe/Verteilung</t>
  </si>
  <si>
    <t>BEFkWH</t>
  </si>
  <si>
    <t>ENTFkWH</t>
  </si>
  <si>
    <t>Eigener Bodenbelag 3</t>
  </si>
  <si>
    <t>Eigener Bodenbelag 1</t>
  </si>
  <si>
    <t>Eigener Bodenbelag 2</t>
  </si>
  <si>
    <t>Wärmeversorgung</t>
  </si>
  <si>
    <t>Anteil Hilfsstrom</t>
  </si>
  <si>
    <t>HEBRW</t>
  </si>
  <si>
    <t>HILFHEIZ</t>
  </si>
  <si>
    <t>WWWB</t>
  </si>
  <si>
    <t>HWB</t>
  </si>
  <si>
    <t>HEBWW</t>
  </si>
  <si>
    <t>HILFWW</t>
  </si>
  <si>
    <t>Heizenergiebedarf Warmwasser HEB-WW (exkl. Hilfsstrom)</t>
  </si>
  <si>
    <t>E4.C.01b</t>
  </si>
  <si>
    <t>E4.C.01a1</t>
  </si>
  <si>
    <t>E4.C.01b1</t>
  </si>
  <si>
    <t>E4.C.01b2</t>
  </si>
  <si>
    <t>E4.C.01a</t>
  </si>
  <si>
    <t>Putzfassade - Dämmstärke</t>
  </si>
  <si>
    <t>Schule/Kindergarten</t>
  </si>
  <si>
    <t>brutto (inkl. USt.)</t>
  </si>
  <si>
    <t>netto (exkl. USt.)</t>
  </si>
  <si>
    <t>Eingabe und Ergebnisse aller Kostenwerte in __</t>
  </si>
  <si>
    <t>UST</t>
  </si>
  <si>
    <t>Baugrube Kosten/m³</t>
  </si>
  <si>
    <t>Gründung Kosten/m²</t>
  </si>
  <si>
    <t>Außenwand Kosten/m²</t>
  </si>
  <si>
    <t>Innenwand Kosten/m²</t>
  </si>
  <si>
    <t>Decke Kosten/m²</t>
  </si>
  <si>
    <t>Dach Kosten/m²</t>
  </si>
  <si>
    <t>Baukonstruktive Einbauten Kosten /m² BGF</t>
  </si>
  <si>
    <t>Sonstige Baukonstruktionen  Kosten /m² BGF</t>
  </si>
  <si>
    <t>Abwasser, Wasser, Gas Kosten /m² BGF</t>
  </si>
  <si>
    <t>Wärmeversorgungsanlagen Kosten /m² BGF</t>
  </si>
  <si>
    <t>Lufttechnische Anlagen  Kosten /m² BGF</t>
  </si>
  <si>
    <t>Starkstromanlagen Kosten /m² BGF</t>
  </si>
  <si>
    <t>Fernmeldeanlagen Kosten /m² BGF</t>
  </si>
  <si>
    <t>Förderanlagen Kosten /m² BGF</t>
  </si>
  <si>
    <t>Nutzungsspezifische Anlagen Kosten /m² BGF</t>
  </si>
  <si>
    <t>Gebäudeautomation Kosten /m² BGF</t>
  </si>
  <si>
    <t>Sonstige Technische Anlagen Kosten /m² BGF</t>
  </si>
  <si>
    <t>Objektkennwerte</t>
  </si>
  <si>
    <t>Bauteilflächen</t>
  </si>
  <si>
    <t>Spezielle Flächenwerte</t>
  </si>
  <si>
    <t xml:space="preserve">Flächenwerte für Solarerträge </t>
  </si>
  <si>
    <t>Parameter zur Abschätzung der Flächenkennwerte für Solarerträge</t>
  </si>
  <si>
    <t>Jeder Haltepunkt jeder Aufzugskabine wird hier einmal gezählt. Bei zwei Aufzügen mit je vier Haltepunkten (Keller, EG, OG1, OG2) beträgt die Anzahl der Aufzugstationen somit acht.</t>
  </si>
  <si>
    <t>Bodenplatte inkl. Rollierung</t>
  </si>
  <si>
    <t>Stahlbetonplatte 30 cm</t>
  </si>
  <si>
    <t>Masse kg</t>
  </si>
  <si>
    <t>Kunststoffe</t>
  </si>
  <si>
    <t>Parameter für Abbruch und Entsorgung eingeben</t>
  </si>
  <si>
    <t>zurück zu "Energie"</t>
  </si>
  <si>
    <t>Fläche Kellerdecke</t>
  </si>
  <si>
    <t>KDF</t>
  </si>
  <si>
    <t>Fläche Geschoßdecken</t>
  </si>
  <si>
    <t>GDF</t>
  </si>
  <si>
    <t>ADF</t>
  </si>
  <si>
    <t>HWB*(%-Anteil Energieträger 1*Faktor*Nutzungsgrad+….)</t>
  </si>
  <si>
    <t>Hilfsstrom Luftförderung (ohne Heizen/Kühlen)</t>
  </si>
  <si>
    <t>Einspeisetarif</t>
  </si>
  <si>
    <t>Ökostromanlage</t>
  </si>
  <si>
    <t>Defaultwert aus LEKOS</t>
  </si>
  <si>
    <t>Transport</t>
  </si>
  <si>
    <t>EIGENkWh</t>
  </si>
  <si>
    <t>k.A.</t>
  </si>
  <si>
    <t>Bitte auswählen</t>
  </si>
  <si>
    <t>Ja/Nein-Auswahl</t>
  </si>
  <si>
    <t>Endenergiebedarf Kühlung KEB (inkl. Hilfsstrom)</t>
  </si>
  <si>
    <t>Endenergiebedarf Kühlung KEB (exkl. Hilfsstrom)</t>
  </si>
  <si>
    <t>HILFKÜHL</t>
  </si>
  <si>
    <t>Hilfsstrom</t>
  </si>
  <si>
    <t>Kosten Dienstleistungen pro verrechneter Arbeitsstunde</t>
  </si>
  <si>
    <t>VWKh</t>
  </si>
  <si>
    <t>GKh</t>
  </si>
  <si>
    <t>PKh</t>
  </si>
  <si>
    <t>CSh</t>
  </si>
  <si>
    <t>Arbeitszeit Dienstleistungsperson</t>
  </si>
  <si>
    <t>TAGEjahr</t>
  </si>
  <si>
    <t>durchschnittliche Arbeitstage pro Jahr</t>
  </si>
  <si>
    <t>d/a</t>
  </si>
  <si>
    <t>STUNDENtag</t>
  </si>
  <si>
    <t>durchschnittliche Arbeitsstunden pro Tag</t>
  </si>
  <si>
    <t>Statistik Austria, durchschnittliche tatsächlich geleistete Arbeitszeit pro Woche, Haupttätigkeit</t>
  </si>
  <si>
    <t>h/d</t>
  </si>
  <si>
    <t>STUNDENjahr</t>
  </si>
  <si>
    <t>durchschnittliche Arbeitsstunden pro Jahr</t>
  </si>
  <si>
    <t>STUNDENtag*TAGEjahr</t>
  </si>
  <si>
    <t>h/a</t>
  </si>
  <si>
    <t>Personentransport</t>
  </si>
  <si>
    <t>ENTFap</t>
  </si>
  <si>
    <t>ENTFobj</t>
  </si>
  <si>
    <t>kWh/a</t>
  </si>
  <si>
    <t>BÜROpersCO2</t>
  </si>
  <si>
    <r>
      <t>durchschnittliche CO</t>
    </r>
    <r>
      <rPr>
        <vertAlign val="subscript"/>
        <sz val="8"/>
        <rFont val="Tahoma"/>
        <family val="2"/>
      </rPr>
      <t>2</t>
    </r>
    <r>
      <rPr>
        <sz val="8"/>
        <rFont val="Tahoma"/>
        <family val="2"/>
      </rPr>
      <t>-äquiv. Emissionen pro Personenjahr für den Büroarbeitsplatz</t>
    </r>
  </si>
  <si>
    <r>
      <t>kg CO</t>
    </r>
    <r>
      <rPr>
        <vertAlign val="subscript"/>
        <sz val="8"/>
        <rFont val="Tahoma"/>
        <family val="2"/>
      </rPr>
      <t>2</t>
    </r>
    <r>
      <rPr>
        <sz val="8"/>
        <rFont val="Tahoma"/>
        <family val="2"/>
      </rPr>
      <t xml:space="preserve"> eq./a</t>
    </r>
  </si>
  <si>
    <t>BÜROpersPEI</t>
  </si>
  <si>
    <r>
      <t>durchschnittliche PEI</t>
    </r>
    <r>
      <rPr>
        <vertAlign val="subscript"/>
        <sz val="8"/>
        <rFont val="Tahoma"/>
        <family val="2"/>
      </rPr>
      <t>ne</t>
    </r>
    <r>
      <rPr>
        <sz val="8"/>
        <rFont val="Tahoma"/>
        <family val="2"/>
      </rPr>
      <t xml:space="preserve"> Emissionen pro Personenjahr für den Büroarbeitsplatz</t>
    </r>
  </si>
  <si>
    <r>
      <t>kg CO</t>
    </r>
    <r>
      <rPr>
        <vertAlign val="subscript"/>
        <sz val="8"/>
        <rFont val="Tahoma"/>
        <family val="2"/>
      </rPr>
      <t>2</t>
    </r>
    <r>
      <rPr>
        <sz val="8"/>
        <rFont val="Tahoma"/>
        <family val="2"/>
      </rPr>
      <t xml:space="preserve"> eq./kWh</t>
    </r>
  </si>
  <si>
    <t>STROMobjCO2</t>
  </si>
  <si>
    <t>STROMobjPEI</t>
  </si>
  <si>
    <t>Stundensatz</t>
  </si>
  <si>
    <t>Fahrten zum Arbeitsplatz</t>
  </si>
  <si>
    <t>Fahrten zum Objekt</t>
  </si>
  <si>
    <t>Arbeitszeit pro Einsatz</t>
  </si>
  <si>
    <t>Bürotätigkeit</t>
  </si>
  <si>
    <t>Geräte Strom [kWh/h]</t>
  </si>
  <si>
    <t>Geräte Diesel [l/h]</t>
  </si>
  <si>
    <t>Gerätebetrieb Strom</t>
  </si>
  <si>
    <t>Gerätebetrieb Diesel</t>
  </si>
  <si>
    <t>verrechnete Arbeitsstunden</t>
  </si>
  <si>
    <t>2*TAGEjahr*ENTFap*SVERWEIS(Q3;PTRANSP;2;0)*Bürotätigkeit/STUNDENjahr</t>
  </si>
  <si>
    <t>((STUNDENjahr/Einsatzzeit + WENN(STUNDENjahr/Einsatzzeit &gt;= TAGEjahr ; TAGEjahr ; STUNDENjahr/Einsatzzeit)))* ENTFobj * SVERWEIS(U4;PTRANSP;2;0) / STUNDENjahr</t>
  </si>
  <si>
    <t>BÜROpersCO2*Bürotätigkeit/STUNDENjahr</t>
  </si>
  <si>
    <t>Geräte Strom*STROMobjCO2</t>
  </si>
  <si>
    <t>Geräte Diesel * DieselCO2</t>
  </si>
  <si>
    <t xml:space="preserve">(Folgekosten der Position - Kosten für Hebebühne) /Stundensatz </t>
  </si>
  <si>
    <t>Mix ÖPNV/PKW</t>
  </si>
  <si>
    <t>PKW</t>
  </si>
  <si>
    <t>abzüglich Kosten für Hebebühne</t>
  </si>
  <si>
    <t>organisatorischer Brandschutz - kein CO2</t>
  </si>
  <si>
    <t>wird nicht berechnet!</t>
  </si>
  <si>
    <t>Verkehr</t>
  </si>
  <si>
    <t>ÖPNV</t>
  </si>
  <si>
    <t>keine</t>
  </si>
  <si>
    <t>Diesel</t>
  </si>
  <si>
    <t>MJ/a</t>
  </si>
  <si>
    <t>USTERR</t>
  </si>
  <si>
    <t>USTABBR</t>
  </si>
  <si>
    <t>USTENERG</t>
  </si>
  <si>
    <t>Tarife Energieversorgung</t>
  </si>
  <si>
    <t>USTWASS</t>
  </si>
  <si>
    <t>Tarife Wasser und Abwasser</t>
  </si>
  <si>
    <t>USTMÜLL</t>
  </si>
  <si>
    <t>Tarife Müllentsorgung</t>
  </si>
  <si>
    <t>USTDL</t>
  </si>
  <si>
    <t>Dienstleistungen</t>
  </si>
  <si>
    <t>zu "Dienstleistungen"</t>
  </si>
  <si>
    <t>E4.C.02c</t>
  </si>
  <si>
    <t>E4.C.02c1</t>
  </si>
  <si>
    <t>E4.C.02c2</t>
  </si>
  <si>
    <t>Glasfassade</t>
  </si>
  <si>
    <t>Kosten Hackschnitzel</t>
  </si>
  <si>
    <t>Kosten Ökostrom</t>
  </si>
  <si>
    <t>Direktverbrauch aus PV in % der Erzeugung</t>
  </si>
  <si>
    <t>zu den Umsatzsteuersätzen</t>
  </si>
  <si>
    <t>zurück zu "Allgemeine Angaben"</t>
  </si>
  <si>
    <t>Energieproduktion (Strom aus Photovoltaik)</t>
  </si>
  <si>
    <t>ENPRODSOLAR</t>
  </si>
  <si>
    <t>ENPRODPV</t>
  </si>
  <si>
    <t>Energieproduktion</t>
  </si>
  <si>
    <t>SOLARD</t>
  </si>
  <si>
    <t>Faktor Anteil für PV und Solaranlage nutzbare Flächen an Dachfläche (Einspeisung)</t>
  </si>
  <si>
    <t>Faktor Anteil für PV und Solaranlage nutzbare Flächen an Fassadenfläche (Einspeisung)</t>
  </si>
  <si>
    <t>Eigene Photovoltaik-Fassade</t>
  </si>
  <si>
    <t>Eigener Fassadenkollektor</t>
  </si>
  <si>
    <t>sehr niedrig</t>
  </si>
  <si>
    <t>KOÖKOST</t>
  </si>
  <si>
    <t>KOHACK</t>
  </si>
  <si>
    <t>Kosten pro kWh</t>
  </si>
  <si>
    <t>brutto/netto</t>
  </si>
  <si>
    <t>Tiefgaragen+Nebenflächenreinigungskosten</t>
  </si>
  <si>
    <t>Polystyroldämmung (XPS oder EPS)</t>
  </si>
  <si>
    <t>Kunststoff</t>
  </si>
  <si>
    <t>Nutzungsdauer in Jahren</t>
  </si>
  <si>
    <t>pro Errichtung/Erneuerung</t>
  </si>
  <si>
    <t>gesamt</t>
  </si>
  <si>
    <t>inkl. Errichtung</t>
  </si>
  <si>
    <t>BRM</t>
  </si>
  <si>
    <t>Ertrag aus Solarthermie (abgegebene Energie an Kollektorkreis)</t>
  </si>
  <si>
    <t>Defaultwert je nach Eingabe in "Allgemeine Angaben"*Fläche</t>
  </si>
  <si>
    <t>Energielieferung Warmwassererwärmung</t>
  </si>
  <si>
    <t>Energielieferung Heizwärme</t>
  </si>
  <si>
    <t>Solarer Jahresdeckungsgrad Warmwasser</t>
  </si>
  <si>
    <t>Solarer Jahresdeckungsgrad Heizwärme</t>
  </si>
  <si>
    <t>HWB (inkl. Verteilverluste), exkl. Verluste Wärmeversorgung/-speicherung</t>
  </si>
  <si>
    <t>SOLDGHW</t>
  </si>
  <si>
    <t>SOLDGWW</t>
  </si>
  <si>
    <t>Heizenergiebedarf Raumwärme HEB-RH (inkl. Hilfsstrom), exkl. Berücksichtigung solarer Gewinne</t>
  </si>
  <si>
    <t>Heizenergiebedarf Raumwärme HEB-RH (inkl. Hilfsstrom), inkl. Berücksichtigung solarer Gewinne</t>
  </si>
  <si>
    <t>Faktor Wärmeverteilverluste</t>
  </si>
  <si>
    <t>Einstufung Energiebedarf Hilfsstrom für Raumwärmeversorgung</t>
  </si>
  <si>
    <t>Einstufung Energiebedarf Hilfsstrom für Warmwasser</t>
  </si>
  <si>
    <t>Heizenergiebedarf Warmwasser HEB-WW (inkl. Hilfsstrom), exkl. Berücksichtigung solarer Gewinne</t>
  </si>
  <si>
    <t>Heizenergiebedarf Warmwasser HEB-WW (inkl. Hilfsstrom), inkl. Berücksichtigung solarer Gewinne</t>
  </si>
  <si>
    <t>Deckenflächen gesamt</t>
  </si>
  <si>
    <t>KDF+GDF+ADF</t>
  </si>
  <si>
    <t>Energiebezugsfläche</t>
  </si>
  <si>
    <t>Nur anzugeben, wenn BGF belüftet von BGF beheizt abweicht</t>
  </si>
  <si>
    <t>Nur anzugeben, wenn BGF gekühlt von BGF beheizt abweicht</t>
  </si>
  <si>
    <t>Brutto-Grundfläche gesamt (BGF)</t>
  </si>
  <si>
    <t>Brutto-Rauminhalt (BRI)</t>
  </si>
  <si>
    <t>Netto-Grundfläche (NGF)</t>
  </si>
  <si>
    <t>Nutzfläche (NF)</t>
  </si>
  <si>
    <t>Brutto-Grundfläche beheizt (BGFbeheizt)</t>
  </si>
  <si>
    <t>Brutto-Grundfläche belüftet (BGFbelüftet)</t>
  </si>
  <si>
    <t>Brutto-Grundfläche gekühlt (BGFgekühlt)</t>
  </si>
  <si>
    <t>Fläche vorkragende Decken</t>
  </si>
  <si>
    <t xml:space="preserve">DACHF * F_PVDE </t>
  </si>
  <si>
    <t>AWF * F_PVF</t>
  </si>
  <si>
    <t>NGF-NF</t>
  </si>
  <si>
    <t>Dieser Wert wird nicht weiter verwendet, nur allgemeine Info!</t>
  </si>
  <si>
    <t>Hauptnutzfläche</t>
  </si>
  <si>
    <t>HNF</t>
  </si>
  <si>
    <t>NF-SANFH</t>
  </si>
  <si>
    <t>RKBWm2mon*HNF*12</t>
  </si>
  <si>
    <t>Monat. Hauptnutzflächenreinigungskosten/m²</t>
  </si>
  <si>
    <t xml:space="preserve">Jährl. Hauptnutzflächenreinigungskosten </t>
  </si>
  <si>
    <t>Berechnung der Errichtungskosten mit Schätzfaktoren, Ermittlung auf die BGF bezogener Kennwerte</t>
  </si>
  <si>
    <t>Berechnung der Abbruchkosten</t>
  </si>
  <si>
    <t>Berechnung der Flächenwerte mit Schätzfaktoren</t>
  </si>
  <si>
    <t>Berechnung der Folgekosten für Ver- und Entsorgung (Wasser) und Gärtnerdienste</t>
  </si>
  <si>
    <t>Berechnung der Folgekosten für Reinigung, Abbruch und Entsorgung</t>
  </si>
  <si>
    <t>Berechnung der Ökokennzahlen für Transport Aushub</t>
  </si>
  <si>
    <t>Berechnung der Ökokennzahlen Fundament/Bodenplatte</t>
  </si>
  <si>
    <t>Berechnung der Reinigungskosten</t>
  </si>
  <si>
    <t>Berechnung der Instandhaltungskosten</t>
  </si>
  <si>
    <t>Anmerkungen Tina</t>
  </si>
  <si>
    <t>Gang-, Stiegen-, Garagen- und Nebenraumflächen</t>
  </si>
  <si>
    <t>Innenwandfläche</t>
  </si>
  <si>
    <t>Außenwandfläche gesamt</t>
  </si>
  <si>
    <t>inkl. Fassadenöffnungen (Fenster und Türen)</t>
  </si>
  <si>
    <t>Dachflächen gesamt</t>
  </si>
  <si>
    <t>F_EINR</t>
  </si>
  <si>
    <t>Anteil der Außenwand-Kosten für Rohbau Wand in %</t>
  </si>
  <si>
    <t>Anteil der Außenwand-Kosten für Rohbau Stützen in %</t>
  </si>
  <si>
    <t>Anteil der Außenwand-Kosten fürAusbau in %</t>
  </si>
  <si>
    <t>Anteil Innenwand-Kosten für Rohbau Wand in %</t>
  </si>
  <si>
    <t>Anteil der Innenwandkosten für Rohbau Stützen in %</t>
  </si>
  <si>
    <t>Anteil der Innenwandkosten für Ausbau in %</t>
  </si>
  <si>
    <t>Anteil Dach-Kosten für Rohbau in %</t>
  </si>
  <si>
    <t>Anteil Dach-Kosten für Ausbau in %</t>
  </si>
  <si>
    <t>F_PLAN</t>
  </si>
  <si>
    <t>F_AUSSENAN</t>
  </si>
  <si>
    <t>F_NEBEN</t>
  </si>
  <si>
    <t>F_RESERVE</t>
  </si>
  <si>
    <t>Anteil Decken-Kosten für Rohbau in %</t>
  </si>
  <si>
    <t>Anteil Decken-Kosten für Ausbau in %</t>
  </si>
  <si>
    <t>Sonstige Einrichtung in % der Bauwerkskosten [E2-E4]</t>
  </si>
  <si>
    <t>Sonstige Außenanlagen in % der Bauwerkskosten [E2-E4]</t>
  </si>
  <si>
    <t>Sonstige Planungsleistungen in % der Bauwerkskosten [E2-E4]</t>
  </si>
  <si>
    <t>Sonstige Nebenleistungen in % der Bauwerkskosten [E2-E4]</t>
  </si>
  <si>
    <t>Sonstige Reservemittel in % der Bauwerkskosten [E2-E4]</t>
  </si>
  <si>
    <t>BWK*F_EINR/100</t>
  </si>
  <si>
    <t>BWK*F_AUSSENAN/100</t>
  </si>
  <si>
    <t>BWK*F_PLAN*/100</t>
  </si>
  <si>
    <t>BWK*F_NEBEN/100</t>
  </si>
  <si>
    <t>BWK*F_RESERVE/100</t>
  </si>
  <si>
    <t>E2.D.01.S</t>
  </si>
  <si>
    <t>Sonstige Deckenkonstruktionen</t>
  </si>
  <si>
    <t>Brutto/Netto</t>
  </si>
  <si>
    <t>z.B. Aufzugsanlagen</t>
  </si>
  <si>
    <t>K_PVDACH</t>
  </si>
  <si>
    <t>K_PVFASS</t>
  </si>
  <si>
    <t>PV-Anlage Dach</t>
  </si>
  <si>
    <t>PV-Anlage Fassade</t>
  </si>
  <si>
    <t>Investitionskosten PV 2012 ca. 2000€/kWp netto, Annahme: 8 m²/kWp, aufgeständert</t>
  </si>
  <si>
    <t>Investitionskosten PV 2012 ca. 2000€/kWp netto, Annahme: 8 m²/kWp, fassadenintegriert --&gt; ca. 20% teurer</t>
  </si>
  <si>
    <t>E4.C.02s</t>
  </si>
  <si>
    <t>Sonstige Fassadenöffnungen</t>
  </si>
  <si>
    <t>Nutzenergie Heizung</t>
  </si>
  <si>
    <t>Endenergie Heizung</t>
  </si>
  <si>
    <t>Durchschnittliche Aufwände Heizung</t>
  </si>
  <si>
    <t>Nutzenergie Warmwasser</t>
  </si>
  <si>
    <t>Endenergie Warmwasser</t>
  </si>
  <si>
    <t>Durchschnittliche Aufwände Warmwasser</t>
  </si>
  <si>
    <t>Durchschnittliche Aufwände Kühlung</t>
  </si>
  <si>
    <t>Durchschnittliche Aufwände Strom</t>
  </si>
  <si>
    <t>Parameter Dienstleistungen</t>
  </si>
  <si>
    <t>zu "Folgekosten"</t>
  </si>
  <si>
    <t>K0</t>
  </si>
  <si>
    <t>Frequenz
(Jahre)</t>
  </si>
  <si>
    <t>Folgekosten überprüfen oder direkt eingeben</t>
  </si>
  <si>
    <t>Umsatzsteuersätze für</t>
  </si>
  <si>
    <t>Errichtungskosten und Kostenkennwerte</t>
  </si>
  <si>
    <t>Abbruch- und Entsorgungskosten</t>
  </si>
  <si>
    <t>Tarife Energie</t>
  </si>
  <si>
    <t>zu den "Nutzungsdauern"</t>
  </si>
  <si>
    <t>E2.E.01.f *GIF/100* PFAKT</t>
  </si>
  <si>
    <t>E3.D.01a</t>
  </si>
  <si>
    <t>E3.D.01b</t>
  </si>
  <si>
    <t>Ausmalfrequenz Wände</t>
  </si>
  <si>
    <t>Ausmalfrequenz Decken</t>
  </si>
  <si>
    <t>Wird für Folgekostenrechnung berücksichtigt:</t>
  </si>
  <si>
    <t>ja, könnte man auch aufteilen</t>
  </si>
  <si>
    <t>nein (ev.)</t>
  </si>
  <si>
    <t>Instandsetzung</t>
  </si>
  <si>
    <t>Folgekosten gesamt</t>
  </si>
  <si>
    <t>Frequenz</t>
  </si>
  <si>
    <t>(Jahre)</t>
  </si>
  <si>
    <t>Bezug Errichtung</t>
  </si>
  <si>
    <t>E3.F.02a</t>
  </si>
  <si>
    <t>E3.F.02b</t>
  </si>
  <si>
    <t>Eigene Solaranlage Dach</t>
  </si>
  <si>
    <t>E3.C.01a</t>
  </si>
  <si>
    <t>E3.C.01b</t>
  </si>
  <si>
    <t>Dachbelag 1</t>
  </si>
  <si>
    <t>Dachbelag 2</t>
  </si>
  <si>
    <t>Solarthermie Dach</t>
  </si>
  <si>
    <t>Solarthermie Fassade</t>
  </si>
  <si>
    <t>Aussenwandkonstruktion 1</t>
  </si>
  <si>
    <t>Aussenwandkonstruktion 2</t>
  </si>
  <si>
    <t>Eigene AW-Konstruktion Stahl</t>
  </si>
  <si>
    <t>Innenwandkonstruktion 1</t>
  </si>
  <si>
    <t>Innenwandkonstruktion 2</t>
  </si>
  <si>
    <t>Innenwandkonstruktion 3</t>
  </si>
  <si>
    <t>Endenergie Kühlung</t>
  </si>
  <si>
    <t>Eigenbedarf (Gesamtstrombedarf) inkl. Haushaltsstrom/Betriebsstrom</t>
  </si>
  <si>
    <t>Eigenbedarf (Gesamtstrombedarf) exkl. Haushaltsstrom/Betriebsstrom</t>
  </si>
  <si>
    <t>Anteil PV-Deckung an Gesamtstrombedarf (inkl. Haushaltstrom bzw. Betriebsstrom)</t>
  </si>
  <si>
    <t>Anteil PV-Deckung an Gesamtstrombedarf (exkl. Haushaltstrom bzw. Betriebsstrom)</t>
  </si>
  <si>
    <t>Verwaltungskosten pro m² Nutzfläche</t>
  </si>
  <si>
    <t>Verwaltungskosten (F1)</t>
  </si>
  <si>
    <t>Technischer Gebäudebetrieb (F2)</t>
  </si>
  <si>
    <t>Wartung, kleine Instandsetzung und Reparaturen</t>
  </si>
  <si>
    <t>Annahmen zur Berechnung der Umweltwirkungen aus gebäudebezogenen Dienstleistungen</t>
  </si>
  <si>
    <t>Parameter für gebäudebezogene Dienstleistungen prüfen und eingeben</t>
  </si>
  <si>
    <t>Parameter für Verwaltung und Technik prüfen und eingeben</t>
  </si>
  <si>
    <t>Parameter zur Ver- und Entsorgung prüfen und eingeben</t>
  </si>
  <si>
    <t>Parameter für Reinigung prüfen und eingeben</t>
  </si>
  <si>
    <t>Parameter für Instandsetzung prüfen und eingeben</t>
  </si>
  <si>
    <t>Nutzungsdauern für Bauteile und Bauteilschichten prüfen und eingeben</t>
  </si>
  <si>
    <t>Finanzielle Parameter für Folgekostenberechnung prüfen und eingeben</t>
  </si>
  <si>
    <t>Folgekostenberechnung</t>
  </si>
  <si>
    <t>(BEFkWh+ENTFkWh)*BGFbelüftet*KOSTROM</t>
  </si>
  <si>
    <t>E2.E.02c</t>
  </si>
  <si>
    <t>E3.F.02c</t>
  </si>
  <si>
    <t>sonstige Eigenstromversorgung</t>
  </si>
  <si>
    <t>Glasflächen nicht vertikal außen (z.B. Dachflächenfenster)</t>
  </si>
  <si>
    <t>F3.1.g</t>
  </si>
  <si>
    <t>Reinigung PV und Solarthermie</t>
  </si>
  <si>
    <t>Reinigungskosten PV</t>
  </si>
  <si>
    <t>Reinigungskosten Solarthermie</t>
  </si>
  <si>
    <t>SOLARFab</t>
  </si>
  <si>
    <t>PVFASSab</t>
  </si>
  <si>
    <t>z.B. Büro- und Wohnflächen, meist Nutzfläche abzüglich Sanitärflächen</t>
  </si>
  <si>
    <t>Frequenz Reinigung PV</t>
  </si>
  <si>
    <t>Frequenz Reinigung Solarthermie</t>
  </si>
  <si>
    <t>Jährliche Reinigungskosten PV und Solarthermie</t>
  </si>
  <si>
    <t>PVRKm2</t>
  </si>
  <si>
    <t>SOLRKm2</t>
  </si>
  <si>
    <t>PVRfreq</t>
  </si>
  <si>
    <t>SOLRfreq</t>
  </si>
  <si>
    <t>PVBÜHd</t>
  </si>
  <si>
    <t>PVSOLRKa</t>
  </si>
  <si>
    <t>PVRKm2*PVRfreq*(PVDACH+PVFASS)+SOLRKm2*SOLRfreq*(SOLARD+SOLARF)+((PVRKm2*PVRfreq*PVFASSab+SOLRKm2*SOLRfreq*(SOLARFab))/RKh/8)*PVBÜHd</t>
  </si>
  <si>
    <t>F4.4.b</t>
  </si>
  <si>
    <t>Reinigungskosten PV und Solarthermie</t>
  </si>
  <si>
    <t>Ökokennzahl der "Kostengruppe" ergänzen?</t>
  </si>
  <si>
    <t>Davon nur mit Arbeitsbühne erreichbar (Reinigung)</t>
  </si>
  <si>
    <t>Fassadenintegrierte Photovoltaikmodule</t>
  </si>
  <si>
    <t>Fassadenintegrierte Solarkollektoren</t>
  </si>
  <si>
    <t>Dachintegrierte Photovoltaikmodule</t>
  </si>
  <si>
    <t>Dachintegrierte Solarkollektoren</t>
  </si>
  <si>
    <t>PVDACH*K_PVDACH</t>
  </si>
  <si>
    <t>PVFASS*K_PVFASS</t>
  </si>
  <si>
    <t>Dämmstärke Holzleichtbau</t>
  </si>
  <si>
    <t>PVGEWINN</t>
  </si>
  <si>
    <t>PVDIREKT</t>
  </si>
  <si>
    <t>PVEINSP</t>
  </si>
  <si>
    <t>Eingespeister Strom aus PV nach Deckung Eigenbedarf</t>
  </si>
  <si>
    <t>Darf nicht mehr als 100% sein!</t>
  </si>
  <si>
    <t>PVGEWINN*PVDIREKT/EIGENkWh</t>
  </si>
  <si>
    <t>EIGENkWhex</t>
  </si>
  <si>
    <t>PVGEWINN*PVDIREKT/EIGENkWhex</t>
  </si>
  <si>
    <t>PVGEWINN*(1-PVDIREKT)</t>
  </si>
  <si>
    <t>PV am Dach (oder für PV genutzte Dachfläche)</t>
  </si>
  <si>
    <t>PV an der Fassade (oder für PV genutzte Fassadenfläche)</t>
  </si>
  <si>
    <t>Solarthermie am Dach (oder für Solaranlage genutzte Dachfläche)</t>
  </si>
  <si>
    <t>Solarthermie an der Fassade (für Solaranlage genutzte Fassadenfläche)</t>
  </si>
  <si>
    <t>EINSPTARIF</t>
  </si>
  <si>
    <t>PVEINSP* EINSPTARIF</t>
  </si>
  <si>
    <t>pro Instandsetzung</t>
  </si>
  <si>
    <t>Strom aus Photovoltaik</t>
  </si>
  <si>
    <t>Lüftung Abluftanlage Nutzungseinheiten (kWh/m²a)/Bezugsfläche: BGF belüftet</t>
  </si>
  <si>
    <t>Mechanische Lüftung Nutzungseinheiten (kWh/m²a)/Bezugsfläche: BGF belüftet</t>
  </si>
  <si>
    <t>Energiebedarf Befeuchten/Bezugsfläche: BGF belüftet</t>
  </si>
  <si>
    <t>Energiebedarf Entfeuchten/Bezugsfläche: BGF belüftet</t>
  </si>
  <si>
    <t>Kühlung Nutzungseinheiten (kWh/m²a)/Bezugsfläche: BGF gekühlt</t>
  </si>
  <si>
    <t>Warmwasser Nutzungseinheiten (kWh/m²a)/Bezugsfläche: BGF beheizt</t>
  </si>
  <si>
    <t>Heizung Nutzungseinheiten (kWh/m²a)/Bezugsfläche: BGF beheizt</t>
  </si>
  <si>
    <t>Wärmeertrag pro m² Kollektorfläche/Jahr</t>
  </si>
  <si>
    <t>Stromertrag pro m² Modulfläche/Jahr</t>
  </si>
  <si>
    <t>davon Hilfsstrom Wärmeversorgung</t>
  </si>
  <si>
    <t>Strom Gebäudetechnik allgemeine Teile des Hauses (ohne Aufzüge)/Bezugsfläche: BGF beheizt</t>
  </si>
  <si>
    <t>Strom Aufzüge (allgemeine Teile des Hauses)/Bezugsfläche: BGF beheizt</t>
  </si>
  <si>
    <t>Betriebsstrom Nutzungseinheiten (inkl. IKT)/Bezugsfläche: BGF beheizt</t>
  </si>
  <si>
    <t>Strom Beleuchtung Nutzungseinheiten/Bezugsfläche: BGF beheizt</t>
  </si>
  <si>
    <t>Haushaltsstrombedarf Nutzungseinheiten/Bezugsfläche: BGF beheizt</t>
  </si>
  <si>
    <t>kWh/m²a</t>
  </si>
  <si>
    <t>ja? Aber nicht gesplittet nach Dach/Fassade?</t>
  </si>
  <si>
    <t>ja? Aber nicht gesplittet?</t>
  </si>
  <si>
    <t>ja, ohne splitten, Wert von Verglasung</t>
  </si>
  <si>
    <t>ja, Wert von Verkleidung?</t>
  </si>
  <si>
    <t>ja, Wert von Verglasung?</t>
  </si>
  <si>
    <t>Wert?</t>
  </si>
  <si>
    <t>Defaultwert mit bzw. ohne Zirkulation</t>
  </si>
  <si>
    <t>Abwärme</t>
  </si>
  <si>
    <t>Pellets, Holzmix, in Feuerung 50kW</t>
  </si>
  <si>
    <t>Endenergiebedarf Kühlung KEB (inkl. Hilfsstrom) abzüglich freier Anteile</t>
  </si>
  <si>
    <t>Absorptionskältemaschine Solar/Gas</t>
  </si>
  <si>
    <t>Absorptionskältemaschine Solar/Fernwärme</t>
  </si>
  <si>
    <t>abzüglich Solaranteil</t>
  </si>
  <si>
    <t>Faktor Verteilverluste</t>
  </si>
  <si>
    <t>Nutzungsgrad</t>
  </si>
  <si>
    <t>Versorgungssystem</t>
  </si>
  <si>
    <t>%-Anteil Hilfsstrom</t>
  </si>
  <si>
    <t>%-Anteil</t>
  </si>
  <si>
    <t>Energieträger</t>
  </si>
  <si>
    <t>Fernwärme Mix+ Hilfsstrom? Werte aus Fernwärme Mix Default/3,6</t>
  </si>
  <si>
    <t>Adresse</t>
  </si>
  <si>
    <t>Facility Management</t>
  </si>
  <si>
    <t>Glasflächen innen (z.B. innenliegende Glaswände, innenliegende Oberlichten, …)</t>
  </si>
  <si>
    <t>Jalousienflächen (außenliegende)</t>
  </si>
  <si>
    <t>Aufzüge</t>
  </si>
  <si>
    <t>Anzahl der Aufzugstationen (Haltepunkte) gesamt</t>
  </si>
  <si>
    <t>AWF*F_GLASF</t>
  </si>
  <si>
    <t>GLASF*F_GLASFab</t>
  </si>
  <si>
    <t>AWF*F_GLASFF</t>
  </si>
  <si>
    <t>GLASFF*F_GLASFFab</t>
  </si>
  <si>
    <t>AWF*F_IGLASF</t>
  </si>
  <si>
    <t>IGLASF*F_IGLASFab</t>
  </si>
  <si>
    <t>IGLASF*F_JALF</t>
  </si>
  <si>
    <t>JALF*F_JALFab</t>
  </si>
  <si>
    <t>(NGF-NF)*F_GANGF</t>
  </si>
  <si>
    <t>(NGF-NF)*F_STIEGF</t>
  </si>
  <si>
    <t>(NGF-NF)*F_GARAF</t>
  </si>
  <si>
    <t>(NGF-NF)*F_NEBF</t>
  </si>
  <si>
    <t>INWF*F_MALFw</t>
  </si>
  <si>
    <t>DECKF*F_MALFd</t>
  </si>
  <si>
    <t>Nutzungseinheiten bzw. Anzahl aktiver Nutzer</t>
  </si>
  <si>
    <t>Auftraggeber/Auftraggeberin</t>
  </si>
  <si>
    <t>Architekt/Architektin</t>
  </si>
  <si>
    <t>Fachplaner/Fachplanerinnen</t>
  </si>
  <si>
    <t>Energieproduktion (Solarthermie)</t>
  </si>
  <si>
    <t>Quelle Default: Heizvergleich, Österreichische Energeiagentur</t>
  </si>
  <si>
    <t>Quelle Default: http://www.e-control.at/de/konsumenten/strom/strompreis/strompreis-monitor</t>
  </si>
  <si>
    <t>Quelle Default: http://www.iwo-austria.at/nc/konsumenten/heizkosten/energiepreisinformation.html (inkl. Leistungs- u. Messpreis)</t>
  </si>
  <si>
    <t>Quelle Default: http://www.propellets.at/de/pelletpreise/preisvergleiche/</t>
  </si>
  <si>
    <t>Quelle Default: http://www.energieinstitut.at/?sID=2850</t>
  </si>
  <si>
    <t>Bruttogrundfläche (BGFbeheizt) pro Arbeitsplatz</t>
  </si>
  <si>
    <t>m² BGFbeheizt</t>
  </si>
  <si>
    <t>BGFap</t>
  </si>
  <si>
    <t>Default Annahme: durchschnittliches Bürogebäude*</t>
  </si>
  <si>
    <r>
      <t>kg CO</t>
    </r>
    <r>
      <rPr>
        <vertAlign val="subscript"/>
        <sz val="8"/>
        <rFont val="Tahoma"/>
        <family val="2"/>
      </rPr>
      <t>2</t>
    </r>
    <r>
      <rPr>
        <sz val="8"/>
        <rFont val="Tahoma"/>
        <family val="2"/>
      </rPr>
      <t xml:space="preserve"> eq./a Pers</t>
    </r>
  </si>
  <si>
    <t>MJ/a Pers</t>
  </si>
  <si>
    <t>STROMDLm2</t>
  </si>
  <si>
    <t>HEIZDLm2</t>
  </si>
  <si>
    <t>GWPSTROMDL</t>
  </si>
  <si>
    <t>PESTROMDL</t>
  </si>
  <si>
    <t>GWPHEIZDL</t>
  </si>
  <si>
    <t>PEHEIZDL</t>
  </si>
  <si>
    <t>Gesamtstrombedarf inkl. Betriebsstrom</t>
  </si>
  <si>
    <t xml:space="preserve">Kühlung: </t>
  </si>
  <si>
    <t xml:space="preserve">Lüftung: </t>
  </si>
  <si>
    <t>mechanische Lüftung</t>
  </si>
  <si>
    <t xml:space="preserve">Warmwasser: </t>
  </si>
  <si>
    <t>Zirkulation</t>
  </si>
  <si>
    <t>ohne Zirkulation</t>
  </si>
  <si>
    <t>mit Zirkulation</t>
  </si>
  <si>
    <t>Solarkollektor</t>
  </si>
  <si>
    <t>Photovoltaikpaneel, mono-Si</t>
  </si>
  <si>
    <t>Photovoltaikpaneel, multi-Si</t>
  </si>
  <si>
    <t>Photovoltaikpaneel, Ribbon-Si</t>
  </si>
  <si>
    <t>Eigene PV Dach</t>
  </si>
  <si>
    <t>Wird für ökologische Folgeergebnisse berücksichtigt:</t>
  </si>
  <si>
    <t>Quelle: IBO Materialökologie</t>
  </si>
  <si>
    <t>LEKOECOS_Titel</t>
  </si>
  <si>
    <t>IBO_Schluessel</t>
  </si>
  <si>
    <t>IBO_Titel</t>
  </si>
  <si>
    <t>Funktionale_Einheit</t>
  </si>
  <si>
    <t>PEI_ne</t>
  </si>
  <si>
    <t>Holz - Thermische Verwertung (Ersatz Erdgas)</t>
  </si>
  <si>
    <t>Kunststoff - Thermische Verwertung (Ersatz Erdgas)</t>
  </si>
  <si>
    <t>Metall - Recycling über Sortieranlage</t>
  </si>
  <si>
    <t>Entsorgung, Armierungsstahl in Sortieranlage</t>
  </si>
  <si>
    <t>Beton - Entsorgung auf Deponie oder Recycling</t>
  </si>
  <si>
    <t>Entsorgung, Beton auf Deponie</t>
  </si>
  <si>
    <t>BRM - Entsorgung auf Deponie oder Recycling</t>
  </si>
  <si>
    <t>Entsorgung, BRM auf Deponie</t>
  </si>
  <si>
    <t>SUMMEKG</t>
  </si>
  <si>
    <t>Wood chips, from industry, mixed, burned in furnace 50kW/CH S</t>
  </si>
  <si>
    <t>Anteil durch solare Energie zur Verfügung gestellte Kühlenergie auf EEB-Ebene</t>
  </si>
  <si>
    <t>%-Anteil (einzugeben) von KEB (inkl. Hilfsstrom)</t>
  </si>
  <si>
    <t>standortspezifische Produktion</t>
  </si>
  <si>
    <t>KB inkl. Verteilverluste</t>
  </si>
  <si>
    <t>Kälte, Erdgas, mit Absorptionskältemaschine</t>
  </si>
  <si>
    <t>umgerechnet pro kWh</t>
  </si>
  <si>
    <t>LEKOECOS</t>
  </si>
  <si>
    <t>Version:</t>
  </si>
  <si>
    <t>Datum:</t>
  </si>
  <si>
    <t>Kurzbeschreibung:</t>
  </si>
  <si>
    <t>Entwicklung:</t>
  </si>
  <si>
    <t>Haus der Zukunft Plus ist ein Forschungs- und Technologieprogramm des Bundesministeriums für Verkehr, Innovation und Technologie. Es wird im Auftrag des BMVIT von der Österreichischen Forschungs-förderungsgesellschaft gemeinsam mit der Austria Wirtschaftsservice Gesellschaft mbH und der Österreichischen Gesellschaft für Umwelt und Technik ÖGUT abgewickelt.</t>
  </si>
  <si>
    <t>www.hausderzukunft.at</t>
  </si>
  <si>
    <t>Kontakt:</t>
  </si>
  <si>
    <t>Dipl.-Ing. Dr. techn. Helmut Floegl,
Donau-Universität Krems, Department für Bauen und Umwelt
Dr.-Karl-Dorrek-Straße 30, 3500 Krems</t>
  </si>
  <si>
    <t>helmut.floegl@donau-uni.ac.at</t>
  </si>
  <si>
    <t>Haftungsausschluss:</t>
  </si>
  <si>
    <t>Farbmarkierung der Zellen:</t>
  </si>
  <si>
    <t>Kopfzeile</t>
  </si>
  <si>
    <t>Titelzeile</t>
  </si>
  <si>
    <t>Farbmarkierung der Tabellenblätter:</t>
  </si>
  <si>
    <t>Wirkungskategorie</t>
  </si>
  <si>
    <t>Originalnamen</t>
  </si>
  <si>
    <t>Funktionale Einheit</t>
  </si>
  <si>
    <t>Gewichtung</t>
  </si>
  <si>
    <t>Quelle</t>
  </si>
  <si>
    <t>Default</t>
  </si>
  <si>
    <t>PKW Benzin</t>
  </si>
  <si>
    <t>Transport, passenger car, petrol, fleet average 2010/CH S</t>
  </si>
  <si>
    <t>pkm</t>
  </si>
  <si>
    <t>PKW Mix</t>
  </si>
  <si>
    <t>STATISTIK AUSTRIA: Vorläufiger Pkw-Bestand am 31.12.2013 nach Kraftstoffarten bzw. Energiequelle</t>
  </si>
  <si>
    <t>PKW Diesel</t>
  </si>
  <si>
    <t>Transport, passenger car, diesel, fleet average 2010/CH S</t>
  </si>
  <si>
    <t>PKW Elektro</t>
  </si>
  <si>
    <t>Transport, passenger car, electric, LiMn2O4, certified electricity/CH S</t>
  </si>
  <si>
    <t>PKW Erdgas</t>
  </si>
  <si>
    <t>Transport, passenger car, natural gas/CH S</t>
  </si>
  <si>
    <t>Eigene Daten (PKW)</t>
  </si>
  <si>
    <t>Bahn, Durchschnitt Österreich</t>
  </si>
  <si>
    <t>Transport, average train/AT S</t>
  </si>
  <si>
    <t>ÖPNV Mix</t>
  </si>
  <si>
    <t>Annahme</t>
  </si>
  <si>
    <t>Autobus</t>
  </si>
  <si>
    <t>Transport, regular bus/CH S</t>
  </si>
  <si>
    <t>Straßenbahn/U-Bahn</t>
  </si>
  <si>
    <t>Transport, tram/CH S</t>
  </si>
  <si>
    <t>Annahme, vgl. http://www.wien.gv.at/statistik/verkehr-wohnen/oeffentlich/</t>
  </si>
  <si>
    <t>Stadtbus</t>
  </si>
  <si>
    <t>Transport, trolleybus/CH S</t>
  </si>
  <si>
    <t>Eigene Daten (ÖPNV)</t>
  </si>
  <si>
    <t>Eigene Daten (Mix ÖPNV/PKW)</t>
  </si>
  <si>
    <t>Diesel Maschinen</t>
  </si>
  <si>
    <t>Diesel, burned in building machine/GLO S</t>
  </si>
  <si>
    <t>l</t>
  </si>
  <si>
    <t>Eigene Daten (Diesel Maschinen)</t>
  </si>
  <si>
    <t>DIESEL</t>
  </si>
  <si>
    <t>Diesel für Maschinen für Gebäudedienstleistungen (Rasenmäher, Arbeitsbühne, …)</t>
  </si>
  <si>
    <t>kg CO2 eq./pkm</t>
  </si>
  <si>
    <t>MJ/pkm</t>
  </si>
  <si>
    <t>BGFap*STROMDLm2*GWPSTROMDL+BGFap*HEIZDLm2*GWPHEIZDL</t>
  </si>
  <si>
    <t>BGFap*STROMDLm2*PESTROMDL+BGFap*HEIZDLm2*PEHEIZDL</t>
  </si>
  <si>
    <t xml:space="preserve">LEKOECOS integriertes ökonomisch-ökologisches Gebäudelebenszyklusmodell zur gemeinsamen Berechnung von Kosten und Umweltwirkungen im Gebäudelebenszyklus. 
Als Basismodelle wurden das im Forschungsprojekt „Nachhaltig massiv“ 2009 entwickelte Lebenszykluskostenmodell LEKOS der Donau-Universität Krems und das ökologische Bewertungstool ECOSOFT des IBO herangezogen. </t>
  </si>
  <si>
    <r>
      <t>Dachkonstruktion 2</t>
    </r>
    <r>
      <rPr>
        <sz val="8"/>
        <rFont val="Tahoma"/>
        <family val="2"/>
      </rPr>
      <t/>
    </r>
  </si>
  <si>
    <t>m² (PV)</t>
  </si>
  <si>
    <t>PV am Dach</t>
  </si>
  <si>
    <t>PV an der Fassade</t>
  </si>
  <si>
    <t>Frequenz Reinigung Hauptnutzflächen (Büro, Wohnen, …)</t>
  </si>
  <si>
    <t>Reinigungsleistung Hauptnutzflächen (Büro, Wohnen, …)</t>
  </si>
  <si>
    <t>k.A</t>
  </si>
  <si>
    <t>bzw. pro Instandsetzung</t>
  </si>
  <si>
    <t>Folgekosten pro Jahr</t>
  </si>
  <si>
    <t>GWP 100 pro Jahr</t>
  </si>
  <si>
    <t>l3k03c05</t>
  </si>
  <si>
    <t>Datenblatt - Ökokennzahlen: Eingabe möglich</t>
  </si>
  <si>
    <t>Datenblatt - Rechenparameter: Eingabe möglich</t>
  </si>
  <si>
    <t>Eingabeblatt: Eingabe erforderlich</t>
  </si>
  <si>
    <t>Ergebnisblatt: Darstellung der Ergebnisse</t>
  </si>
  <si>
    <t>Text</t>
  </si>
  <si>
    <t>Link</t>
  </si>
  <si>
    <t>Eingabefeld: Eingabe zwingend erforderlich</t>
  </si>
  <si>
    <t>Eingabefeld: Eingabe/Prüfung des Rechenwertes empfohlen</t>
  </si>
  <si>
    <t>Eingabefeld: Eingabe/Überschreiben des Rechenwertes möglich</t>
  </si>
  <si>
    <t>Rechenwert: zeigt den für die Berechnung verwendeten Wert an</t>
  </si>
  <si>
    <t>Defaultwert (in dieser Version ausgeblendet)</t>
  </si>
  <si>
    <t>Ergebnisfeld: zeigt berechnete Werte und Zwischenergebnisse an</t>
  </si>
  <si>
    <t>Ergebnisfeld - Summe: zeigt Ergebnisse an</t>
  </si>
  <si>
    <t>Verknüpfung: Führt Sie zur Prüfung/Eingabe von Rechenparametern</t>
  </si>
  <si>
    <t>E2-C-BP-SW-30</t>
  </si>
  <si>
    <t>E2-D-01-GD-STB-30</t>
  </si>
  <si>
    <t>Stahlbetondecke 30 cm</t>
  </si>
  <si>
    <t>E2-D-03-STB-30</t>
  </si>
  <si>
    <t>Stahlbeton 30 cm</t>
  </si>
  <si>
    <t>Mineralwolle zwischen Holzträger (E2.E.01)</t>
  </si>
  <si>
    <t>Mineralwolle zwischen Holz-I-Träger</t>
  </si>
  <si>
    <t>Umweltwirkungen aus gebäudebezogenen Dienstleistungen berechnen?</t>
  </si>
  <si>
    <t>Parameter Umweltwirkungen aus gebäudebezogenen Dienstleistungen</t>
  </si>
  <si>
    <t>Kosten und Umweltwirkungen der Photovoltaikmodule werden unter E3.F.02 Eigenstromversorgung berücksichtigt</t>
  </si>
  <si>
    <t>Kosten und Umweltwirkungen der Solarkollektoren werden unter E3.C.01 Wärmeerzeugungsanlagen berücksichtigt</t>
  </si>
  <si>
    <t>PSTROM</t>
  </si>
  <si>
    <t>Annahme: 10 km bei urbanem, 20 km bei ländlichem Gebäudestandort</t>
  </si>
  <si>
    <t>Eigene Ziegel-Außenwand</t>
  </si>
  <si>
    <t>Sicherheit je Nutzfläche und Jahr</t>
  </si>
  <si>
    <t>kg CO2 eq./m2</t>
  </si>
  <si>
    <t>kg CO2 eq./NUE</t>
  </si>
  <si>
    <t>kg CO2 eq./m2/Jahr</t>
  </si>
  <si>
    <t>MJ/m2</t>
  </si>
  <si>
    <t>MJ/NUE</t>
  </si>
  <si>
    <t>MJ/m2/Jahr</t>
  </si>
  <si>
    <t>Instandsetzung, Umbau je Nutzfläche und Jahr</t>
  </si>
  <si>
    <t>Objektbeseitung, Abbruch je Nutzfläche</t>
  </si>
  <si>
    <t>Instandsetzung, Umbau je Nutzfläche</t>
  </si>
  <si>
    <t>LEKOECOS wurde im Rahmen des Forschungsprojektes "LEKOECOS-Kombiniertes ökonomisch-ökologisches
Gebäudelebenszyklusmodell" in der Programmlinie Haus der Zukunft plus finanziert und vom Department für Bauen und Umwelt der Donau-Universität Krems, gemeinsam mit dem IBO - Österreichisches Institut für Bauen und Ökologie GmbH, der Österreichischen Energieagentur und dem Ingenieurbüro SERA energy &amp; resources entwickelt.</t>
  </si>
  <si>
    <t>KURZANLEITUNG</t>
  </si>
  <si>
    <t>F3.1.d-1</t>
  </si>
  <si>
    <t>F3.1.d-2</t>
  </si>
  <si>
    <t>F3.1.e-1</t>
  </si>
  <si>
    <t>F3.1.e-2</t>
  </si>
  <si>
    <t>F3.1.f-1</t>
  </si>
  <si>
    <t>F3.1.f-2</t>
  </si>
  <si>
    <t>BGFbeheizt*HEIZkWh*KOHEIZ</t>
  </si>
  <si>
    <t>HILFHEIZ*BGFbeheizt*KOSTROM</t>
  </si>
  <si>
    <t>BGFgekühlt*KÜHLkWh*KOKÜHL</t>
  </si>
  <si>
    <t>HILFKÜHL*BGFgekühlt*KOSTROM</t>
  </si>
  <si>
    <t>BGFbeheizt*WWkWh*KOWW</t>
  </si>
  <si>
    <t>HILFWW*BGFbeheizt*KOSTROM</t>
  </si>
  <si>
    <t>Hilfstrom für Heizung</t>
  </si>
  <si>
    <t>Hilfstrom für Kühlung</t>
  </si>
  <si>
    <t>Hilfstrom für Warmwassererzeugung</t>
  </si>
  <si>
    <t>Haushaltsstrom</t>
  </si>
  <si>
    <t>Heizenergie Raumwärme exkl. Hilfsstrom</t>
  </si>
  <si>
    <t>Endenergie Kühlung exkl. Hilfsstrom</t>
  </si>
  <si>
    <t>Heizenergie Warmwasser exkl. Hilfsstrom</t>
  </si>
  <si>
    <t>Preissteigerung Bau (pBau)</t>
  </si>
  <si>
    <t>Preissteigerung Technik (pTechnik)</t>
  </si>
  <si>
    <t>Preissteigerung Verbrauchspreise (pAllg)</t>
  </si>
  <si>
    <t>Preissteigerung Energieträger exkl. Strom (pEnergie)</t>
  </si>
  <si>
    <t>Preissteigerung Strom (pStrom)</t>
  </si>
  <si>
    <t>Preissteigerung Lohnintensiv (pLohn)</t>
  </si>
  <si>
    <t>Verzinsung (r)</t>
  </si>
  <si>
    <t>Quelle Default: STATISTIK AUSTRIA: Baupreisindex für den Hochbau, Wohnhaus- und Siedlungsbau insgesamt, Mittelwert 2008-2013</t>
  </si>
  <si>
    <t>Quelle Default: STATISTIK AUSTRIA: Harmonisierter Verbraucherpreisindex, Mittelwert 2008-2013</t>
  </si>
  <si>
    <t>Quelle Default: STATISTIK AUSTRIA: Erzeugerpreisindex für unternehmensnahe Dienstleistungen, 
Reinigung von Gebäuden, Straßen und Verkehrsmitteln ÖNACE (2008) 81.2 , Mittelwert 2008-2013</t>
  </si>
  <si>
    <t>Dieser Wert ist sehr stark von der internationalen Geldmarktpolitik der Zentralbanken abhängig. Ein sinnvoller Wert für die Verzinsung ergibt sich aus einem Mittelwert der Jahre 2011 bis 2013, da die Werte in diesem Zeitraum auf einer abgestimmten Geldmarktpolitik der Zentralbanken fußen. Quelle Default: Sekundärmarktrendite Österreich, Mittelwert 2011 -2013.</t>
  </si>
  <si>
    <t>Quelle Default: STATISTIK AUSTRIA: Erzeugerpreisindex Investitionsgüter (EU-harmonisierte Verwendungskategorien), Mittelwert 2008-2013</t>
  </si>
  <si>
    <t>PGAS</t>
  </si>
  <si>
    <t>PFERNW</t>
  </si>
  <si>
    <t>PPELLETS</t>
  </si>
  <si>
    <t>PHEIZÖL</t>
  </si>
  <si>
    <t>Preissteigerung Gas (pGas)</t>
  </si>
  <si>
    <t>Preissteigerung Fernwärme (pFernw)</t>
  </si>
  <si>
    <t>Preissteigerung feste Brennstoffe (pPellets, z.B. Brennholz, Pellets, Holzbriketts, …)</t>
  </si>
  <si>
    <t>Preissteigerung Heizöl (pHeizöl)</t>
  </si>
  <si>
    <t>Quelle Default: AEA auf Basis STATISTIK AUSTRIA: EPI Energiepreisindex der Österreichischen Energieagentur, Mittelwert 2008-2013</t>
  </si>
  <si>
    <t xml:space="preserve">Quelle Default:AEA auf Basis STATISTIK AUSTRIA: Stromanteil EPI,  Mittelwert 2008-2013
</t>
  </si>
  <si>
    <t>Quelle Default: AEA auf Basis STATISTIK AUSTRIA: Gasanteil EPI,  Mittelwert 2008-2013</t>
  </si>
  <si>
    <t>Quelle Default: AEA auf Basis STATISTIK AUSTRIA: Fernwärmeanteil EPI,  Mittelwert 2008-2013</t>
  </si>
  <si>
    <t>Quelle Default: AEA auf Basis STATISTIK AUSTRIA: Heizölanteil EPI,  Mittelwert 2008-2013</t>
  </si>
  <si>
    <t>Quelle Default: AAEA auf Basis STATISTIK AUSTRIA: Anteil feste Brennstoffe EPI,  Mittelwert 2008-2013</t>
  </si>
  <si>
    <t>zu den "Folgekosten"</t>
  </si>
  <si>
    <t>zurück zu "Nutzung &amp; Betrieb"</t>
  </si>
  <si>
    <t>zu "Verwaltung &amp; Technik"</t>
  </si>
  <si>
    <t>zu "Ver- &amp; Entsorgung"</t>
  </si>
  <si>
    <t xml:space="preserve">Der Materialeinsatz wird hier nicht berücksichtigt --&gt; wenn relevant fällt das wahrscheinlich schon unter große Instandsetzung </t>
  </si>
  <si>
    <t>zu "Abbruch &amp; Entsorgung"</t>
  </si>
  <si>
    <t>E4-C-01b2-VorgF-WD_ST-Stw</t>
  </si>
  <si>
    <t>E4-C-01b2-VorgF-WD_ST-H</t>
  </si>
  <si>
    <t>E4-C-01b2-VorgF-WD_ST-S</t>
  </si>
  <si>
    <t>E4-C-01b2-VorgF-WD_ST-Z</t>
  </si>
  <si>
    <t xml:space="preserve">LEKOECOS wurde mit großer Sorgfalt nach bestem Wissen und Gewissen erstellt und getestet, dennoch können Fehler nicht ausgeschlossen werden. Die Entwickler übernehmen keine Haftung für die Inhalte dieses Excel-Programms. Der Anwender bzw. die Anwenderin des Programms bestätigt, alle Voraussetzungen und Annahmen für die Anwendung der Inhalte und Formeln des Programms zu kennen und für die Verifizierung und Validierung der eigenen Berechnung verantwortlich zu sein. </t>
  </si>
  <si>
    <t>Gewichtung für PKW Mix</t>
  </si>
  <si>
    <t>Gewichtung für Mix ÖPNV/PKW</t>
  </si>
  <si>
    <t>Gewichtung für ÖPNV Mix</t>
  </si>
  <si>
    <t>Nutzungs-dauer</t>
  </si>
  <si>
    <t>Holz
Errichtung</t>
  </si>
  <si>
    <t>Kunststoff
Errichtung</t>
  </si>
  <si>
    <t>Metall
Errichtung</t>
  </si>
  <si>
    <t>Beton
Errichtung</t>
  </si>
  <si>
    <t>BRM
Errichtung</t>
  </si>
  <si>
    <t>Transport
Baustelle</t>
  </si>
  <si>
    <t>Transport
Entsorgung</t>
  </si>
  <si>
    <t>Länge/Fläche/ Aushub</t>
  </si>
  <si>
    <t>GWP100</t>
  </si>
  <si>
    <t>Gewählter Betrachtungszeitraum für die LZ-Berechnung</t>
  </si>
  <si>
    <t>Energiebereitstellung</t>
  </si>
  <si>
    <t>Energiebedarfsprofil</t>
  </si>
  <si>
    <t>Errichtungskosten</t>
  </si>
  <si>
    <t>PROJEKTART</t>
  </si>
  <si>
    <t>Neunteufel Roman, Richard Laurent und Reinhard Perfler: Wasserverbrauch und Wasserbedarf - Auswertung empirischer Daten zum Wasserverbrauch. Wien: Bundesministerium für Land- und Forstwirtschaft, Umwelt und Wasserwirtschaft, 2012.</t>
  </si>
  <si>
    <t>WENN("PROJEKTART"="Mehrgeschoßiger Wohnbau";135*365;40*365)</t>
  </si>
  <si>
    <t>Neunteufel u.a.: Wasserverbrauch und Wasserbedarf. Wien: Bundesministerium für Land- und Forstwirtschaft, Umwelt und Wasserwirtschaft, 2012.</t>
  </si>
  <si>
    <t>Annahme: Schule/Kindergarten: 0,5 m³/Person a, Büro: 2 m³/Person a, Mehrgeschoßiger Wohnbau: 2,6 m³/Person a</t>
  </si>
  <si>
    <t>WENN("PROJEKTART"="Mehrgeschoßiger Wohnbau";1,5;WENN("PROJEKTART"="Bürogebäude";1,0;0,5)</t>
  </si>
  <si>
    <t>Voreinstellungswerte</t>
  </si>
  <si>
    <t>zu "Ökodaten Transport"</t>
  </si>
  <si>
    <t>zurück zu "Dienstleistungen"</t>
  </si>
  <si>
    <t>Ökokennzahlen Energie: GWP 100, PEI n.e.</t>
  </si>
  <si>
    <r>
      <t>Gesamtstrombedarf inkl. Betriebsstrom pro m² BGFbeheizt</t>
    </r>
    <r>
      <rPr>
        <b/>
        <sz val="8"/>
        <rFont val="Tahoma"/>
        <family val="2"/>
      </rPr>
      <t>*</t>
    </r>
  </si>
  <si>
    <r>
      <t>Heizenergiebedarf Raumwärme HEB-RH (exkl. Hilfsstrom) pro m² BGFbeheizt</t>
    </r>
    <r>
      <rPr>
        <b/>
        <sz val="8"/>
        <rFont val="Tahoma"/>
        <family val="2"/>
      </rPr>
      <t>*</t>
    </r>
  </si>
  <si>
    <t>zu den "Ökodaten Energie"</t>
  </si>
  <si>
    <t>zu den Tarifen (Tabellenblatt "Ver- und Entsorgung")</t>
  </si>
  <si>
    <t>zurück zu "Errichtung"</t>
  </si>
  <si>
    <t>Gründungen, Bodenkonstruktionen (E2.C)</t>
  </si>
  <si>
    <t>Horizontale Baukonstruktionen (E2.D)</t>
  </si>
  <si>
    <t>Vertikale Baukonstruktionen (E2.E)</t>
  </si>
  <si>
    <t>Dachverkleidungen (E4.B)</t>
  </si>
  <si>
    <t>Bauwerk Technik (E3)</t>
  </si>
  <si>
    <t>Fassadenhülle (E4.B)</t>
  </si>
  <si>
    <t>Innenausbau (E4.D)</t>
  </si>
  <si>
    <t>GWP 100 Summe</t>
  </si>
  <si>
    <t>GWP 100 Speicher</t>
  </si>
  <si>
    <t>GWP 100 Prozess</t>
  </si>
  <si>
    <t>Errichtungskostenkennwerte</t>
  </si>
  <si>
    <t>Folgekostenkennwerte</t>
  </si>
  <si>
    <t>Kennwerte Umweltwirkungen</t>
  </si>
  <si>
    <t>Errichtungskosten bzw.  Umweltwirkungen Errichtung / Objektkennwerte</t>
  </si>
  <si>
    <t>Lebenszykluskosten  bzw.  Umweltwirkungen Lebenszyklus / Objektkennwerte</t>
  </si>
  <si>
    <t xml:space="preserve">Folgekosten bzw. Umweltwirkungen Nutzung &amp; Betrieb je Nutzfläche </t>
  </si>
  <si>
    <t>Folgekosten  bzw. Umweltwirkungen Nutzung &amp; Betrieb je Nutzfläche und Jahr</t>
  </si>
  <si>
    <t>Betrachtungszeitraum:</t>
  </si>
  <si>
    <t>Informationsblatt: keine Eingabe möglich oder erforderlich</t>
  </si>
  <si>
    <t xml:space="preserve">Geben Sie Ihre Daten innerhalb der einzelnen Tabellenblätter von oben nach unten und über die verschiedenen Tabellenblätter von links nach rechts ein. Beachten Sie dabei die Farbmarkierungen der Tabellenblätter und Zellen (siehe unten) für eine leichtere Navigation.
Zellen für die Dateneingabe sind jeweils dick umrandet. In der hellgrauen Zelle links davon sehen Sie jenen Wert kursiv dargestellt, der für die Berechnung verwendet wird (Rechenwert). Wenn Sie noch keinen Wert eingegeben haben, wird hier in einigen Fällen ein Defaultwert angezeigt. Diesen können Sie durch Eingabe eines Wertes in die dick umrandete Eingabezelle überschreiben. Durch löschen des Wertes in der Eingabezelle wird der Defaultwert wieder hergestellt. Steht in der Eingabezelle „Bitte auswählen“, dann können Sie nach Anklicken der Zelle Werte aus einem Drop-down-Menü wählen.
Mit Hilfe der Links auf den grauen Navigationsknöpfen können Sie sich rasch zwischen den Tabellenblättern hin und her bewegen. Verschiedene Objektkenndaten und Errichtungskosten können in einem frühen Planungsstadium mit Hilfe von Schätzfaktoren grob abgeschätzt werden. Folgen Sie dazu dem Link "Berechnung mit Schätzfaktoren", überprüfen und korrigieren Sie die Schätzfaktoren bei Bedarf und wählen Sie in der obersten Zeile zum Übernehmen der Ergebnisse "ja". Folgen Sie dem Link zurück ins Blatt Objektkenndaten bzw. Errichtung.
Kleine rote Pfeile in der rechten oberen Zellecke zeigen an, dass weitere Informationen zu einem Eintrag verfügbar sind. Fahren Sie mit dem Cursor über den kleinen roten Pfeil um sich Kommentare und Anmerkungen anzeigen zu lassen.
Eine detaillierte Anleitung (Handbuch) zur Verwendung des LEKOECOS Tools finden Sie im Ergebnisbericht des LEKOECOS-Projektes. </t>
  </si>
  <si>
    <t>Kosten- und Objektkennwerte zur Ermittlung der Errichtungskosten</t>
  </si>
  <si>
    <t>GWP Prozess pro Jahr</t>
  </si>
  <si>
    <t>PEI n.e. pro Jahr</t>
  </si>
  <si>
    <t>zu den "Ökodaten Konstruktionen"</t>
  </si>
  <si>
    <t>Außentüre</t>
  </si>
  <si>
    <t>Holztür_Holzzarge</t>
  </si>
  <si>
    <t>Holztür_Stahlzarge</t>
  </si>
  <si>
    <t>Holzwohnungseingangstür m. Holzzarge</t>
  </si>
  <si>
    <t>Holzwohnungseingangstür m. Stahlzarge</t>
  </si>
  <si>
    <t>Eigene Außentüre</t>
  </si>
  <si>
    <t>E4.D.04a</t>
  </si>
  <si>
    <t>E4.D.04b</t>
  </si>
  <si>
    <t>Innentüren</t>
  </si>
  <si>
    <t>Innenfenster</t>
  </si>
  <si>
    <t>Innentür</t>
  </si>
  <si>
    <t>Innentüre</t>
  </si>
  <si>
    <t>Eigene Innentüre</t>
  </si>
  <si>
    <t>Holzinnenfenster</t>
  </si>
  <si>
    <t>Aluinnenfenster</t>
  </si>
  <si>
    <t>Eigenes Innenfenster</t>
  </si>
  <si>
    <t>Holz-Innenfenster</t>
  </si>
  <si>
    <t>Alu-Innenfenster</t>
  </si>
  <si>
    <t>Fernwärme mit KWK (50 % Gas/50 % Biomasse)</t>
  </si>
  <si>
    <t>Fernwärme mit KWK (100 % Biomasse)</t>
  </si>
  <si>
    <t>Fernwärme mit KWK (100 % Gas)</t>
  </si>
  <si>
    <t xml:space="preserve">MJ      </t>
  </si>
  <si>
    <t>Fernkälte Default</t>
  </si>
  <si>
    <t>Fernkälte Wien</t>
  </si>
  <si>
    <t>Fernwärme Heizwerk (ohne KWK), Biomasse (1 MW)</t>
  </si>
  <si>
    <t>Fernwärme Wien</t>
  </si>
  <si>
    <t>Wenn(BK=0;"k.A.";E7/BK*100)</t>
  </si>
  <si>
    <t>WENN(PLANUNG="k.A.";"k.A.";1+(PLANUNG/100*(1+EINZELP/100)))</t>
  </si>
  <si>
    <t>USTPVEIN</t>
  </si>
  <si>
    <t>PV Einspeisetarife</t>
  </si>
  <si>
    <t xml:space="preserve">Quelle Default: Ökostrom- Einspeisetarifverordnung 2014 (12,5 Cent/kWh für 13 Jahre), ohne Anerkennung als Ökostromanlage ist nur die ÖMAG - Abwicklungsstelle für Ökostrom AG zur Abnahme des Stroms zu gängigen Marktpreisen verpflichtet (2. Quartal 2014: 3,49 Cent/kWh). Detaillierte Infos zu PV-Einspeistarifen finden Sie unter: http://www.pvaustria.at/meine-pv-anlage/strom-verkaufen/
 </t>
  </si>
  <si>
    <t>Durchschnittlich zurückgelegte Entf. des Dienstleistungspersonals zum Arbeitsplatz</t>
  </si>
  <si>
    <t>Durchschnittliche zurückgelegte Entf. des Dienstleistungspersonals zum Betreuungsobjekt</t>
  </si>
  <si>
    <t>PKW-Fahrten Dienstleistungspersonal</t>
  </si>
  <si>
    <t>ÖPNV-Fahrten Dienstleistungspersonal</t>
  </si>
  <si>
    <t>MIX ÖPNV/PKW-Fahrten Dienstleistungspersonal</t>
  </si>
  <si>
    <t>Externer Büroarbeitsplatz des Dienstleistungspersonals</t>
  </si>
  <si>
    <t>Energieträger Strom im Büro des Dienstleistungsunternehmens</t>
  </si>
  <si>
    <t>Energieträger Heizung im Büro des Dienstleistungsunternehmens</t>
  </si>
  <si>
    <t>GWP für Strom/kWh im Büro des Dienstleistungsunternehmens</t>
  </si>
  <si>
    <t>PE n.e. für Strom/kWh im Büro des Dienstleistungsunternehmens</t>
  </si>
  <si>
    <t>GWP für Heizung/kWh im Büro des Dienstleistungsunternehmens</t>
  </si>
  <si>
    <t>PE n.e. für Heizung/kWh im Büro des Dienstleistungsunternehmens</t>
  </si>
  <si>
    <t>GWP für Strom/kWh am Gebäudestandort (Betreuungsobjekt)</t>
  </si>
  <si>
    <t>PE n.e. für Strom/kWh am Gebäudestandort (Betreuungsobjekt)</t>
  </si>
  <si>
    <t>*Annahmen zur Energiebedarfsberechnung Büro Dienstleistungsunternehmen:</t>
  </si>
  <si>
    <t>Kosten Verwaltung/Stunde (VKh)</t>
  </si>
  <si>
    <t>Kosten Technische Wartung/Stunde (TKh)</t>
  </si>
  <si>
    <t>Kosten Reinigung/Stunde (RKh)</t>
  </si>
  <si>
    <t>Kosten Gärtnerdienst/Stunde (GKh)</t>
  </si>
  <si>
    <t>Kosten Sicherheitsdienst/Stunde (SKh)</t>
  </si>
  <si>
    <t>Kosten Consulting/Stunde (CSh)</t>
  </si>
  <si>
    <t>Kosten Empfangsdienst/Stunde (PKh)</t>
  </si>
  <si>
    <t>Ökodaten: MJ
Kosten: kWh</t>
  </si>
  <si>
    <t>Faktor Speicher- und Verteilverluste WW</t>
  </si>
  <si>
    <t>WWWB (inkl. Speicher- und Verteilverluste)</t>
  </si>
  <si>
    <t>Elektroheizung</t>
  </si>
  <si>
    <t>Eigene Notizen</t>
  </si>
  <si>
    <t>1.3 Beta</t>
  </si>
  <si>
    <t>Wesentliche Änderungen im Versionsupdate 1.3 Beta:</t>
  </si>
  <si>
    <r>
      <rPr>
        <sz val="8"/>
        <rFont val="Calibri"/>
        <family val="2"/>
      </rPr>
      <t xml:space="preserve">•  </t>
    </r>
    <r>
      <rPr>
        <sz val="8"/>
        <rFont val="Tahoma"/>
        <family val="2"/>
      </rPr>
      <t xml:space="preserve"> In den Eingabeblättern wurde jeweils eine Spalte für eigene Notizen eingefügt.
•  Defaultwerte für die Berechnung mit Schätzfaktoren wurden entfernt und müssen nun selbst eingegeben werden.
•  Im Blatt Energie wurde beim Solaren Jahresdeckungsgrad Warmwasser ein Formelfehler beseitigt. Der Wert wird nun korrekt angegeben.
•  Nutzungsdauern von Bauteile und Bauteilschichten werden nun auch dann für die Kostenberechnung aus dem Tabellenblatt Instandsetzung
   übernommen, wenn im Blatt Errichtung keine oder nicht alle Konstruktionen für die ökologische Bewertung eingegeben wurden (z.B. bei der
   Berechnung mit unterschiedlichen Bilanzgrenzen).</t>
    </r>
  </si>
</sst>
</file>

<file path=xl/styles.xml><?xml version="1.0" encoding="utf-8"?>
<styleSheet xmlns="http://schemas.openxmlformats.org/spreadsheetml/2006/main">
  <numFmts count="13">
    <numFmt numFmtId="164" formatCode="&quot;nach&quot;\ 0\ &quot;Jahren&quot;"/>
    <numFmt numFmtId="165" formatCode="&quot;nach&quot;"/>
    <numFmt numFmtId="166" formatCode="0\ &quot;Jahren&quot;"/>
    <numFmt numFmtId="167" formatCode="0\ &quot;Jahr&quot;"/>
    <numFmt numFmtId="168" formatCode="0.0000"/>
    <numFmt numFmtId="169" formatCode="0.000"/>
    <numFmt numFmtId="170" formatCode="#,##0.0###"/>
    <numFmt numFmtId="171" formatCode="0.0"/>
    <numFmt numFmtId="172" formatCode="0&quot; h&quot;"/>
    <numFmt numFmtId="173" formatCode="&quot;Eingabe in&quot;\ 0"/>
    <numFmt numFmtId="174" formatCode="0.00000"/>
    <numFmt numFmtId="175" formatCode="0.0##"/>
    <numFmt numFmtId="176" formatCode="0\ &quot;Jahre&quot;"/>
  </numFmts>
  <fonts count="38">
    <font>
      <sz val="8"/>
      <name val="Tahoma"/>
      <family val="2"/>
    </font>
    <font>
      <sz val="8"/>
      <name val="Tahoma"/>
      <family val="2"/>
    </font>
    <font>
      <b/>
      <sz val="8"/>
      <name val="Tahoma"/>
      <family val="2"/>
    </font>
    <font>
      <b/>
      <sz val="10"/>
      <name val="Arial"/>
      <family val="2"/>
    </font>
    <font>
      <sz val="10"/>
      <name val="Arial"/>
      <family val="2"/>
    </font>
    <font>
      <sz val="8"/>
      <name val="Tahoma"/>
      <family val="2"/>
    </font>
    <font>
      <b/>
      <i/>
      <sz val="8"/>
      <name val="Tahoma"/>
      <family val="2"/>
    </font>
    <font>
      <sz val="8"/>
      <color rgb="FFC00000"/>
      <name val="Tahoma"/>
      <family val="2"/>
    </font>
    <font>
      <sz val="10"/>
      <color rgb="FFC00000"/>
      <name val="Arial"/>
      <family val="2"/>
    </font>
    <font>
      <b/>
      <sz val="10"/>
      <color rgb="FFC00000"/>
      <name val="Arial"/>
      <family val="2"/>
    </font>
    <font>
      <b/>
      <sz val="8"/>
      <color rgb="FFC00000"/>
      <name val="Tahoma"/>
      <family val="2"/>
    </font>
    <font>
      <sz val="8"/>
      <color theme="1" tint="0.499984740745262"/>
      <name val="Tahoma"/>
      <family val="2"/>
    </font>
    <font>
      <sz val="8"/>
      <color rgb="FFFF0000"/>
      <name val="Tahoma"/>
      <family val="2"/>
    </font>
    <font>
      <sz val="8"/>
      <color theme="1" tint="0.34998626667073579"/>
      <name val="Tahoma"/>
      <family val="2"/>
    </font>
    <font>
      <sz val="8"/>
      <color theme="0" tint="-0.499984740745262"/>
      <name val="Tahoma"/>
      <family val="2"/>
    </font>
    <font>
      <sz val="12"/>
      <color theme="1"/>
      <name val="Calibri"/>
      <family val="2"/>
      <scheme val="minor"/>
    </font>
    <font>
      <sz val="10"/>
      <name val="Tahoma"/>
      <family val="2"/>
    </font>
    <font>
      <i/>
      <sz val="8"/>
      <name val="Tahoma"/>
      <family val="2"/>
    </font>
    <font>
      <strike/>
      <sz val="8"/>
      <name val="Tahoma"/>
      <family val="2"/>
    </font>
    <font>
      <vertAlign val="subscript"/>
      <sz val="8"/>
      <name val="Tahoma"/>
      <family val="2"/>
    </font>
    <font>
      <sz val="7"/>
      <color indexed="81"/>
      <name val="Tahoma"/>
      <family val="2"/>
    </font>
    <font>
      <b/>
      <sz val="7"/>
      <color indexed="81"/>
      <name val="Tahoma"/>
      <family val="2"/>
    </font>
    <font>
      <u/>
      <sz val="10"/>
      <color rgb="FF7030A0"/>
      <name val="Arial"/>
      <family val="2"/>
    </font>
    <font>
      <b/>
      <u/>
      <sz val="8"/>
      <color theme="0"/>
      <name val="Tahoma"/>
      <family val="2"/>
    </font>
    <font>
      <u/>
      <sz val="8"/>
      <color rgb="FF0000FF"/>
      <name val="Tahoma"/>
      <family val="2"/>
    </font>
    <font>
      <b/>
      <strike/>
      <sz val="8"/>
      <name val="Tahoma"/>
      <family val="2"/>
    </font>
    <font>
      <sz val="8"/>
      <color rgb="FF000000"/>
      <name val="Tahoma"/>
      <family val="2"/>
    </font>
    <font>
      <b/>
      <sz val="14"/>
      <name val="Tahoma"/>
      <family val="2"/>
    </font>
    <font>
      <b/>
      <sz val="18"/>
      <color rgb="FF9B9F61"/>
      <name val="Arial"/>
      <family val="2"/>
    </font>
    <font>
      <b/>
      <u/>
      <sz val="8"/>
      <name val="Tahoma"/>
      <family val="2"/>
    </font>
    <font>
      <u/>
      <sz val="8"/>
      <name val="Tahoma"/>
      <family val="2"/>
    </font>
    <font>
      <b/>
      <sz val="9"/>
      <name val="Tahoma"/>
      <family val="2"/>
    </font>
    <font>
      <b/>
      <sz val="8"/>
      <color theme="1" tint="0.34998626667073579"/>
      <name val="Tahoma"/>
      <family val="2"/>
    </font>
    <font>
      <i/>
      <sz val="8"/>
      <color theme="1" tint="0.34998626667073579"/>
      <name val="Tahoma"/>
      <family val="2"/>
    </font>
    <font>
      <sz val="8"/>
      <color indexed="81"/>
      <name val="Tahoma"/>
      <family val="2"/>
    </font>
    <font>
      <sz val="9"/>
      <color indexed="81"/>
      <name val="Tahoma"/>
      <family val="2"/>
    </font>
    <font>
      <b/>
      <sz val="8"/>
      <color indexed="81"/>
      <name val="Tahoma"/>
      <family val="2"/>
    </font>
    <font>
      <sz val="8"/>
      <name val="Calibri"/>
      <family val="2"/>
    </font>
  </fonts>
  <fills count="2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DC6D"/>
        <bgColor indexed="64"/>
      </patternFill>
    </fill>
    <fill>
      <patternFill patternType="solid">
        <fgColor theme="6" tint="0.59999389629810485"/>
        <bgColor indexed="64"/>
      </patternFill>
    </fill>
    <fill>
      <patternFill patternType="solid">
        <fgColor rgb="FFFFFF00"/>
        <bgColor indexed="64"/>
      </patternFill>
    </fill>
    <fill>
      <patternFill patternType="solid">
        <fgColor theme="0" tint="-0.34998626667073579"/>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8" tint="0.79985961485641044"/>
        <bgColor indexed="64"/>
      </patternFill>
    </fill>
    <fill>
      <patternFill patternType="solid">
        <fgColor theme="9" tint="0.39991454817346722"/>
        <bgColor auto="1"/>
      </patternFill>
    </fill>
    <fill>
      <patternFill patternType="solid">
        <fgColor theme="0"/>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3F2E9"/>
        <bgColor indexed="64"/>
      </patternFill>
    </fill>
    <fill>
      <gradientFill degree="90">
        <stop position="0">
          <color theme="0"/>
        </stop>
        <stop position="1">
          <color theme="0" tint="-5.0965910824915313E-2"/>
        </stop>
      </gradientFill>
    </fill>
    <fill>
      <gradientFill degree="90">
        <stop position="0">
          <color theme="0"/>
        </stop>
        <stop position="0.5">
          <color theme="8" tint="0.80001220740379042"/>
        </stop>
        <stop position="1">
          <color theme="0"/>
        </stop>
      </gradientFill>
    </fill>
    <fill>
      <gradientFill degree="90">
        <stop position="0">
          <color theme="0"/>
        </stop>
        <stop position="0.5">
          <color theme="7" tint="0.59999389629810485"/>
        </stop>
        <stop position="1">
          <color theme="0"/>
        </stop>
      </gradientFill>
    </fill>
    <fill>
      <gradientFill degree="90">
        <stop position="0">
          <color theme="9" tint="0.80001220740379042"/>
        </stop>
        <stop position="0.5">
          <color theme="9" tint="0.40000610370189521"/>
        </stop>
        <stop position="1">
          <color theme="9" tint="0.80001220740379042"/>
        </stop>
      </gradientFill>
    </fill>
    <fill>
      <gradientFill degree="90">
        <stop position="0">
          <color theme="6" tint="0.80001220740379042"/>
        </stop>
        <stop position="0.5">
          <color theme="6" tint="0.40000610370189521"/>
        </stop>
        <stop position="1">
          <color theme="6" tint="0.80001220740379042"/>
        </stop>
      </gradientFill>
    </fill>
  </fills>
  <borders count="58">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style="thin">
        <color indexed="63"/>
      </right>
      <top/>
      <bottom style="thin">
        <color indexed="63"/>
      </bottom>
      <diagonal/>
    </border>
    <border>
      <left style="medium">
        <color theme="1" tint="0.34998626667073579"/>
      </left>
      <right style="medium">
        <color theme="1" tint="0.34998626667073579"/>
      </right>
      <top style="medium">
        <color theme="1" tint="0.34998626667073579"/>
      </top>
      <bottom style="medium">
        <color theme="1" tint="0.34998626667073579"/>
      </bottom>
      <diagonal/>
    </border>
    <border>
      <left/>
      <right/>
      <top style="thin">
        <color indexed="63"/>
      </top>
      <bottom style="thin">
        <color indexed="6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rgb="FF000000"/>
      </left>
      <right style="thin">
        <color rgb="FF000000"/>
      </right>
      <top style="thin">
        <color rgb="FF000000"/>
      </top>
      <bottom style="thin">
        <color rgb="FF000000"/>
      </bottom>
      <diagonal/>
    </border>
    <border>
      <left/>
      <right/>
      <top style="thin">
        <color indexed="63"/>
      </top>
      <bottom/>
      <diagonal/>
    </border>
    <border>
      <left style="thin">
        <color indexed="63"/>
      </left>
      <right/>
      <top/>
      <bottom/>
      <diagonal/>
    </border>
    <border>
      <left/>
      <right/>
      <top style="thin">
        <color theme="0" tint="-0.34998626667073579"/>
      </top>
      <bottom style="thin">
        <color theme="0" tint="-0.34998626667073579"/>
      </bottom>
      <diagonal/>
    </border>
    <border>
      <left style="thick">
        <color theme="0" tint="-0.14996795556505021"/>
      </left>
      <right style="thick">
        <color theme="1" tint="0.34998626667073579"/>
      </right>
      <top style="thick">
        <color theme="0" tint="-0.14996795556505021"/>
      </top>
      <bottom style="thick">
        <color theme="1" tint="0.34998626667073579"/>
      </bottom>
      <diagonal/>
    </border>
    <border>
      <left/>
      <right style="thin">
        <color theme="0" tint="-0.34998626667073579"/>
      </right>
      <top/>
      <bottom style="thin">
        <color theme="0" tint="-0.34998626667073579"/>
      </bottom>
      <diagonal/>
    </border>
    <border>
      <left/>
      <right/>
      <top/>
      <bottom style="thin">
        <color indexed="63"/>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right/>
      <top style="thin">
        <color indexed="63"/>
      </top>
      <bottom style="thin">
        <color indexed="63"/>
      </bottom>
      <diagonal/>
    </border>
    <border>
      <left/>
      <right/>
      <top style="thin">
        <color indexed="63"/>
      </top>
      <bottom/>
      <diagonal/>
    </border>
    <border>
      <left style="double">
        <color indexed="63"/>
      </left>
      <right style="thin">
        <color indexed="63"/>
      </right>
      <top style="thin">
        <color indexed="63"/>
      </top>
      <bottom style="thin">
        <color indexed="63"/>
      </bottom>
      <diagonal/>
    </border>
    <border>
      <left style="thin">
        <color indexed="63"/>
      </left>
      <right style="double">
        <color indexed="63"/>
      </right>
      <top style="thin">
        <color indexed="63"/>
      </top>
      <bottom style="thin">
        <color indexed="63"/>
      </bottom>
      <diagonal/>
    </border>
    <border>
      <left style="double">
        <color indexed="63"/>
      </left>
      <right style="thin">
        <color indexed="63"/>
      </right>
      <top/>
      <bottom style="thin">
        <color theme="0" tint="-0.34998626667073579"/>
      </bottom>
      <diagonal/>
    </border>
    <border>
      <left style="thin">
        <color indexed="63"/>
      </left>
      <right style="double">
        <color indexed="63"/>
      </right>
      <top style="thin">
        <color theme="0" tint="-0.34998626667073579"/>
      </top>
      <bottom style="thin">
        <color theme="0" tint="-0.34998626667073579"/>
      </bottom>
      <diagonal/>
    </border>
    <border>
      <left style="thin">
        <color indexed="63"/>
      </left>
      <right style="thin">
        <color indexed="63"/>
      </right>
      <top style="thin">
        <color indexed="63"/>
      </top>
      <bottom style="thin">
        <color indexed="63"/>
      </bottom>
      <diagonal/>
    </border>
    <border>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right/>
      <top style="thin">
        <color indexed="63"/>
      </top>
      <bottom style="thin">
        <color indexed="63"/>
      </bottom>
      <diagonal/>
    </border>
    <border>
      <left style="medium">
        <color theme="1" tint="0.34998626667073579"/>
      </left>
      <right/>
      <top style="medium">
        <color theme="1" tint="0.34998626667073579"/>
      </top>
      <bottom style="medium">
        <color theme="1" tint="0.34998626667073579"/>
      </bottom>
      <diagonal/>
    </border>
    <border>
      <left/>
      <right style="medium">
        <color theme="1" tint="0.34998626667073579"/>
      </right>
      <top style="medium">
        <color theme="1" tint="0.34998626667073579"/>
      </top>
      <bottom style="medium">
        <color theme="1" tint="0.34998626667073579"/>
      </bottom>
      <diagonal/>
    </border>
    <border>
      <left style="thin">
        <color indexed="63"/>
      </left>
      <right/>
      <top style="thin">
        <color indexed="63"/>
      </top>
      <bottom style="thin">
        <color indexed="63"/>
      </bottom>
      <diagonal/>
    </border>
    <border>
      <left style="thin">
        <color indexed="63"/>
      </left>
      <right style="thin">
        <color indexed="63"/>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medium">
        <color indexed="63"/>
      </left>
      <right/>
      <top style="thin">
        <color indexed="63"/>
      </top>
      <bottom style="thin">
        <color indexed="63"/>
      </bottom>
      <diagonal/>
    </border>
    <border>
      <left style="medium">
        <color indexed="63"/>
      </left>
      <right style="thick">
        <color theme="1" tint="0.34998626667073579"/>
      </right>
      <top style="thick">
        <color theme="0" tint="-0.14996795556505021"/>
      </top>
      <bottom style="thick">
        <color theme="1" tint="0.34998626667073579"/>
      </bottom>
      <diagonal/>
    </border>
    <border>
      <left style="medium">
        <color indexed="63"/>
      </left>
      <right/>
      <top style="thin">
        <color theme="0" tint="-0.34998626667073579"/>
      </top>
      <bottom style="thin">
        <color theme="0" tint="-0.34998626667073579"/>
      </bottom>
      <diagonal/>
    </border>
    <border>
      <left style="medium">
        <color indexed="63"/>
      </left>
      <right style="thin">
        <color theme="0" tint="-0.34998626667073579"/>
      </right>
      <top style="thin">
        <color theme="0" tint="-0.34998626667073579"/>
      </top>
      <bottom style="thin">
        <color theme="0" tint="-0.34998626667073579"/>
      </bottom>
      <diagonal/>
    </border>
    <border>
      <left style="thick">
        <color theme="0" tint="-0.14996795556505021"/>
      </left>
      <right/>
      <top style="thick">
        <color theme="0" tint="-0.14996795556505021"/>
      </top>
      <bottom style="thick">
        <color theme="1" tint="0.34998626667073579"/>
      </bottom>
      <diagonal/>
    </border>
    <border>
      <left/>
      <right style="thick">
        <color theme="1" tint="0.34998626667073579"/>
      </right>
      <top style="thick">
        <color theme="0" tint="-0.14996795556505021"/>
      </top>
      <bottom style="thick">
        <color theme="1" tint="0.34998626667073579"/>
      </bottom>
      <diagonal/>
    </border>
    <border>
      <left/>
      <right/>
      <top style="thick">
        <color theme="0" tint="-0.14996795556505021"/>
      </top>
      <bottom style="thick">
        <color theme="1" tint="0.34998626667073579"/>
      </bottom>
      <diagonal/>
    </border>
    <border>
      <left style="medium">
        <color indexed="63"/>
      </left>
      <right style="thin">
        <color theme="0" tint="-0.34998626667073579"/>
      </right>
      <top/>
      <bottom style="thin">
        <color theme="0" tint="-0.34998626667073579"/>
      </bottom>
      <diagonal/>
    </border>
    <border>
      <left/>
      <right style="medium">
        <color indexed="63"/>
      </right>
      <top style="thin">
        <color indexed="63"/>
      </top>
      <bottom style="thin">
        <color indexed="63"/>
      </bottom>
      <diagonal/>
    </border>
    <border>
      <left/>
      <right style="medium">
        <color indexed="63"/>
      </right>
      <top style="thin">
        <color theme="0" tint="-0.34998626667073579"/>
      </top>
      <bottom style="thin">
        <color theme="0" tint="-0.34998626667073579"/>
      </bottom>
      <diagonal/>
    </border>
    <border>
      <left style="medium">
        <color indexed="63"/>
      </left>
      <right/>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34998626667073579"/>
      </left>
      <right/>
      <top style="thin">
        <color indexed="63"/>
      </top>
      <bottom style="thin">
        <color theme="0" tint="-0.34998626667073579"/>
      </bottom>
      <diagonal/>
    </border>
    <border>
      <left style="medium">
        <color theme="1" tint="0.34998626667073579"/>
      </left>
      <right/>
      <top style="thick">
        <color theme="1" tint="0.34998626667073579"/>
      </top>
      <bottom style="thin">
        <color theme="0" tint="-0.34998626667073579"/>
      </bottom>
      <diagonal/>
    </border>
    <border>
      <left style="medium">
        <color theme="1" tint="0.34998626667073579"/>
      </left>
      <right/>
      <top style="thin">
        <color theme="0" tint="-0.34998626667073579"/>
      </top>
      <bottom style="thin">
        <color theme="0" tint="-0.34998626667073579"/>
      </bottom>
      <diagonal/>
    </border>
  </borders>
  <cellStyleXfs count="30">
    <xf numFmtId="0" fontId="0" fillId="13" borderId="0">
      <alignment vertical="center"/>
    </xf>
    <xf numFmtId="0" fontId="4" fillId="13" borderId="0"/>
    <xf numFmtId="0" fontId="15" fillId="0" borderId="0"/>
    <xf numFmtId="0" fontId="23" fillId="8" borderId="15" applyNumberFormat="0">
      <alignment horizontal="center" vertical="center"/>
      <protection locked="0"/>
    </xf>
    <xf numFmtId="0" fontId="22" fillId="0" borderId="0" applyNumberFormat="0" applyFill="0" applyBorder="0" applyAlignment="0" applyProtection="0"/>
    <xf numFmtId="4" fontId="1" fillId="12" borderId="6" applyNumberFormat="0" applyAlignment="0">
      <alignment horizontal="right" vertical="center"/>
      <protection locked="0"/>
    </xf>
    <xf numFmtId="4" fontId="1" fillId="11" borderId="6" applyNumberFormat="0" applyAlignment="0">
      <alignment horizontal="right" vertical="top"/>
      <protection locked="0"/>
    </xf>
    <xf numFmtId="4" fontId="1" fillId="5" borderId="6" applyNumberFormat="0" applyAlignment="0">
      <alignment horizontal="right" vertical="top"/>
      <protection locked="0"/>
    </xf>
    <xf numFmtId="0" fontId="2" fillId="3" borderId="7" applyNumberFormat="0" applyAlignment="0">
      <alignment horizontal="left" vertical="center"/>
    </xf>
    <xf numFmtId="4" fontId="1" fillId="0" borderId="0">
      <alignment horizontal="right" vertical="top"/>
    </xf>
    <xf numFmtId="0" fontId="2" fillId="2" borderId="7" applyNumberFormat="0" applyAlignment="0">
      <alignment horizontal="left" vertical="center"/>
    </xf>
    <xf numFmtId="0" fontId="1" fillId="15" borderId="14" applyNumberFormat="0" applyFont="0" applyAlignment="0">
      <alignment vertical="center"/>
    </xf>
    <xf numFmtId="0" fontId="17" fillId="2" borderId="29" applyNumberFormat="0" applyAlignment="0">
      <alignment horizontal="right" vertical="center"/>
    </xf>
    <xf numFmtId="4" fontId="11" fillId="14" borderId="8" applyNumberFormat="0" applyAlignment="0">
      <alignment horizontal="right" vertical="center"/>
    </xf>
    <xf numFmtId="2" fontId="2" fillId="10" borderId="14" applyNumberFormat="0" applyFont="0" applyAlignment="0">
      <alignment horizontal="right" vertical="center" wrapText="1"/>
    </xf>
    <xf numFmtId="0" fontId="24" fillId="0" borderId="0" applyNumberFormat="0" applyAlignment="0" applyProtection="0">
      <alignment horizontal="center" vertical="center"/>
    </xf>
    <xf numFmtId="2" fontId="2" fillId="9" borderId="14" applyNumberFormat="0" applyFont="0" applyAlignment="0">
      <alignment horizontal="right" vertical="center" wrapText="1"/>
    </xf>
    <xf numFmtId="0" fontId="2" fillId="2" borderId="29" applyNumberFormat="0" applyAlignment="0">
      <alignment horizontal="left" vertical="center"/>
    </xf>
    <xf numFmtId="9" fontId="4" fillId="0" borderId="0" applyFont="0" applyFill="0" applyBorder="0" applyAlignment="0" applyProtection="0"/>
    <xf numFmtId="0" fontId="17" fillId="2" borderId="26" applyNumberFormat="0" applyAlignment="0">
      <alignment horizontal="right" vertical="center"/>
    </xf>
    <xf numFmtId="0" fontId="2" fillId="2" borderId="27" applyNumberFormat="0" applyAlignment="0">
      <alignment horizontal="left" vertical="center"/>
    </xf>
    <xf numFmtId="0" fontId="2" fillId="3" borderId="27" applyNumberFormat="0" applyAlignment="0">
      <alignment horizontal="left" vertical="center"/>
    </xf>
    <xf numFmtId="0" fontId="2" fillId="3" borderId="20" applyNumberFormat="0" applyAlignment="0">
      <alignment horizontal="left" vertical="center"/>
    </xf>
    <xf numFmtId="0" fontId="2" fillId="2" borderId="20" applyNumberFormat="0" applyAlignment="0">
      <alignment horizontal="left" vertical="center"/>
    </xf>
    <xf numFmtId="0" fontId="17" fillId="2" borderId="19" applyNumberFormat="0" applyAlignment="0">
      <alignment horizontal="right" vertical="center"/>
    </xf>
    <xf numFmtId="0" fontId="17" fillId="2" borderId="28" applyNumberFormat="0" applyAlignment="0">
      <alignment horizontal="right" vertical="center"/>
    </xf>
    <xf numFmtId="0" fontId="2" fillId="3" borderId="29" applyNumberFormat="0" applyAlignment="0">
      <alignment horizontal="left" vertical="center"/>
    </xf>
    <xf numFmtId="0" fontId="1" fillId="16" borderId="0" applyNumberFormat="0" applyFont="0" applyAlignment="0">
      <alignment vertical="center"/>
    </xf>
    <xf numFmtId="0" fontId="2" fillId="3" borderId="29" applyNumberFormat="0" applyAlignment="0">
      <alignment horizontal="left" vertical="center"/>
    </xf>
    <xf numFmtId="0" fontId="1" fillId="13" borderId="54">
      <alignment vertical="center"/>
      <protection locked="0"/>
    </xf>
  </cellStyleXfs>
  <cellXfs count="642">
    <xf numFmtId="0" fontId="0" fillId="13" borderId="0" xfId="0">
      <alignment vertical="center"/>
    </xf>
    <xf numFmtId="0" fontId="0" fillId="13" borderId="0" xfId="0" applyAlignment="1"/>
    <xf numFmtId="0" fontId="2" fillId="3" borderId="1" xfId="0" applyNumberFormat="1" applyFont="1" applyFill="1" applyBorder="1" applyAlignment="1" applyProtection="1">
      <alignment horizontal="left" vertical="top"/>
    </xf>
    <xf numFmtId="0" fontId="2" fillId="3" borderId="2" xfId="0" applyNumberFormat="1" applyFont="1" applyFill="1" applyBorder="1" applyAlignment="1" applyProtection="1">
      <alignment vertical="top"/>
    </xf>
    <xf numFmtId="0" fontId="2" fillId="3" borderId="7" xfId="0" applyNumberFormat="1" applyFont="1" applyFill="1" applyBorder="1" applyAlignment="1" applyProtection="1">
      <alignment vertical="top"/>
    </xf>
    <xf numFmtId="0" fontId="2" fillId="2" borderId="1" xfId="0" applyNumberFormat="1" applyFont="1" applyFill="1" applyBorder="1" applyAlignment="1" applyProtection="1">
      <alignment horizontal="right" vertical="top"/>
    </xf>
    <xf numFmtId="0" fontId="2" fillId="2" borderId="1" xfId="0" applyNumberFormat="1" applyFont="1" applyFill="1" applyBorder="1" applyAlignment="1" applyProtection="1">
      <alignment horizontal="left" vertical="top"/>
    </xf>
    <xf numFmtId="0" fontId="6" fillId="2" borderId="1" xfId="0" applyNumberFormat="1" applyFont="1" applyFill="1" applyBorder="1" applyAlignment="1" applyProtection="1">
      <alignment horizontal="right" vertical="top"/>
    </xf>
    <xf numFmtId="0" fontId="6" fillId="2" borderId="1" xfId="0" applyNumberFormat="1" applyFont="1" applyFill="1" applyBorder="1" applyAlignment="1" applyProtection="1">
      <alignment horizontal="left" vertical="top"/>
    </xf>
    <xf numFmtId="0" fontId="2" fillId="2" borderId="1" xfId="0" applyNumberFormat="1" applyFont="1" applyFill="1" applyBorder="1" applyAlignment="1" applyProtection="1">
      <alignment vertical="top"/>
    </xf>
    <xf numFmtId="0" fontId="6" fillId="2" borderId="1" xfId="0" applyNumberFormat="1" applyFont="1" applyFill="1" applyBorder="1" applyAlignment="1" applyProtection="1">
      <alignment vertical="top"/>
    </xf>
    <xf numFmtId="0" fontId="6" fillId="2" borderId="1" xfId="1" applyNumberFormat="1" applyFont="1" applyFill="1" applyBorder="1" applyAlignment="1" applyProtection="1">
      <alignment horizontal="left" vertical="top"/>
    </xf>
    <xf numFmtId="4" fontId="2" fillId="3" borderId="7" xfId="0" applyNumberFormat="1" applyFont="1" applyFill="1" applyBorder="1" applyAlignment="1" applyProtection="1">
      <alignment vertical="top"/>
    </xf>
    <xf numFmtId="4" fontId="2" fillId="2" borderId="1" xfId="0" applyNumberFormat="1" applyFont="1" applyFill="1" applyBorder="1" applyAlignment="1" applyProtection="1">
      <alignment horizontal="right" vertical="top"/>
    </xf>
    <xf numFmtId="165" fontId="2" fillId="3" borderId="4" xfId="1" applyNumberFormat="1" applyFont="1" applyFill="1" applyBorder="1" applyAlignment="1" applyProtection="1">
      <alignment horizontal="left" vertical="top"/>
    </xf>
    <xf numFmtId="166" fontId="2" fillId="3" borderId="5" xfId="1" applyNumberFormat="1" applyFont="1" applyFill="1" applyBorder="1" applyAlignment="1" applyProtection="1">
      <alignment horizontal="left" vertical="top"/>
    </xf>
    <xf numFmtId="0" fontId="2" fillId="2" borderId="2" xfId="0" applyNumberFormat="1" applyFont="1" applyFill="1" applyBorder="1" applyAlignment="1" applyProtection="1">
      <alignment horizontal="left" vertical="top"/>
    </xf>
    <xf numFmtId="4" fontId="2" fillId="2" borderId="8" xfId="0" applyNumberFormat="1" applyFont="1" applyFill="1" applyBorder="1" applyAlignment="1" applyProtection="1">
      <alignment horizontal="right" vertical="top"/>
    </xf>
    <xf numFmtId="0" fontId="6" fillId="2" borderId="2" xfId="0" applyNumberFormat="1" applyFont="1" applyFill="1" applyBorder="1" applyAlignment="1" applyProtection="1">
      <alignment horizontal="left" vertical="top"/>
    </xf>
    <xf numFmtId="0" fontId="2" fillId="13" borderId="0" xfId="0" applyFont="1">
      <alignment vertical="center"/>
    </xf>
    <xf numFmtId="49" fontId="2" fillId="3" borderId="1" xfId="0" applyNumberFormat="1" applyFont="1" applyFill="1" applyBorder="1" applyAlignment="1" applyProtection="1">
      <alignment horizontal="left" vertical="top" wrapText="1"/>
    </xf>
    <xf numFmtId="49" fontId="2" fillId="3" borderId="1" xfId="1" applyNumberFormat="1" applyFont="1" applyFill="1" applyBorder="1" applyAlignment="1" applyProtection="1">
      <alignment vertical="top" wrapText="1"/>
    </xf>
    <xf numFmtId="4" fontId="17" fillId="2" borderId="8" xfId="0" applyNumberFormat="1" applyFont="1" applyFill="1" applyBorder="1" applyAlignment="1" applyProtection="1">
      <alignment horizontal="right" vertical="top"/>
    </xf>
    <xf numFmtId="0" fontId="0" fillId="13" borderId="0" xfId="0" applyAlignment="1">
      <alignment vertical="center"/>
    </xf>
    <xf numFmtId="4" fontId="2" fillId="3" borderId="3" xfId="0" applyNumberFormat="1" applyFont="1" applyFill="1" applyBorder="1" applyAlignment="1" applyProtection="1">
      <alignment vertical="top"/>
    </xf>
    <xf numFmtId="3" fontId="1" fillId="12" borderId="6" xfId="5" applyNumberFormat="1" applyAlignment="1">
      <alignment horizontal="right" vertical="center" indent="1"/>
      <protection locked="0"/>
    </xf>
    <xf numFmtId="0" fontId="2" fillId="3" borderId="7" xfId="8" applyAlignment="1">
      <alignment horizontal="left" vertical="center"/>
    </xf>
    <xf numFmtId="0" fontId="2" fillId="2" borderId="7" xfId="10" applyAlignment="1">
      <alignment horizontal="left" vertical="center"/>
    </xf>
    <xf numFmtId="0" fontId="1" fillId="15" borderId="14" xfId="11" applyAlignment="1">
      <alignment vertical="center"/>
    </xf>
    <xf numFmtId="0" fontId="2" fillId="2" borderId="7" xfId="10" applyAlignment="1">
      <alignment horizontal="right" vertical="center"/>
    </xf>
    <xf numFmtId="0" fontId="2" fillId="2" borderId="7" xfId="10" applyAlignment="1">
      <alignment vertical="center"/>
    </xf>
    <xf numFmtId="0" fontId="17" fillId="2" borderId="29" xfId="12" applyNumberFormat="1" applyAlignment="1">
      <alignment horizontal="center" vertical="center"/>
    </xf>
    <xf numFmtId="0" fontId="17" fillId="2" borderId="29" xfId="12" applyAlignment="1">
      <alignment horizontal="center" vertical="center"/>
    </xf>
    <xf numFmtId="49" fontId="1" fillId="12" borderId="6" xfId="5" applyNumberFormat="1" applyAlignment="1">
      <alignment horizontal="center" vertical="center" wrapText="1"/>
      <protection locked="0"/>
    </xf>
    <xf numFmtId="2" fontId="1" fillId="11" borderId="6" xfId="6" applyNumberFormat="1" applyAlignment="1">
      <alignment horizontal="center" vertical="center" wrapText="1"/>
      <protection locked="0"/>
    </xf>
    <xf numFmtId="0" fontId="10" fillId="13" borderId="0" xfId="0" applyFont="1" applyAlignment="1">
      <alignment vertical="center"/>
    </xf>
    <xf numFmtId="0" fontId="2" fillId="13" borderId="0" xfId="0" applyFont="1" applyAlignment="1">
      <alignment horizontal="left" vertical="center"/>
    </xf>
    <xf numFmtId="0" fontId="1" fillId="13" borderId="0" xfId="0" applyFont="1" applyAlignment="1">
      <alignment vertical="center"/>
    </xf>
    <xf numFmtId="0" fontId="7" fillId="13" borderId="13" xfId="0" applyFont="1" applyBorder="1" applyAlignment="1">
      <alignment vertical="center"/>
    </xf>
    <xf numFmtId="0" fontId="7" fillId="13" borderId="0" xfId="0" applyFont="1" applyBorder="1" applyAlignment="1">
      <alignment vertical="center"/>
    </xf>
    <xf numFmtId="0" fontId="1" fillId="13" borderId="0" xfId="0" applyFont="1" applyAlignment="1">
      <alignment horizontal="center" vertical="center"/>
    </xf>
    <xf numFmtId="0" fontId="1" fillId="0" borderId="2"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horizontal="left" vertical="center"/>
    </xf>
    <xf numFmtId="0" fontId="1" fillId="13" borderId="0" xfId="0" applyFont="1" applyAlignment="1">
      <alignment horizontal="left" vertical="center"/>
    </xf>
    <xf numFmtId="0" fontId="14" fillId="13" borderId="0" xfId="0" applyFont="1" applyBorder="1" applyAlignment="1">
      <alignment vertical="center"/>
    </xf>
    <xf numFmtId="0" fontId="7" fillId="0" borderId="0" xfId="0" applyFont="1" applyFill="1" applyBorder="1" applyAlignment="1">
      <alignment vertical="center"/>
    </xf>
    <xf numFmtId="0" fontId="7" fillId="13" borderId="0" xfId="0" applyFont="1" applyAlignment="1">
      <alignment vertical="center"/>
    </xf>
    <xf numFmtId="4" fontId="1" fillId="13" borderId="0" xfId="0" applyNumberFormat="1" applyFont="1" applyAlignment="1">
      <alignment vertical="center"/>
    </xf>
    <xf numFmtId="0" fontId="13" fillId="13" borderId="0" xfId="0" applyFont="1" applyAlignment="1">
      <alignment vertical="center"/>
    </xf>
    <xf numFmtId="4" fontId="17" fillId="2" borderId="29" xfId="12" applyNumberFormat="1" applyAlignment="1">
      <alignment horizontal="right" vertical="center"/>
    </xf>
    <xf numFmtId="4" fontId="1" fillId="5" borderId="6" xfId="7" applyNumberFormat="1" applyAlignment="1">
      <alignment horizontal="right" vertical="center"/>
      <protection locked="0"/>
    </xf>
    <xf numFmtId="4" fontId="1" fillId="12" borderId="6" xfId="5" applyNumberFormat="1" applyAlignment="1">
      <alignment horizontal="right" vertical="center"/>
      <protection locked="0"/>
    </xf>
    <xf numFmtId="4" fontId="1" fillId="11" borderId="6" xfId="6" applyNumberFormat="1" applyAlignment="1">
      <alignment horizontal="right" vertical="center"/>
      <protection locked="0"/>
    </xf>
    <xf numFmtId="4" fontId="11" fillId="14" borderId="8" xfId="13" applyNumberFormat="1" applyAlignment="1">
      <alignment horizontal="right" vertical="center"/>
    </xf>
    <xf numFmtId="0" fontId="11" fillId="14" borderId="8" xfId="13" applyNumberFormat="1" applyAlignment="1">
      <alignment horizontal="left" vertical="center"/>
    </xf>
    <xf numFmtId="0" fontId="1" fillId="15" borderId="14" xfId="11" applyNumberFormat="1" applyFont="1" applyAlignment="1">
      <alignment horizontal="right" vertical="center"/>
    </xf>
    <xf numFmtId="0" fontId="1" fillId="15" borderId="14" xfId="11" applyNumberFormat="1" applyFont="1" applyAlignment="1">
      <alignment horizontal="left" vertical="center"/>
    </xf>
    <xf numFmtId="0" fontId="7" fillId="15" borderId="14" xfId="11" applyNumberFormat="1" applyFont="1" applyAlignment="1">
      <alignment horizontal="left" vertical="center"/>
    </xf>
    <xf numFmtId="0" fontId="12" fillId="15" borderId="14" xfId="11" applyNumberFormat="1" applyFont="1" applyAlignment="1">
      <alignment horizontal="left" vertical="center"/>
    </xf>
    <xf numFmtId="0" fontId="5" fillId="15" borderId="14" xfId="11" applyNumberFormat="1" applyFont="1" applyAlignment="1">
      <alignment horizontal="left" vertical="center"/>
    </xf>
    <xf numFmtId="0" fontId="7" fillId="15" borderId="14" xfId="11" applyNumberFormat="1" applyFont="1" applyAlignment="1">
      <alignment horizontal="right" vertical="center"/>
    </xf>
    <xf numFmtId="4" fontId="1" fillId="12" borderId="6" xfId="5" applyNumberFormat="1" applyAlignment="1">
      <alignment vertical="center"/>
      <protection locked="0"/>
    </xf>
    <xf numFmtId="0" fontId="2" fillId="2" borderId="7" xfId="10" applyNumberFormat="1" applyAlignment="1">
      <alignment horizontal="left" vertical="center"/>
    </xf>
    <xf numFmtId="0" fontId="2" fillId="2" borderId="7" xfId="10" applyNumberFormat="1" applyAlignment="1">
      <alignment horizontal="right" vertical="center"/>
    </xf>
    <xf numFmtId="0" fontId="3" fillId="13" borderId="0" xfId="0" applyFont="1" applyAlignment="1">
      <alignment vertical="center"/>
    </xf>
    <xf numFmtId="4" fontId="2" fillId="2" borderId="7" xfId="10" applyNumberFormat="1" applyAlignment="1">
      <alignment horizontal="right" vertical="center"/>
    </xf>
    <xf numFmtId="0" fontId="4" fillId="13" borderId="0" xfId="0" applyFont="1" applyAlignment="1">
      <alignment vertical="center"/>
    </xf>
    <xf numFmtId="4" fontId="1" fillId="15" borderId="14" xfId="11" applyNumberFormat="1" applyFont="1" applyAlignment="1">
      <alignment horizontal="right" vertical="center"/>
    </xf>
    <xf numFmtId="0" fontId="2" fillId="15" borderId="14" xfId="11" applyNumberFormat="1" applyFont="1" applyAlignment="1">
      <alignment horizontal="left" vertical="center"/>
    </xf>
    <xf numFmtId="4" fontId="1" fillId="15" borderId="14" xfId="11" applyNumberFormat="1" applyFont="1" applyAlignment="1">
      <alignment horizontal="right" vertical="center" wrapText="1"/>
    </xf>
    <xf numFmtId="4" fontId="17" fillId="15" borderId="14" xfId="11" applyNumberFormat="1" applyFont="1" applyAlignment="1">
      <alignment horizontal="right" vertical="center"/>
    </xf>
    <xf numFmtId="4" fontId="2" fillId="15" borderId="14" xfId="11" applyNumberFormat="1" applyFont="1" applyAlignment="1">
      <alignment horizontal="right" vertical="center"/>
    </xf>
    <xf numFmtId="49" fontId="1" fillId="15" borderId="14" xfId="11" applyNumberFormat="1" applyFont="1" applyAlignment="1">
      <alignment horizontal="right" vertical="center"/>
    </xf>
    <xf numFmtId="2" fontId="1" fillId="11" borderId="6" xfId="6" applyNumberFormat="1" applyAlignment="1">
      <alignment horizontal="right" vertical="center" wrapText="1"/>
      <protection locked="0"/>
    </xf>
    <xf numFmtId="4" fontId="1" fillId="15" borderId="14" xfId="11" applyNumberFormat="1" applyFont="1" applyAlignment="1">
      <alignment horizontal="left" vertical="center"/>
    </xf>
    <xf numFmtId="0" fontId="1" fillId="15" borderId="14" xfId="11" applyNumberFormat="1" applyFont="1" applyAlignment="1">
      <alignment horizontal="left" vertical="center" indent="2"/>
    </xf>
    <xf numFmtId="0" fontId="17" fillId="15" borderId="14" xfId="11" applyNumberFormat="1" applyFont="1" applyAlignment="1">
      <alignment horizontal="left" vertical="center"/>
    </xf>
    <xf numFmtId="0" fontId="1" fillId="2" borderId="1" xfId="0" applyFont="1" applyFill="1" applyBorder="1" applyAlignment="1">
      <alignment horizontal="right" vertical="center"/>
    </xf>
    <xf numFmtId="0" fontId="5" fillId="15" borderId="14" xfId="11" applyNumberFormat="1" applyFont="1" applyAlignment="1">
      <alignment horizontal="right" vertical="center"/>
    </xf>
    <xf numFmtId="0" fontId="4" fillId="13" borderId="0" xfId="1" applyAlignment="1">
      <alignment vertical="center"/>
    </xf>
    <xf numFmtId="0" fontId="1" fillId="15" borderId="14" xfId="11" applyNumberFormat="1" applyFont="1" applyAlignment="1">
      <alignment horizontal="left" vertical="center" indent="1"/>
    </xf>
    <xf numFmtId="9" fontId="11" fillId="14" borderId="8" xfId="13" applyNumberFormat="1" applyAlignment="1">
      <alignment horizontal="right" vertical="center"/>
    </xf>
    <xf numFmtId="9" fontId="1" fillId="15" borderId="14" xfId="11" applyNumberFormat="1" applyFont="1" applyAlignment="1">
      <alignment horizontal="right" vertical="center"/>
    </xf>
    <xf numFmtId="9" fontId="17" fillId="2" borderId="29" xfId="12" applyNumberFormat="1" applyAlignment="1">
      <alignment horizontal="right" vertical="center"/>
    </xf>
    <xf numFmtId="3" fontId="17" fillId="2" borderId="29" xfId="12" applyNumberFormat="1" applyAlignment="1">
      <alignment horizontal="right" vertical="center"/>
    </xf>
    <xf numFmtId="9" fontId="1" fillId="11" borderId="6" xfId="6" applyNumberFormat="1" applyAlignment="1">
      <alignment horizontal="right" vertical="center"/>
      <protection locked="0"/>
    </xf>
    <xf numFmtId="49" fontId="1" fillId="15" borderId="14" xfId="11" applyNumberFormat="1" applyFont="1" applyAlignment="1">
      <alignment horizontal="left" vertical="center"/>
    </xf>
    <xf numFmtId="0" fontId="17" fillId="2" borderId="29" xfId="12" applyNumberFormat="1" applyAlignment="1">
      <alignment horizontal="right" vertical="center"/>
    </xf>
    <xf numFmtId="0" fontId="0" fillId="15" borderId="14" xfId="11" applyFont="1" applyAlignment="1">
      <alignment vertical="center"/>
    </xf>
    <xf numFmtId="9" fontId="1" fillId="15" borderId="14" xfId="11" applyNumberFormat="1" applyFont="1" applyAlignment="1">
      <alignment horizontal="left" vertical="center"/>
    </xf>
    <xf numFmtId="0" fontId="1" fillId="11" borderId="6" xfId="6" applyNumberFormat="1" applyAlignment="1">
      <alignment horizontal="right" vertical="center"/>
      <protection locked="0"/>
    </xf>
    <xf numFmtId="0" fontId="1" fillId="15" borderId="14" xfId="11" applyNumberFormat="1" applyFont="1" applyAlignment="1">
      <alignment horizontal="left" vertical="center" wrapText="1"/>
    </xf>
    <xf numFmtId="9" fontId="1" fillId="15" borderId="14" xfId="11" applyNumberFormat="1" applyFont="1" applyAlignment="1">
      <alignment horizontal="left" vertical="center" wrapText="1"/>
    </xf>
    <xf numFmtId="0" fontId="1" fillId="15" borderId="14" xfId="11" quotePrefix="1" applyNumberFormat="1" applyFont="1" applyAlignment="1">
      <alignment horizontal="left" vertical="center"/>
    </xf>
    <xf numFmtId="0" fontId="2" fillId="2" borderId="1" xfId="1" applyNumberFormat="1" applyFont="1" applyFill="1" applyBorder="1" applyAlignment="1" applyProtection="1">
      <alignment horizontal="left" vertical="center"/>
    </xf>
    <xf numFmtId="170" fontId="2" fillId="2" borderId="7" xfId="10" applyNumberFormat="1" applyAlignment="1">
      <alignment horizontal="right" vertical="center"/>
    </xf>
    <xf numFmtId="0" fontId="6" fillId="2" borderId="1" xfId="0" applyNumberFormat="1" applyFont="1" applyFill="1" applyBorder="1" applyAlignment="1" applyProtection="1">
      <alignment horizontal="right" vertical="center"/>
    </xf>
    <xf numFmtId="0" fontId="6" fillId="2" borderId="1" xfId="0" applyNumberFormat="1" applyFont="1" applyFill="1" applyBorder="1" applyAlignment="1" applyProtection="1">
      <alignment vertical="center"/>
    </xf>
    <xf numFmtId="0" fontId="6" fillId="2" borderId="1" xfId="0" applyNumberFormat="1" applyFont="1" applyFill="1" applyBorder="1" applyAlignment="1" applyProtection="1">
      <alignment horizontal="left" vertical="center"/>
    </xf>
    <xf numFmtId="0" fontId="2" fillId="3" borderId="7" xfId="8" applyNumberFormat="1" applyAlignment="1">
      <alignment horizontal="center" vertical="center"/>
    </xf>
    <xf numFmtId="4" fontId="2" fillId="10" borderId="14" xfId="14" applyNumberFormat="1" applyAlignment="1">
      <alignment horizontal="right" vertical="center"/>
    </xf>
    <xf numFmtId="0" fontId="1" fillId="13" borderId="0" xfId="1" applyFont="1" applyAlignment="1">
      <alignment vertical="center"/>
    </xf>
    <xf numFmtId="0" fontId="2" fillId="3" borderId="7" xfId="8" applyNumberFormat="1" applyAlignment="1">
      <alignment horizontal="left" vertical="center"/>
    </xf>
    <xf numFmtId="4" fontId="2" fillId="3" borderId="7" xfId="8" applyNumberFormat="1" applyAlignment="1">
      <alignment horizontal="left" vertical="center"/>
    </xf>
    <xf numFmtId="0" fontId="4" fillId="15" borderId="14" xfId="11" applyFont="1" applyAlignment="1">
      <alignment vertical="center"/>
    </xf>
    <xf numFmtId="0" fontId="8" fillId="13" borderId="0" xfId="1" applyFont="1" applyAlignment="1">
      <alignment vertical="center"/>
    </xf>
    <xf numFmtId="0" fontId="4" fillId="13" borderId="0" xfId="1" applyFont="1" applyAlignment="1">
      <alignment vertical="center"/>
    </xf>
    <xf numFmtId="0" fontId="4" fillId="0" borderId="0" xfId="1" applyFont="1" applyFill="1" applyAlignment="1">
      <alignment vertical="center"/>
    </xf>
    <xf numFmtId="0" fontId="2" fillId="15" borderId="14" xfId="11" applyNumberFormat="1" applyFont="1" applyAlignment="1">
      <alignment horizontal="right" vertical="center"/>
    </xf>
    <xf numFmtId="4" fontId="4" fillId="13" borderId="0" xfId="1" applyNumberFormat="1" applyAlignment="1">
      <alignment vertical="center"/>
    </xf>
    <xf numFmtId="0" fontId="2" fillId="15" borderId="9" xfId="11" applyNumberFormat="1" applyFont="1" applyBorder="1" applyAlignment="1">
      <alignment horizontal="right" vertical="center"/>
    </xf>
    <xf numFmtId="0" fontId="0" fillId="15" borderId="14" xfId="11" applyNumberFormat="1" applyFont="1" applyAlignment="1">
      <alignment horizontal="left" vertical="center"/>
    </xf>
    <xf numFmtId="9" fontId="11" fillId="14" borderId="8" xfId="13" applyNumberFormat="1" applyAlignment="1">
      <alignment vertical="center"/>
    </xf>
    <xf numFmtId="9" fontId="1" fillId="11" borderId="6" xfId="6" applyNumberFormat="1" applyAlignment="1">
      <alignment horizontal="right" vertical="center" wrapText="1"/>
      <protection locked="0"/>
    </xf>
    <xf numFmtId="4" fontId="1" fillId="10" borderId="16" xfId="14" applyNumberFormat="1" applyFont="1" applyBorder="1" applyAlignment="1">
      <alignment horizontal="right" vertical="center"/>
    </xf>
    <xf numFmtId="4" fontId="1" fillId="10" borderId="14" xfId="14" applyNumberFormat="1" applyFont="1" applyAlignment="1">
      <alignment horizontal="right" vertical="center"/>
    </xf>
    <xf numFmtId="4" fontId="1" fillId="2" borderId="7" xfId="10" applyNumberFormat="1" applyFont="1" applyAlignment="1">
      <alignment horizontal="right" vertical="center"/>
    </xf>
    <xf numFmtId="0" fontId="9" fillId="13" borderId="0" xfId="1" applyFont="1" applyAlignment="1">
      <alignment vertical="center"/>
    </xf>
    <xf numFmtId="0" fontId="1" fillId="15" borderId="14" xfId="11" applyNumberFormat="1" applyAlignment="1">
      <alignment horizontal="left" vertical="center"/>
    </xf>
    <xf numFmtId="170" fontId="17" fillId="2" borderId="29" xfId="12" applyNumberFormat="1" applyAlignment="1">
      <alignment horizontal="right" vertical="center"/>
    </xf>
    <xf numFmtId="170" fontId="11" fillId="14" borderId="8" xfId="13" applyNumberFormat="1" applyAlignment="1">
      <alignment horizontal="right" vertical="center"/>
    </xf>
    <xf numFmtId="4" fontId="12" fillId="0" borderId="1" xfId="1" applyNumberFormat="1" applyFont="1" applyFill="1" applyBorder="1" applyAlignment="1" applyProtection="1">
      <alignment horizontal="right" vertical="center"/>
    </xf>
    <xf numFmtId="0" fontId="1" fillId="13" borderId="0" xfId="1" applyFont="1" applyAlignment="1">
      <alignment horizontal="center" vertical="center"/>
    </xf>
    <xf numFmtId="169" fontId="1" fillId="13" borderId="0" xfId="1" applyNumberFormat="1" applyFont="1" applyAlignment="1">
      <alignment horizontal="center" vertical="center"/>
    </xf>
    <xf numFmtId="171" fontId="1" fillId="13" borderId="0" xfId="1" applyNumberFormat="1" applyFont="1" applyAlignment="1">
      <alignment horizontal="center" vertical="center"/>
    </xf>
    <xf numFmtId="4" fontId="1" fillId="13" borderId="0" xfId="1" applyNumberFormat="1" applyFont="1" applyAlignment="1">
      <alignment horizontal="right" vertical="center"/>
    </xf>
    <xf numFmtId="0" fontId="2" fillId="7" borderId="0" xfId="1" applyFont="1" applyFill="1" applyAlignment="1">
      <alignment vertical="center"/>
    </xf>
    <xf numFmtId="0" fontId="1" fillId="7" borderId="0" xfId="1" applyFont="1" applyFill="1" applyAlignment="1">
      <alignment vertical="center"/>
    </xf>
    <xf numFmtId="171" fontId="1" fillId="13" borderId="0" xfId="1" applyNumberFormat="1" applyFont="1" applyAlignment="1">
      <alignment horizontal="left" vertical="center"/>
    </xf>
    <xf numFmtId="0" fontId="1" fillId="11" borderId="6" xfId="6" applyNumberFormat="1" applyAlignment="1">
      <alignment horizontal="center" vertical="center"/>
      <protection locked="0"/>
    </xf>
    <xf numFmtId="172" fontId="1" fillId="11" borderId="6" xfId="6" applyNumberFormat="1" applyAlignment="1">
      <alignment horizontal="center" vertical="center"/>
      <protection locked="0"/>
    </xf>
    <xf numFmtId="9" fontId="1" fillId="11" borderId="6" xfId="6" applyNumberFormat="1" applyAlignment="1">
      <alignment horizontal="center" vertical="center"/>
      <protection locked="0"/>
    </xf>
    <xf numFmtId="169" fontId="1" fillId="11" borderId="6" xfId="6" applyNumberFormat="1" applyAlignment="1">
      <alignment horizontal="center" vertical="center"/>
      <protection locked="0"/>
    </xf>
    <xf numFmtId="171" fontId="1" fillId="11" borderId="6" xfId="6" applyNumberFormat="1" applyAlignment="1">
      <alignment horizontal="center" vertical="center"/>
      <protection locked="0"/>
    </xf>
    <xf numFmtId="0" fontId="2" fillId="2" borderId="7" xfId="10" applyNumberFormat="1" applyAlignment="1">
      <alignment horizontal="center" vertical="center"/>
    </xf>
    <xf numFmtId="172" fontId="2" fillId="2" borderId="7" xfId="10" applyNumberFormat="1" applyAlignment="1">
      <alignment horizontal="center" vertical="center"/>
    </xf>
    <xf numFmtId="9" fontId="2" fillId="2" borderId="7" xfId="10" applyNumberFormat="1" applyAlignment="1">
      <alignment horizontal="center" vertical="center"/>
    </xf>
    <xf numFmtId="169" fontId="2" fillId="2" borderId="7" xfId="10" applyNumberFormat="1" applyAlignment="1">
      <alignment horizontal="center" vertical="center"/>
    </xf>
    <xf numFmtId="171" fontId="2" fillId="2" borderId="7" xfId="10" applyNumberFormat="1" applyAlignment="1">
      <alignment horizontal="center" vertical="center"/>
    </xf>
    <xf numFmtId="4" fontId="2" fillId="2" borderId="7" xfId="10" applyNumberFormat="1" applyAlignment="1">
      <alignment horizontal="center" vertical="center"/>
    </xf>
    <xf numFmtId="0" fontId="1" fillId="15" borderId="14" xfId="11" applyNumberFormat="1" applyFont="1" applyAlignment="1">
      <alignment horizontal="center" vertical="center"/>
    </xf>
    <xf numFmtId="172" fontId="1" fillId="15" borderId="14" xfId="11" applyNumberFormat="1" applyFont="1" applyAlignment="1">
      <alignment horizontal="center" vertical="center"/>
    </xf>
    <xf numFmtId="9" fontId="1" fillId="15" borderId="14" xfId="11" applyNumberFormat="1" applyFont="1" applyAlignment="1">
      <alignment horizontal="center" vertical="center"/>
    </xf>
    <xf numFmtId="169" fontId="1" fillId="15" borderId="14" xfId="11" applyNumberFormat="1" applyFont="1" applyAlignment="1">
      <alignment horizontal="center" vertical="center"/>
    </xf>
    <xf numFmtId="171" fontId="1" fillId="15" borderId="14" xfId="11" applyNumberFormat="1" applyFont="1" applyAlignment="1">
      <alignment horizontal="center" vertical="center"/>
    </xf>
    <xf numFmtId="4" fontId="1" fillId="15" borderId="14" xfId="11" applyNumberFormat="1" applyFont="1" applyAlignment="1">
      <alignment horizontal="center" vertical="center"/>
    </xf>
    <xf numFmtId="0" fontId="2" fillId="2" borderId="7" xfId="10" applyAlignment="1">
      <alignment horizontal="center" vertical="center"/>
    </xf>
    <xf numFmtId="0" fontId="2" fillId="2" borderId="7" xfId="10" applyNumberFormat="1" applyAlignment="1">
      <alignment horizontal="center" vertical="center" wrapText="1"/>
    </xf>
    <xf numFmtId="169" fontId="2" fillId="2" borderId="7" xfId="10" applyNumberFormat="1" applyAlignment="1">
      <alignment horizontal="center" vertical="center" wrapText="1"/>
    </xf>
    <xf numFmtId="171" fontId="2" fillId="2" borderId="7" xfId="10" applyNumberFormat="1" applyAlignment="1">
      <alignment horizontal="center" vertical="center" wrapText="1"/>
    </xf>
    <xf numFmtId="0" fontId="1" fillId="5" borderId="6" xfId="0" applyNumberFormat="1" applyFont="1" applyFill="1" applyBorder="1" applyAlignment="1" applyProtection="1">
      <alignment horizontal="right" vertical="center"/>
    </xf>
    <xf numFmtId="0" fontId="10" fillId="13" borderId="0" xfId="0" applyFont="1" applyAlignment="1">
      <alignment horizontal="center" vertical="center"/>
    </xf>
    <xf numFmtId="1" fontId="17" fillId="2" borderId="29" xfId="12" applyNumberFormat="1" applyFont="1" applyAlignment="1">
      <alignment horizontal="right" vertical="center"/>
    </xf>
    <xf numFmtId="2" fontId="1" fillId="11" borderId="6" xfId="6" applyNumberFormat="1" applyFont="1" applyAlignment="1">
      <alignment horizontal="right" vertical="center" wrapText="1"/>
      <protection locked="0"/>
    </xf>
    <xf numFmtId="0" fontId="3" fillId="13" borderId="0" xfId="1" applyFont="1" applyAlignment="1">
      <alignment vertical="center"/>
    </xf>
    <xf numFmtId="4" fontId="17" fillId="10" borderId="14" xfId="14" applyNumberFormat="1" applyFont="1" applyAlignment="1">
      <alignment horizontal="right" vertical="center"/>
    </xf>
    <xf numFmtId="4" fontId="6" fillId="10" borderId="14" xfId="14" applyNumberFormat="1" applyFont="1" applyAlignment="1">
      <alignment horizontal="right" vertical="center"/>
    </xf>
    <xf numFmtId="4" fontId="6" fillId="9" borderId="14" xfId="16" applyNumberFormat="1" applyFont="1" applyAlignment="1">
      <alignment horizontal="right" vertical="center"/>
    </xf>
    <xf numFmtId="4" fontId="2" fillId="9" borderId="14" xfId="16" applyNumberFormat="1" applyFont="1" applyAlignment="1">
      <alignment horizontal="right" vertical="center"/>
    </xf>
    <xf numFmtId="4" fontId="1" fillId="9" borderId="14" xfId="16" applyNumberFormat="1" applyFont="1" applyAlignment="1">
      <alignment horizontal="right" vertical="center"/>
    </xf>
    <xf numFmtId="4" fontId="17" fillId="9" borderId="14" xfId="16" applyNumberFormat="1" applyFont="1" applyAlignment="1">
      <alignment horizontal="right" vertical="center"/>
    </xf>
    <xf numFmtId="0" fontId="6" fillId="15" borderId="14" xfId="11" applyNumberFormat="1" applyFont="1" applyAlignment="1">
      <alignment horizontal="left" vertical="center"/>
    </xf>
    <xf numFmtId="49" fontId="0" fillId="12" borderId="6" xfId="5" applyNumberFormat="1" applyFont="1" applyAlignment="1">
      <alignment horizontal="center" vertical="center" wrapText="1"/>
      <protection locked="0"/>
    </xf>
    <xf numFmtId="4" fontId="1" fillId="6" borderId="10" xfId="0" applyNumberFormat="1" applyFont="1" applyFill="1" applyBorder="1" applyAlignment="1" applyProtection="1">
      <alignment horizontal="right" vertical="center" wrapText="1"/>
    </xf>
    <xf numFmtId="3" fontId="1" fillId="0" borderId="10" xfId="0" applyNumberFormat="1" applyFont="1" applyFill="1" applyBorder="1" applyAlignment="1" applyProtection="1">
      <alignment horizontal="right" vertical="center" wrapText="1"/>
    </xf>
    <xf numFmtId="4" fontId="1" fillId="10" borderId="14" xfId="14" applyNumberFormat="1" applyFont="1" applyAlignment="1">
      <alignment horizontal="right" vertical="center" wrapText="1"/>
    </xf>
    <xf numFmtId="3" fontId="1" fillId="0" borderId="10" xfId="0" applyNumberFormat="1" applyFont="1" applyFill="1" applyBorder="1" applyAlignment="1" applyProtection="1">
      <alignment horizontal="left" vertical="center" wrapText="1"/>
    </xf>
    <xf numFmtId="3" fontId="2" fillId="15" borderId="14" xfId="11" applyNumberFormat="1" applyFont="1" applyAlignment="1">
      <alignment horizontal="right" vertical="center" wrapText="1"/>
    </xf>
    <xf numFmtId="4" fontId="1" fillId="11" borderId="6" xfId="6" applyNumberFormat="1" applyFont="1" applyAlignment="1">
      <alignment horizontal="right" vertical="center"/>
      <protection locked="0"/>
    </xf>
    <xf numFmtId="0" fontId="1" fillId="15" borderId="25" xfId="11" applyNumberFormat="1" applyFont="1" applyBorder="1" applyAlignment="1">
      <alignment horizontal="left" vertical="center"/>
    </xf>
    <xf numFmtId="0" fontId="2" fillId="15" borderId="25" xfId="11" applyNumberFormat="1" applyFont="1" applyBorder="1" applyAlignment="1">
      <alignment horizontal="left" vertical="center"/>
    </xf>
    <xf numFmtId="4" fontId="2" fillId="2" borderId="7" xfId="10" applyNumberFormat="1" applyFont="1" applyAlignment="1">
      <alignment horizontal="right" vertical="center"/>
    </xf>
    <xf numFmtId="0" fontId="2" fillId="2" borderId="7" xfId="10" applyNumberFormat="1" applyFont="1" applyAlignment="1">
      <alignment horizontal="left" vertical="center"/>
    </xf>
    <xf numFmtId="10" fontId="17" fillId="10" borderId="14" xfId="14" applyNumberFormat="1" applyFont="1" applyAlignment="1">
      <alignment horizontal="right" vertical="center"/>
    </xf>
    <xf numFmtId="2" fontId="17" fillId="10" borderId="14" xfId="14" applyNumberFormat="1" applyFont="1" applyAlignment="1">
      <alignment horizontal="right" vertical="center"/>
    </xf>
    <xf numFmtId="4" fontId="17" fillId="6" borderId="10" xfId="0" applyNumberFormat="1" applyFont="1" applyFill="1" applyBorder="1" applyAlignment="1" applyProtection="1">
      <alignment horizontal="right" vertical="center" wrapText="1"/>
    </xf>
    <xf numFmtId="0" fontId="1" fillId="11" borderId="6" xfId="6" applyNumberFormat="1" applyAlignment="1">
      <alignment vertical="center"/>
      <protection locked="0"/>
    </xf>
    <xf numFmtId="1" fontId="0" fillId="13" borderId="0" xfId="0" applyNumberFormat="1" applyFont="1" applyAlignment="1">
      <alignment horizontal="left"/>
    </xf>
    <xf numFmtId="0" fontId="0" fillId="13" borderId="0" xfId="0" applyFont="1" applyBorder="1" applyAlignment="1">
      <alignment wrapText="1"/>
    </xf>
    <xf numFmtId="0" fontId="0" fillId="13" borderId="0" xfId="0" applyFont="1">
      <alignment vertical="center"/>
    </xf>
    <xf numFmtId="0" fontId="2" fillId="13" borderId="0" xfId="0" applyFont="1" applyAlignment="1">
      <alignment wrapText="1"/>
    </xf>
    <xf numFmtId="0" fontId="0" fillId="13" borderId="0" xfId="0" applyFont="1" applyAlignment="1">
      <alignment wrapText="1"/>
    </xf>
    <xf numFmtId="0" fontId="2" fillId="0" borderId="0" xfId="0" applyNumberFormat="1" applyFont="1" applyFill="1" applyBorder="1" applyAlignment="1" applyProtection="1">
      <alignment horizontal="left" vertical="top"/>
    </xf>
    <xf numFmtId="0" fontId="25" fillId="13" borderId="0" xfId="0" applyFont="1" applyAlignment="1">
      <alignment wrapText="1"/>
    </xf>
    <xf numFmtId="0" fontId="18" fillId="13" borderId="0" xfId="0" applyFont="1">
      <alignment vertical="center"/>
    </xf>
    <xf numFmtId="2" fontId="18" fillId="13" borderId="0" xfId="0" applyNumberFormat="1" applyFont="1" applyBorder="1" applyAlignment="1">
      <alignment wrapText="1"/>
    </xf>
    <xf numFmtId="9" fontId="0" fillId="13" borderId="0" xfId="0" applyNumberFormat="1" applyFont="1">
      <alignment vertical="center"/>
    </xf>
    <xf numFmtId="0" fontId="0" fillId="13" borderId="0" xfId="0" applyFont="1" applyBorder="1" applyAlignment="1"/>
    <xf numFmtId="0" fontId="0" fillId="0" borderId="0" xfId="0" applyFont="1" applyFill="1">
      <alignment vertical="center"/>
    </xf>
    <xf numFmtId="0" fontId="26" fillId="13" borderId="11" xfId="0" applyFont="1" applyBorder="1">
      <alignment vertical="center"/>
    </xf>
    <xf numFmtId="0" fontId="2" fillId="13" borderId="0" xfId="0" applyFont="1" applyBorder="1">
      <alignment vertical="center"/>
    </xf>
    <xf numFmtId="0" fontId="0" fillId="13" borderId="18" xfId="0" applyFont="1" applyBorder="1">
      <alignment vertical="center"/>
    </xf>
    <xf numFmtId="0" fontId="0" fillId="13" borderId="0" xfId="0" applyFont="1" applyBorder="1">
      <alignment vertical="center"/>
    </xf>
    <xf numFmtId="0" fontId="0" fillId="13" borderId="0" xfId="0">
      <alignment vertical="center"/>
    </xf>
    <xf numFmtId="0" fontId="1" fillId="15" borderId="14" xfId="11" applyNumberFormat="1" applyFont="1" applyAlignment="1">
      <alignment horizontal="left" vertical="center"/>
    </xf>
    <xf numFmtId="2" fontId="2" fillId="10" borderId="14" xfId="14" applyNumberFormat="1" applyAlignment="1">
      <alignment horizontal="right" vertical="center" wrapText="1"/>
    </xf>
    <xf numFmtId="0" fontId="26" fillId="0" borderId="11" xfId="0" applyFont="1" applyFill="1" applyBorder="1">
      <alignment vertical="center"/>
    </xf>
    <xf numFmtId="10" fontId="1" fillId="11" borderId="6" xfId="6" applyNumberFormat="1" applyAlignment="1">
      <alignment vertical="center"/>
      <protection locked="0"/>
    </xf>
    <xf numFmtId="9" fontId="2" fillId="0" borderId="0" xfId="0" applyNumberFormat="1" applyFont="1" applyFill="1">
      <alignment vertical="center"/>
    </xf>
    <xf numFmtId="0" fontId="2" fillId="3" borderId="29" xfId="22" applyBorder="1" applyAlignment="1">
      <alignment vertical="center"/>
    </xf>
    <xf numFmtId="0" fontId="2" fillId="3" borderId="29" xfId="8" applyBorder="1" applyAlignment="1">
      <alignment vertical="center"/>
    </xf>
    <xf numFmtId="169" fontId="11" fillId="14" borderId="8" xfId="13" applyNumberFormat="1" applyAlignment="1">
      <alignment vertical="center"/>
    </xf>
    <xf numFmtId="0" fontId="11" fillId="14" borderId="8" xfId="13" applyNumberFormat="1" applyAlignment="1">
      <alignment vertical="center"/>
    </xf>
    <xf numFmtId="2" fontId="11" fillId="14" borderId="8" xfId="13" applyNumberFormat="1" applyAlignment="1">
      <alignment vertical="center"/>
    </xf>
    <xf numFmtId="0" fontId="1" fillId="15" borderId="14" xfId="11" applyFont="1" applyAlignment="1">
      <alignment horizontal="center" vertical="center"/>
    </xf>
    <xf numFmtId="0" fontId="0" fillId="0" borderId="1" xfId="0" applyNumberFormat="1" applyFont="1" applyFill="1" applyBorder="1" applyAlignment="1" applyProtection="1">
      <alignment horizontal="left" vertical="top"/>
    </xf>
    <xf numFmtId="0" fontId="0" fillId="0" borderId="1" xfId="0" applyNumberFormat="1" applyFont="1" applyFill="1" applyBorder="1" applyAlignment="1" applyProtection="1">
      <alignment horizontal="left" vertical="top" indent="1"/>
    </xf>
    <xf numFmtId="0" fontId="1" fillId="15" borderId="14" xfId="11" applyNumberFormat="1" applyFont="1" applyAlignment="1">
      <alignment horizontal="left" vertical="center" wrapText="1" indent="1"/>
    </xf>
    <xf numFmtId="0" fontId="2" fillId="2" borderId="7" xfId="10" applyFont="1" applyAlignment="1">
      <alignment horizontal="left" vertical="center"/>
    </xf>
    <xf numFmtId="0" fontId="2" fillId="2" borderId="7" xfId="10" applyFont="1" applyAlignment="1">
      <alignment horizontal="right" vertical="center"/>
    </xf>
    <xf numFmtId="0" fontId="2" fillId="0" borderId="28" xfId="0" applyNumberFormat="1" applyFont="1" applyFill="1" applyBorder="1" applyAlignment="1" applyProtection="1">
      <alignment horizontal="left" vertical="top"/>
    </xf>
    <xf numFmtId="0" fontId="0" fillId="0" borderId="33" xfId="0" applyNumberFormat="1" applyFont="1" applyFill="1" applyBorder="1" applyAlignment="1" applyProtection="1">
      <alignment horizontal="left" vertical="top"/>
    </xf>
    <xf numFmtId="2" fontId="0" fillId="9" borderId="14" xfId="16" applyNumberFormat="1" applyFont="1" applyAlignment="1">
      <alignment vertical="center"/>
    </xf>
    <xf numFmtId="2" fontId="0" fillId="10" borderId="14" xfId="14" applyNumberFormat="1" applyFont="1" applyAlignment="1">
      <alignment vertical="center"/>
    </xf>
    <xf numFmtId="0" fontId="0" fillId="15" borderId="14" xfId="11" applyFont="1" applyAlignment="1">
      <alignment horizontal="left" vertical="center"/>
    </xf>
    <xf numFmtId="0" fontId="1" fillId="16" borderId="34" xfId="27" applyFont="1" applyBorder="1" applyAlignment="1">
      <alignment vertical="center"/>
    </xf>
    <xf numFmtId="0" fontId="1" fillId="16" borderId="35" xfId="27" applyFont="1" applyBorder="1" applyAlignment="1">
      <alignment vertical="center"/>
    </xf>
    <xf numFmtId="0" fontId="1" fillId="16" borderId="36" xfId="27" applyFont="1" applyBorder="1" applyAlignment="1">
      <alignment vertical="center"/>
    </xf>
    <xf numFmtId="0" fontId="1" fillId="16" borderId="37" xfId="27" applyFont="1" applyBorder="1" applyAlignment="1">
      <alignment vertical="center"/>
    </xf>
    <xf numFmtId="0" fontId="27" fillId="16" borderId="0" xfId="27" applyFont="1" applyBorder="1" applyAlignment="1">
      <alignment vertical="center"/>
    </xf>
    <xf numFmtId="0" fontId="1" fillId="16" borderId="0" xfId="27" applyFont="1" applyBorder="1" applyAlignment="1">
      <alignment vertical="center"/>
    </xf>
    <xf numFmtId="0" fontId="1" fillId="16" borderId="38" xfId="27" applyFont="1" applyBorder="1" applyAlignment="1">
      <alignment vertical="center"/>
    </xf>
    <xf numFmtId="0" fontId="2" fillId="16" borderId="0" xfId="27" applyFont="1" applyBorder="1" applyAlignment="1">
      <alignment vertical="center"/>
    </xf>
    <xf numFmtId="0" fontId="0" fillId="16" borderId="0" xfId="27" applyFont="1" applyBorder="1" applyAlignment="1">
      <alignment vertical="center"/>
    </xf>
    <xf numFmtId="14" fontId="1" fillId="16" borderId="0" xfId="27" applyNumberFormat="1" applyFont="1" applyBorder="1" applyAlignment="1">
      <alignment vertical="center"/>
    </xf>
    <xf numFmtId="0" fontId="1" fillId="16" borderId="0" xfId="27" applyFont="1" applyBorder="1" applyAlignment="1">
      <alignment vertical="center"/>
    </xf>
    <xf numFmtId="0" fontId="1" fillId="16" borderId="0" xfId="27" applyFont="1" applyBorder="1" applyAlignment="1">
      <alignment vertical="top"/>
    </xf>
    <xf numFmtId="0" fontId="28" fillId="16" borderId="0" xfId="27" applyFont="1" applyAlignment="1">
      <alignment horizontal="center" vertical="center"/>
    </xf>
    <xf numFmtId="0" fontId="24" fillId="16" borderId="0" xfId="27" applyFont="1" applyBorder="1" applyAlignment="1">
      <alignment vertical="center"/>
    </xf>
    <xf numFmtId="0" fontId="28" fillId="16" borderId="0" xfId="27" applyFont="1" applyAlignment="1">
      <alignment vertical="center"/>
    </xf>
    <xf numFmtId="0" fontId="1" fillId="16" borderId="39" xfId="27" applyFont="1" applyBorder="1" applyAlignment="1">
      <alignment vertical="center"/>
    </xf>
    <xf numFmtId="0" fontId="0" fillId="16" borderId="40" xfId="27" applyFont="1" applyBorder="1" applyAlignment="1">
      <alignment vertical="center" wrapText="1"/>
    </xf>
    <xf numFmtId="0" fontId="1" fillId="16" borderId="41" xfId="27" applyFont="1" applyBorder="1" applyAlignment="1">
      <alignment vertical="center"/>
    </xf>
    <xf numFmtId="0" fontId="0" fillId="16" borderId="35" xfId="27" applyFont="1" applyBorder="1" applyAlignment="1">
      <alignment vertical="center" wrapText="1"/>
    </xf>
    <xf numFmtId="0" fontId="2" fillId="2" borderId="29" xfId="17" applyBorder="1" applyAlignment="1">
      <alignment vertical="center"/>
    </xf>
    <xf numFmtId="2" fontId="1" fillId="12" borderId="6" xfId="5" applyNumberFormat="1" applyBorder="1" applyAlignment="1">
      <alignment horizontal="right" vertical="center" wrapText="1"/>
      <protection locked="0"/>
    </xf>
    <xf numFmtId="2" fontId="1" fillId="5" borderId="6" xfId="7" applyNumberFormat="1" applyBorder="1" applyAlignment="1">
      <alignment horizontal="right" vertical="center" wrapText="1"/>
      <protection locked="0"/>
    </xf>
    <xf numFmtId="2" fontId="1" fillId="11" borderId="6" xfId="6" applyNumberFormat="1" applyBorder="1" applyAlignment="1">
      <alignment horizontal="right" vertical="center" wrapText="1"/>
      <protection locked="0"/>
    </xf>
    <xf numFmtId="0" fontId="1" fillId="16" borderId="40" xfId="27" applyFont="1" applyBorder="1" applyAlignment="1">
      <alignment vertical="center"/>
    </xf>
    <xf numFmtId="0" fontId="2" fillId="3" borderId="29" xfId="26" applyBorder="1" applyAlignment="1">
      <alignment horizontal="left" vertical="center"/>
    </xf>
    <xf numFmtId="1" fontId="2" fillId="3" borderId="29" xfId="26" applyNumberFormat="1" applyBorder="1" applyAlignment="1">
      <alignment horizontal="center" vertical="center"/>
    </xf>
    <xf numFmtId="0" fontId="2" fillId="3" borderId="29" xfId="26" applyBorder="1" applyAlignment="1">
      <alignment horizontal="center" vertical="center"/>
    </xf>
    <xf numFmtId="169" fontId="2" fillId="3" borderId="29" xfId="26" applyNumberFormat="1" applyBorder="1" applyAlignment="1">
      <alignment horizontal="center" vertical="center"/>
    </xf>
    <xf numFmtId="168" fontId="2" fillId="3" borderId="29" xfId="26" applyNumberFormat="1" applyBorder="1" applyAlignment="1">
      <alignment horizontal="center" vertical="center"/>
    </xf>
    <xf numFmtId="2" fontId="2" fillId="3" borderId="29" xfId="26" applyNumberFormat="1" applyBorder="1" applyAlignment="1">
      <alignment horizontal="right" vertical="center"/>
    </xf>
    <xf numFmtId="2" fontId="2" fillId="3" borderId="29" xfId="26" applyNumberFormat="1" applyBorder="1" applyAlignment="1">
      <alignment horizontal="center" vertical="center"/>
    </xf>
    <xf numFmtId="0" fontId="2" fillId="13" borderId="0" xfId="0" applyFont="1" applyAlignment="1">
      <alignment vertical="center"/>
    </xf>
    <xf numFmtId="0" fontId="2" fillId="3" borderId="29" xfId="28" applyBorder="1" applyAlignment="1">
      <alignment horizontal="left" vertical="center"/>
    </xf>
    <xf numFmtId="1" fontId="2" fillId="3" borderId="29" xfId="28" applyNumberFormat="1" applyBorder="1" applyAlignment="1">
      <alignment horizontal="center" vertical="center"/>
    </xf>
    <xf numFmtId="0" fontId="2" fillId="3" borderId="29" xfId="28" applyBorder="1" applyAlignment="1">
      <alignment horizontal="center" vertical="center"/>
    </xf>
    <xf numFmtId="169" fontId="2" fillId="3" borderId="29" xfId="28" applyNumberFormat="1" applyBorder="1" applyAlignment="1">
      <alignment horizontal="center" vertical="center"/>
    </xf>
    <xf numFmtId="168" fontId="2" fillId="3" borderId="29" xfId="28" applyNumberFormat="1" applyBorder="1" applyAlignment="1">
      <alignment horizontal="center" vertical="center"/>
    </xf>
    <xf numFmtId="2" fontId="2" fillId="3" borderId="29" xfId="28" applyNumberFormat="1" applyBorder="1" applyAlignment="1">
      <alignment horizontal="right" vertical="center"/>
    </xf>
    <xf numFmtId="2" fontId="2" fillId="3" borderId="29" xfId="28" applyNumberFormat="1" applyBorder="1" applyAlignment="1">
      <alignment horizontal="center" vertical="center"/>
    </xf>
    <xf numFmtId="0" fontId="1" fillId="15" borderId="14" xfId="11" applyFont="1" applyAlignment="1">
      <alignment vertical="center"/>
    </xf>
    <xf numFmtId="169" fontId="13" fillId="10" borderId="14" xfId="14" applyNumberFormat="1" applyFont="1" applyAlignment="1">
      <alignment vertical="center"/>
    </xf>
    <xf numFmtId="168" fontId="13" fillId="10" borderId="14" xfId="14" applyNumberFormat="1" applyFont="1" applyAlignment="1">
      <alignment horizontal="center" vertical="center"/>
    </xf>
    <xf numFmtId="2" fontId="13" fillId="10" borderId="14" xfId="14" applyNumberFormat="1" applyFont="1" applyAlignment="1">
      <alignment horizontal="right" vertical="center"/>
    </xf>
    <xf numFmtId="9" fontId="17" fillId="2" borderId="28" xfId="25" applyNumberFormat="1" applyAlignment="1">
      <alignment horizontal="right" vertical="center"/>
    </xf>
    <xf numFmtId="9" fontId="0" fillId="15" borderId="14" xfId="11" applyNumberFormat="1" applyFont="1" applyAlignment="1">
      <alignment horizontal="left" vertical="center"/>
    </xf>
    <xf numFmtId="0" fontId="1" fillId="15" borderId="14" xfId="11" applyFont="1" applyAlignment="1">
      <alignment horizontal="left" vertical="center"/>
    </xf>
    <xf numFmtId="1" fontId="1" fillId="15" borderId="14" xfId="11" applyNumberFormat="1" applyFont="1" applyAlignment="1">
      <alignment horizontal="center" vertical="center"/>
    </xf>
    <xf numFmtId="0" fontId="2" fillId="2" borderId="29" xfId="17" applyBorder="1" applyAlignment="1">
      <alignment horizontal="left" vertical="center"/>
    </xf>
    <xf numFmtId="1" fontId="2" fillId="2" borderId="29" xfId="17" applyNumberFormat="1" applyBorder="1" applyAlignment="1">
      <alignment horizontal="center" vertical="center"/>
    </xf>
    <xf numFmtId="0" fontId="2" fillId="2" borderId="29" xfId="17" applyBorder="1" applyAlignment="1">
      <alignment horizontal="center" vertical="center"/>
    </xf>
    <xf numFmtId="169" fontId="2" fillId="9" borderId="14" xfId="16" applyNumberFormat="1" applyAlignment="1">
      <alignment vertical="center"/>
    </xf>
    <xf numFmtId="168" fontId="2" fillId="9" borderId="14" xfId="16" applyNumberFormat="1" applyAlignment="1">
      <alignment horizontal="center" vertical="center"/>
    </xf>
    <xf numFmtId="0" fontId="13" fillId="10" borderId="14" xfId="14" applyNumberFormat="1" applyFont="1" applyAlignment="1">
      <alignment vertical="center"/>
    </xf>
    <xf numFmtId="0" fontId="13" fillId="10" borderId="14" xfId="14" applyNumberFormat="1" applyFont="1" applyAlignment="1">
      <alignment horizontal="right" vertical="center"/>
    </xf>
    <xf numFmtId="1" fontId="0" fillId="13" borderId="0" xfId="0" applyNumberFormat="1" applyAlignment="1">
      <alignment vertical="center"/>
    </xf>
    <xf numFmtId="1" fontId="0" fillId="15" borderId="14" xfId="11" applyNumberFormat="1" applyFont="1" applyAlignment="1">
      <alignment horizontal="left" vertical="center"/>
    </xf>
    <xf numFmtId="0" fontId="0" fillId="15" borderId="14" xfId="11" applyFont="1" applyAlignment="1">
      <alignment horizontal="center" vertical="center"/>
    </xf>
    <xf numFmtId="2" fontId="0" fillId="13" borderId="0" xfId="0" applyNumberFormat="1" applyAlignment="1">
      <alignment vertical="center"/>
    </xf>
    <xf numFmtId="0" fontId="0" fillId="13" borderId="0" xfId="0" applyAlignment="1">
      <alignment horizontal="right" vertical="center"/>
    </xf>
    <xf numFmtId="0" fontId="2" fillId="7" borderId="18" xfId="1" applyFont="1" applyFill="1" applyBorder="1" applyAlignment="1">
      <alignment vertical="center"/>
    </xf>
    <xf numFmtId="0" fontId="1" fillId="7" borderId="18" xfId="1" applyFont="1" applyFill="1" applyBorder="1" applyAlignment="1">
      <alignment vertical="center"/>
    </xf>
    <xf numFmtId="169" fontId="1" fillId="7" borderId="18" xfId="1" applyNumberFormat="1" applyFont="1" applyFill="1" applyBorder="1" applyAlignment="1">
      <alignment vertical="center"/>
    </xf>
    <xf numFmtId="0" fontId="2" fillId="3" borderId="0" xfId="28" applyBorder="1" applyAlignment="1">
      <alignment horizontal="left" vertical="center"/>
    </xf>
    <xf numFmtId="2" fontId="2" fillId="3" borderId="0" xfId="28" applyNumberFormat="1" applyBorder="1" applyAlignment="1">
      <alignment horizontal="center" vertical="center"/>
    </xf>
    <xf numFmtId="1" fontId="2" fillId="15" borderId="14" xfId="11" applyNumberFormat="1" applyFont="1" applyAlignment="1">
      <alignment horizontal="center" vertical="center"/>
    </xf>
    <xf numFmtId="0" fontId="2" fillId="15" borderId="14" xfId="11" applyFont="1" applyAlignment="1">
      <alignment horizontal="left" vertical="center"/>
    </xf>
    <xf numFmtId="0" fontId="2" fillId="15" borderId="14" xfId="11" applyFont="1" applyAlignment="1">
      <alignment horizontal="center" vertical="center"/>
    </xf>
    <xf numFmtId="169" fontId="2" fillId="15" borderId="14" xfId="11" applyNumberFormat="1" applyFont="1" applyAlignment="1">
      <alignment horizontal="center" vertical="center"/>
    </xf>
    <xf numFmtId="168" fontId="2" fillId="15" borderId="14" xfId="11" applyNumberFormat="1" applyFont="1" applyAlignment="1">
      <alignment horizontal="center" vertical="center"/>
    </xf>
    <xf numFmtId="2" fontId="2" fillId="15" borderId="14" xfId="11" applyNumberFormat="1" applyFont="1" applyAlignment="1">
      <alignment horizontal="right" vertical="center"/>
    </xf>
    <xf numFmtId="2" fontId="2" fillId="15" borderId="14" xfId="11" applyNumberFormat="1" applyFont="1" applyAlignment="1">
      <alignment horizontal="center" vertical="center"/>
    </xf>
    <xf numFmtId="0" fontId="0" fillId="16" borderId="0" xfId="27" applyFont="1" applyBorder="1" applyAlignment="1">
      <alignment vertical="center" wrapText="1"/>
    </xf>
    <xf numFmtId="0" fontId="2" fillId="3" borderId="7" xfId="8" applyFont="1" applyAlignment="1">
      <alignment vertical="center"/>
    </xf>
    <xf numFmtId="0" fontId="2" fillId="3" borderId="7" xfId="8" applyFont="1" applyAlignment="1">
      <alignment horizontal="left" vertical="center"/>
    </xf>
    <xf numFmtId="0" fontId="2" fillId="2" borderId="7" xfId="10" applyFont="1" applyAlignment="1">
      <alignment vertical="center"/>
    </xf>
    <xf numFmtId="0" fontId="1" fillId="15" borderId="14" xfId="11" applyNumberFormat="1" applyFont="1" applyAlignment="1">
      <alignment vertical="center"/>
    </xf>
    <xf numFmtId="4" fontId="17" fillId="2" borderId="29" xfId="12" applyNumberFormat="1" applyFont="1" applyAlignment="1">
      <alignment horizontal="right" vertical="center"/>
    </xf>
    <xf numFmtId="4" fontId="1" fillId="14" borderId="8" xfId="13" applyNumberFormat="1" applyFont="1" applyAlignment="1">
      <alignment horizontal="right" vertical="center"/>
    </xf>
    <xf numFmtId="0" fontId="2" fillId="2" borderId="7" xfId="10" applyNumberFormat="1" applyFont="1" applyAlignment="1">
      <alignment horizontal="right" vertical="center"/>
    </xf>
    <xf numFmtId="0" fontId="2" fillId="2" borderId="7" xfId="10" applyNumberFormat="1" applyFont="1" applyAlignment="1">
      <alignment vertical="center"/>
    </xf>
    <xf numFmtId="4" fontId="2" fillId="2" borderId="7" xfId="10" applyNumberFormat="1" applyFont="1" applyAlignment="1">
      <alignment horizontal="left" vertical="center"/>
    </xf>
    <xf numFmtId="2" fontId="1" fillId="12" borderId="6" xfId="5" applyNumberFormat="1" applyFont="1" applyAlignment="1">
      <alignment horizontal="right" vertical="center" wrapText="1"/>
      <protection locked="0"/>
    </xf>
    <xf numFmtId="1" fontId="1" fillId="14" borderId="8" xfId="13" applyNumberFormat="1" applyFont="1" applyAlignment="1">
      <alignment horizontal="right" vertical="center"/>
    </xf>
    <xf numFmtId="1" fontId="1" fillId="11" borderId="6" xfId="6" applyNumberFormat="1" applyFont="1" applyAlignment="1">
      <alignment horizontal="right" vertical="center" wrapText="1"/>
      <protection locked="0"/>
    </xf>
    <xf numFmtId="49" fontId="1" fillId="11" borderId="6" xfId="6" applyNumberFormat="1" applyFont="1" applyAlignment="1">
      <alignment horizontal="right" vertical="center" wrapText="1"/>
      <protection locked="0"/>
    </xf>
    <xf numFmtId="49" fontId="1" fillId="14" borderId="8" xfId="13" applyNumberFormat="1" applyFont="1" applyAlignment="1">
      <alignment horizontal="right" vertical="center"/>
    </xf>
    <xf numFmtId="2" fontId="2" fillId="2" borderId="7" xfId="10" applyNumberFormat="1" applyFont="1" applyAlignment="1">
      <alignment horizontal="right" vertical="center" wrapText="1"/>
    </xf>
    <xf numFmtId="2" fontId="17" fillId="2" borderId="29" xfId="12" applyNumberFormat="1" applyFont="1" applyAlignment="1">
      <alignment horizontal="right" vertical="center"/>
    </xf>
    <xf numFmtId="2" fontId="1" fillId="14" borderId="8" xfId="13" applyNumberFormat="1" applyFont="1" applyAlignment="1">
      <alignment horizontal="right" vertical="center"/>
    </xf>
    <xf numFmtId="2" fontId="1" fillId="12" borderId="6" xfId="5" applyNumberFormat="1" applyFont="1" applyAlignment="1">
      <alignment horizontal="right" vertical="center"/>
      <protection locked="0"/>
    </xf>
    <xf numFmtId="4" fontId="1" fillId="12" borderId="6" xfId="5" applyNumberFormat="1" applyFont="1" applyAlignment="1">
      <alignment horizontal="right" vertical="center"/>
      <protection locked="0"/>
    </xf>
    <xf numFmtId="4" fontId="1" fillId="5" borderId="6" xfId="7" applyNumberFormat="1" applyFont="1" applyAlignment="1">
      <alignment horizontal="right" vertical="center"/>
      <protection locked="0"/>
    </xf>
    <xf numFmtId="9" fontId="17" fillId="2" borderId="29" xfId="12" applyNumberFormat="1" applyFont="1" applyAlignment="1">
      <alignment horizontal="right" vertical="center"/>
    </xf>
    <xf numFmtId="9" fontId="1" fillId="14" borderId="8" xfId="13" applyNumberFormat="1" applyFont="1" applyAlignment="1">
      <alignment horizontal="right" vertical="center"/>
    </xf>
    <xf numFmtId="9" fontId="1" fillId="11" borderId="6" xfId="6" applyNumberFormat="1" applyFont="1" applyAlignment="1">
      <alignment horizontal="right" vertical="center"/>
      <protection locked="0"/>
    </xf>
    <xf numFmtId="1" fontId="1" fillId="12" borderId="6" xfId="5" applyNumberFormat="1" applyFont="1" applyAlignment="1">
      <alignment horizontal="right" vertical="center"/>
      <protection locked="0"/>
    </xf>
    <xf numFmtId="49" fontId="2" fillId="2" borderId="7" xfId="10" applyNumberFormat="1" applyFont="1" applyAlignment="1">
      <alignment horizontal="right" vertical="center"/>
    </xf>
    <xf numFmtId="3" fontId="17" fillId="2" borderId="29" xfId="12" applyNumberFormat="1" applyFont="1" applyAlignment="1">
      <alignment horizontal="right" vertical="center"/>
    </xf>
    <xf numFmtId="3" fontId="1" fillId="14" borderId="8" xfId="13" applyNumberFormat="1" applyFont="1" applyAlignment="1">
      <alignment horizontal="right" vertical="center"/>
    </xf>
    <xf numFmtId="3" fontId="1" fillId="12" borderId="6" xfId="5" applyNumberFormat="1" applyFont="1" applyAlignment="1">
      <alignment horizontal="right" vertical="center"/>
      <protection locked="0"/>
    </xf>
    <xf numFmtId="2" fontId="1" fillId="11" borderId="6" xfId="6" applyNumberFormat="1" applyFont="1" applyAlignment="1">
      <alignment horizontal="right" vertical="center"/>
      <protection locked="0"/>
    </xf>
    <xf numFmtId="0" fontId="2" fillId="3" borderId="7" xfId="8" applyFont="1" applyAlignment="1">
      <alignment horizontal="right" vertical="center"/>
    </xf>
    <xf numFmtId="9" fontId="2" fillId="2" borderId="7" xfId="10" applyNumberFormat="1" applyFont="1" applyAlignment="1">
      <alignment horizontal="left" vertical="center"/>
    </xf>
    <xf numFmtId="49" fontId="2" fillId="2" borderId="7" xfId="10" applyNumberFormat="1" applyFont="1" applyAlignment="1">
      <alignment horizontal="left" vertical="center"/>
    </xf>
    <xf numFmtId="0" fontId="17" fillId="2" borderId="29" xfId="12" applyFont="1" applyAlignment="1">
      <alignment horizontal="right" vertical="center"/>
    </xf>
    <xf numFmtId="0" fontId="1" fillId="14" borderId="8" xfId="13" applyNumberFormat="1" applyFont="1" applyAlignment="1">
      <alignment horizontal="left" vertical="center"/>
    </xf>
    <xf numFmtId="49" fontId="1" fillId="11" borderId="6" xfId="6" applyNumberFormat="1" applyFont="1" applyAlignment="1">
      <alignment horizontal="right" vertical="center"/>
      <protection locked="0"/>
    </xf>
    <xf numFmtId="0" fontId="1" fillId="14" borderId="8" xfId="13" applyNumberFormat="1" applyFont="1" applyAlignment="1">
      <alignment horizontal="right" vertical="center"/>
    </xf>
    <xf numFmtId="2" fontId="1" fillId="5" borderId="6" xfId="7" applyNumberFormat="1" applyFont="1" applyAlignment="1">
      <alignment horizontal="right" vertical="center" wrapText="1"/>
      <protection locked="0"/>
    </xf>
    <xf numFmtId="10" fontId="17" fillId="2" borderId="29" xfId="12" applyNumberFormat="1" applyFont="1" applyAlignment="1">
      <alignment horizontal="right" vertical="center"/>
    </xf>
    <xf numFmtId="0" fontId="17" fillId="2" borderId="29" xfId="12" applyNumberFormat="1" applyFont="1" applyAlignment="1">
      <alignment horizontal="right" vertical="center"/>
    </xf>
    <xf numFmtId="0" fontId="1" fillId="11" borderId="6" xfId="6" applyNumberFormat="1" applyFont="1" applyAlignment="1">
      <alignment horizontal="right" vertical="center"/>
      <protection locked="0"/>
    </xf>
    <xf numFmtId="49" fontId="1" fillId="14" borderId="8" xfId="13" applyNumberFormat="1" applyFont="1" applyAlignment="1">
      <alignment horizontal="left" vertical="center"/>
    </xf>
    <xf numFmtId="2" fontId="2" fillId="10" borderId="14" xfId="14" applyNumberFormat="1" applyFont="1" applyAlignment="1">
      <alignment horizontal="right" vertical="center" wrapText="1"/>
    </xf>
    <xf numFmtId="168" fontId="2" fillId="10" borderId="14" xfId="14" applyNumberFormat="1" applyFont="1" applyAlignment="1">
      <alignment horizontal="right" vertical="center" wrapText="1"/>
    </xf>
    <xf numFmtId="49" fontId="29" fillId="15" borderId="14" xfId="11" applyNumberFormat="1" applyFont="1" applyAlignment="1">
      <alignment vertical="center" wrapText="1"/>
    </xf>
    <xf numFmtId="2" fontId="17" fillId="2" borderId="29" xfId="12" applyNumberFormat="1" applyFont="1" applyAlignment="1">
      <alignment horizontal="right" vertical="center" wrapText="1"/>
    </xf>
    <xf numFmtId="0" fontId="1" fillId="14" borderId="8" xfId="13" quotePrefix="1" applyNumberFormat="1" applyFont="1" applyAlignment="1">
      <alignment horizontal="left" vertical="center"/>
    </xf>
    <xf numFmtId="9" fontId="17" fillId="2" borderId="29" xfId="12" applyNumberFormat="1" applyFont="1" applyAlignment="1">
      <alignment horizontal="left" vertical="center"/>
    </xf>
    <xf numFmtId="9" fontId="1" fillId="14" borderId="8" xfId="13" applyNumberFormat="1" applyFont="1" applyAlignment="1">
      <alignment horizontal="left" vertical="center"/>
    </xf>
    <xf numFmtId="0" fontId="17" fillId="2" borderId="29" xfId="12" applyFont="1" applyAlignment="1">
      <alignment horizontal="right" vertical="center" wrapText="1"/>
    </xf>
    <xf numFmtId="0" fontId="1" fillId="14" borderId="8" xfId="13" applyNumberFormat="1" applyFont="1" applyAlignment="1">
      <alignment horizontal="left" vertical="center" wrapText="1"/>
    </xf>
    <xf numFmtId="0" fontId="1" fillId="13" borderId="0" xfId="0" applyFont="1" applyAlignment="1">
      <alignment vertical="center" wrapText="1"/>
    </xf>
    <xf numFmtId="10" fontId="1" fillId="14" borderId="8" xfId="13" applyNumberFormat="1" applyFont="1" applyAlignment="1">
      <alignment horizontal="left" vertical="center"/>
    </xf>
    <xf numFmtId="10" fontId="1" fillId="11" borderId="6" xfId="6" applyNumberFormat="1" applyFont="1" applyAlignment="1">
      <alignment horizontal="right" vertical="center"/>
      <protection locked="0"/>
    </xf>
    <xf numFmtId="10" fontId="1" fillId="14" borderId="8" xfId="13" applyNumberFormat="1" applyFont="1" applyAlignment="1">
      <alignment horizontal="right" vertical="center"/>
    </xf>
    <xf numFmtId="0" fontId="16" fillId="0" borderId="0" xfId="0" applyFont="1" applyFill="1" applyBorder="1" applyAlignment="1">
      <alignment vertical="center"/>
    </xf>
    <xf numFmtId="49" fontId="2" fillId="3" borderId="7" xfId="8" applyNumberFormat="1" applyFont="1" applyAlignment="1">
      <alignment horizontal="left" vertical="center" wrapText="1"/>
    </xf>
    <xf numFmtId="49" fontId="2" fillId="3" borderId="7" xfId="8" applyNumberFormat="1" applyFont="1" applyAlignment="1">
      <alignment vertical="center"/>
    </xf>
    <xf numFmtId="0" fontId="2" fillId="3" borderId="7" xfId="8" applyNumberFormat="1" applyFont="1" applyAlignment="1">
      <alignment horizontal="left" vertical="center"/>
    </xf>
    <xf numFmtId="49" fontId="1" fillId="13" borderId="0" xfId="0" applyNumberFormat="1" applyFont="1" applyAlignment="1">
      <alignment vertical="center" wrapText="1"/>
    </xf>
    <xf numFmtId="0" fontId="1" fillId="0" borderId="1" xfId="0" applyNumberFormat="1" applyFont="1" applyFill="1" applyBorder="1" applyAlignment="1" applyProtection="1">
      <alignment horizontal="left" vertical="center"/>
    </xf>
    <xf numFmtId="0" fontId="17" fillId="15" borderId="14" xfId="11" applyNumberFormat="1" applyFont="1" applyAlignment="1">
      <alignment horizontal="left" vertical="center" indent="2"/>
    </xf>
    <xf numFmtId="0" fontId="2" fillId="3" borderId="7" xfId="8" applyNumberFormat="1" applyFont="1" applyAlignment="1">
      <alignment vertical="center"/>
    </xf>
    <xf numFmtId="0" fontId="2" fillId="3" borderId="7" xfId="8" applyNumberFormat="1" applyFont="1" applyAlignment="1">
      <alignment vertical="center" wrapText="1"/>
    </xf>
    <xf numFmtId="165" fontId="2" fillId="3" borderId="7" xfId="8" applyNumberFormat="1" applyFont="1" applyAlignment="1">
      <alignment horizontal="left" vertical="center"/>
    </xf>
    <xf numFmtId="0" fontId="2" fillId="3" borderId="7" xfId="8" applyNumberFormat="1" applyFont="1" applyAlignment="1">
      <alignment horizontal="center" vertical="center"/>
    </xf>
    <xf numFmtId="4" fontId="2" fillId="3" borderId="7" xfId="8" applyNumberFormat="1" applyFont="1" applyAlignment="1">
      <alignment horizontal="left" vertical="center"/>
    </xf>
    <xf numFmtId="166" fontId="2" fillId="3" borderId="7" xfId="8" applyNumberFormat="1" applyFont="1" applyAlignment="1">
      <alignment horizontal="left" vertical="center"/>
    </xf>
    <xf numFmtId="0" fontId="17" fillId="2" borderId="29" xfId="12" applyNumberFormat="1" applyFont="1" applyAlignment="1">
      <alignment horizontal="left" vertical="center"/>
    </xf>
    <xf numFmtId="4" fontId="2" fillId="9" borderId="14" xfId="16" applyNumberFormat="1" applyFont="1" applyAlignment="1">
      <alignment horizontal="right" vertical="center" wrapText="1"/>
    </xf>
    <xf numFmtId="4" fontId="2" fillId="2" borderId="7" xfId="10" applyNumberFormat="1" applyFont="1" applyAlignment="1">
      <alignment horizontal="right" vertical="center" wrapText="1"/>
    </xf>
    <xf numFmtId="1" fontId="17" fillId="2" borderId="29" xfId="12" applyNumberFormat="1" applyFont="1" applyAlignment="1">
      <alignment horizontal="left" vertical="center"/>
    </xf>
    <xf numFmtId="0" fontId="2" fillId="9" borderId="14" xfId="16" applyNumberFormat="1" applyFont="1" applyAlignment="1">
      <alignment horizontal="right" vertical="center"/>
    </xf>
    <xf numFmtId="0" fontId="1" fillId="4" borderId="1" xfId="1" applyNumberFormat="1" applyFont="1" applyFill="1" applyBorder="1" applyAlignment="1" applyProtection="1">
      <alignment horizontal="left" vertical="center"/>
    </xf>
    <xf numFmtId="0" fontId="2" fillId="3" borderId="20" xfId="8" applyNumberFormat="1" applyFont="1" applyBorder="1" applyAlignment="1">
      <alignment horizontal="right" vertical="center"/>
    </xf>
    <xf numFmtId="0" fontId="2" fillId="3" borderId="20" xfId="8" applyNumberFormat="1" applyFont="1" applyBorder="1" applyAlignment="1">
      <alignment horizontal="left" vertical="center"/>
    </xf>
    <xf numFmtId="4" fontId="2" fillId="3" borderId="20" xfId="8" applyNumberFormat="1" applyFont="1" applyBorder="1" applyAlignment="1">
      <alignment horizontal="right" vertical="center"/>
    </xf>
    <xf numFmtId="4" fontId="2" fillId="3" borderId="20" xfId="8" applyNumberFormat="1" applyFont="1" applyBorder="1" applyAlignment="1">
      <alignment horizontal="left" vertical="center"/>
    </xf>
    <xf numFmtId="4" fontId="4" fillId="13" borderId="0" xfId="1" applyNumberFormat="1" applyFont="1" applyAlignment="1">
      <alignment vertical="center"/>
    </xf>
    <xf numFmtId="0" fontId="2" fillId="3" borderId="22" xfId="8" applyNumberFormat="1" applyFont="1" applyBorder="1" applyAlignment="1">
      <alignment horizontal="center" vertical="center"/>
    </xf>
    <xf numFmtId="0" fontId="2" fillId="3" borderId="23" xfId="8" applyNumberFormat="1" applyFont="1" applyBorder="1" applyAlignment="1">
      <alignment vertical="center"/>
    </xf>
    <xf numFmtId="0" fontId="1" fillId="13" borderId="0" xfId="0" applyFont="1">
      <alignment vertical="center"/>
    </xf>
    <xf numFmtId="4" fontId="2" fillId="3" borderId="7" xfId="8" applyNumberFormat="1" applyFont="1" applyAlignment="1">
      <alignment horizontal="center" vertical="center" wrapText="1"/>
    </xf>
    <xf numFmtId="4" fontId="2" fillId="3" borderId="7" xfId="8" applyNumberFormat="1" applyFont="1" applyAlignment="1">
      <alignment horizontal="center" vertical="center"/>
    </xf>
    <xf numFmtId="164" fontId="2" fillId="3" borderId="22" xfId="8" applyNumberFormat="1" applyFont="1" applyBorder="1" applyAlignment="1">
      <alignment horizontal="center" vertical="center"/>
    </xf>
    <xf numFmtId="4" fontId="2" fillId="3" borderId="23" xfId="8" applyNumberFormat="1" applyFont="1" applyBorder="1" applyAlignment="1">
      <alignment horizontal="left" vertical="center"/>
    </xf>
    <xf numFmtId="167" fontId="2" fillId="3" borderId="7" xfId="8" applyNumberFormat="1" applyFont="1" applyAlignment="1">
      <alignment horizontal="left" vertical="center"/>
    </xf>
    <xf numFmtId="0" fontId="2" fillId="2" borderId="7" xfId="10" applyNumberFormat="1" applyFont="1" applyAlignment="1">
      <alignment horizontal="left" vertical="top"/>
    </xf>
    <xf numFmtId="0" fontId="2" fillId="2" borderId="22" xfId="10" applyNumberFormat="1" applyFont="1" applyBorder="1" applyAlignment="1">
      <alignment horizontal="right" vertical="center"/>
    </xf>
    <xf numFmtId="0" fontId="2" fillId="2" borderId="23" xfId="10" applyNumberFormat="1" applyFont="1" applyBorder="1" applyAlignment="1">
      <alignment horizontal="right" vertical="center"/>
    </xf>
    <xf numFmtId="4" fontId="2" fillId="2" borderId="22" xfId="10" applyNumberFormat="1" applyFont="1" applyBorder="1" applyAlignment="1">
      <alignment horizontal="right" vertical="center"/>
    </xf>
    <xf numFmtId="0" fontId="2" fillId="2" borderId="23" xfId="10" applyNumberFormat="1" applyFont="1" applyBorder="1" applyAlignment="1">
      <alignment horizontal="left" vertical="center"/>
    </xf>
    <xf numFmtId="0" fontId="17" fillId="2" borderId="29" xfId="12" applyNumberFormat="1" applyFont="1" applyAlignment="1">
      <alignment horizontal="left" vertical="top"/>
    </xf>
    <xf numFmtId="0" fontId="1" fillId="11" borderId="6" xfId="6" applyNumberFormat="1" applyFont="1" applyAlignment="1">
      <alignment horizontal="left" vertical="center"/>
      <protection locked="0"/>
    </xf>
    <xf numFmtId="0" fontId="17" fillId="2" borderId="2" xfId="12" applyNumberFormat="1" applyFont="1" applyBorder="1" applyAlignment="1">
      <alignment horizontal="right" vertical="center"/>
    </xf>
    <xf numFmtId="4" fontId="2" fillId="10" borderId="24" xfId="14" applyNumberFormat="1" applyFont="1" applyBorder="1" applyAlignment="1">
      <alignment horizontal="right" vertical="center"/>
    </xf>
    <xf numFmtId="2" fontId="1" fillId="14" borderId="8" xfId="13" applyNumberFormat="1" applyFont="1" applyAlignment="1">
      <alignment horizontal="right" vertical="center" wrapText="1"/>
    </xf>
    <xf numFmtId="0" fontId="2" fillId="2" borderId="23" xfId="10" applyNumberFormat="1" applyFont="1" applyBorder="1" applyAlignment="1">
      <alignment horizontal="left" vertical="top"/>
    </xf>
    <xf numFmtId="4" fontId="2" fillId="2" borderId="23" xfId="10" applyNumberFormat="1" applyFont="1" applyBorder="1" applyAlignment="1">
      <alignment horizontal="left" vertical="center"/>
    </xf>
    <xf numFmtId="1" fontId="17" fillId="2" borderId="29" xfId="12" applyNumberFormat="1" applyFont="1" applyAlignment="1">
      <alignment horizontal="left" vertical="top"/>
    </xf>
    <xf numFmtId="1" fontId="2" fillId="2" borderId="7" xfId="10" applyNumberFormat="1" applyFont="1" applyAlignment="1">
      <alignment horizontal="left" vertical="top"/>
    </xf>
    <xf numFmtId="4" fontId="2" fillId="10" borderId="14" xfId="14" applyNumberFormat="1" applyFont="1" applyAlignment="1">
      <alignment horizontal="right" vertical="center"/>
    </xf>
    <xf numFmtId="0" fontId="4" fillId="13" borderId="0" xfId="1" applyFont="1" applyAlignment="1"/>
    <xf numFmtId="169" fontId="17" fillId="2" borderId="29" xfId="12" applyNumberFormat="1" applyFont="1" applyAlignment="1">
      <alignment horizontal="right" vertical="center"/>
    </xf>
    <xf numFmtId="0" fontId="1" fillId="5" borderId="6" xfId="7" applyNumberFormat="1" applyFont="1" applyAlignment="1">
      <alignment horizontal="right" vertical="center"/>
      <protection locked="0"/>
    </xf>
    <xf numFmtId="169" fontId="2" fillId="2" borderId="7" xfId="10" applyNumberFormat="1" applyFont="1" applyAlignment="1">
      <alignment horizontal="right" vertical="center"/>
    </xf>
    <xf numFmtId="0" fontId="1" fillId="5" borderId="6" xfId="7" applyNumberFormat="1" applyFont="1" applyAlignment="1">
      <alignment horizontal="center" vertical="center"/>
      <protection locked="0"/>
    </xf>
    <xf numFmtId="0" fontId="4" fillId="13" borderId="0" xfId="1" applyNumberFormat="1" applyFont="1" applyAlignment="1">
      <alignment vertical="center"/>
    </xf>
    <xf numFmtId="2" fontId="4" fillId="13" borderId="0" xfId="1" applyNumberFormat="1" applyFont="1" applyAlignment="1">
      <alignment vertical="center"/>
    </xf>
    <xf numFmtId="1" fontId="2" fillId="2" borderId="7" xfId="10" applyNumberFormat="1" applyFont="1" applyAlignment="1">
      <alignment horizontal="right" vertical="center"/>
    </xf>
    <xf numFmtId="3" fontId="2" fillId="2" borderId="7" xfId="10" applyNumberFormat="1" applyFont="1" applyAlignment="1">
      <alignment horizontal="right" vertical="center"/>
    </xf>
    <xf numFmtId="1" fontId="2" fillId="2" borderId="7" xfId="10" applyNumberFormat="1" applyFont="1" applyAlignment="1">
      <alignment horizontal="left" vertical="center"/>
    </xf>
    <xf numFmtId="1" fontId="0" fillId="14" borderId="8" xfId="13" applyNumberFormat="1" applyFont="1" applyAlignment="1">
      <alignment horizontal="right" vertical="center"/>
    </xf>
    <xf numFmtId="0" fontId="0" fillId="13" borderId="0" xfId="0" applyFont="1" applyAlignment="1">
      <alignment vertical="center"/>
    </xf>
    <xf numFmtId="0" fontId="30" fillId="0" borderId="0" xfId="15" applyFont="1" applyAlignment="1">
      <alignment vertical="center"/>
    </xf>
    <xf numFmtId="0" fontId="3" fillId="13" borderId="0" xfId="1" applyFont="1" applyAlignment="1">
      <alignment horizontal="center" vertical="center"/>
    </xf>
    <xf numFmtId="49" fontId="0" fillId="13" borderId="0" xfId="0" applyNumberFormat="1" applyFont="1" applyAlignment="1">
      <alignment wrapText="1"/>
    </xf>
    <xf numFmtId="4" fontId="0" fillId="2" borderId="8" xfId="0" applyNumberFormat="1" applyFont="1" applyFill="1" applyBorder="1" applyAlignment="1" applyProtection="1">
      <alignment horizontal="right" vertical="top"/>
    </xf>
    <xf numFmtId="0" fontId="0" fillId="0" borderId="1" xfId="0" applyNumberFormat="1" applyFont="1" applyFill="1" applyBorder="1" applyAlignment="1" applyProtection="1">
      <alignment horizontal="right" vertical="top"/>
    </xf>
    <xf numFmtId="0" fontId="0" fillId="0" borderId="1" xfId="0" applyNumberFormat="1" applyFont="1" applyFill="1" applyBorder="1" applyAlignment="1" applyProtection="1">
      <alignment vertical="top"/>
    </xf>
    <xf numFmtId="0" fontId="0" fillId="0" borderId="2" xfId="0" applyNumberFormat="1" applyFont="1" applyFill="1" applyBorder="1" applyAlignment="1" applyProtection="1">
      <alignment horizontal="left" vertical="top"/>
    </xf>
    <xf numFmtId="3" fontId="0" fillId="6" borderId="10" xfId="0" applyNumberFormat="1" applyFont="1" applyFill="1" applyBorder="1" applyAlignment="1" applyProtection="1">
      <alignment horizontal="right" vertical="top" wrapText="1"/>
    </xf>
    <xf numFmtId="0" fontId="0" fillId="13" borderId="0" xfId="0" applyFont="1" applyAlignment="1"/>
    <xf numFmtId="3" fontId="0" fillId="0" borderId="10" xfId="0" applyNumberFormat="1" applyFont="1" applyFill="1" applyBorder="1" applyAlignment="1" applyProtection="1">
      <alignment horizontal="right" vertical="top" wrapText="1"/>
    </xf>
    <xf numFmtId="3" fontId="0" fillId="6" borderId="8" xfId="0" applyNumberFormat="1" applyFont="1" applyFill="1" applyBorder="1" applyAlignment="1" applyProtection="1">
      <alignment horizontal="right" vertical="top" wrapText="1"/>
    </xf>
    <xf numFmtId="0" fontId="0" fillId="0" borderId="1" xfId="0" applyNumberFormat="1" applyFont="1" applyFill="1" applyBorder="1" applyAlignment="1" applyProtection="1">
      <alignment horizontal="left" vertical="top" indent="2"/>
    </xf>
    <xf numFmtId="0" fontId="17" fillId="0" borderId="1" xfId="0" applyNumberFormat="1" applyFont="1" applyFill="1" applyBorder="1" applyAlignment="1" applyProtection="1">
      <alignment horizontal="left" vertical="top" indent="1"/>
    </xf>
    <xf numFmtId="0" fontId="0" fillId="0" borderId="28" xfId="0" applyNumberFormat="1" applyFont="1" applyFill="1" applyBorder="1" applyAlignment="1" applyProtection="1">
      <alignment horizontal="right" vertical="top"/>
    </xf>
    <xf numFmtId="0" fontId="0" fillId="0" borderId="28" xfId="0" applyNumberFormat="1" applyFont="1" applyFill="1" applyBorder="1" applyAlignment="1" applyProtection="1">
      <alignment vertical="top"/>
    </xf>
    <xf numFmtId="0" fontId="0" fillId="0" borderId="28" xfId="0" applyNumberFormat="1" applyFont="1" applyFill="1" applyBorder="1" applyAlignment="1" applyProtection="1">
      <alignment horizontal="left" vertical="top"/>
    </xf>
    <xf numFmtId="0" fontId="0" fillId="0" borderId="32" xfId="0" applyNumberFormat="1" applyFont="1" applyFill="1" applyBorder="1" applyAlignment="1" applyProtection="1">
      <alignment horizontal="left" vertical="top"/>
    </xf>
    <xf numFmtId="4" fontId="0" fillId="13" borderId="0" xfId="0" applyNumberFormat="1" applyFont="1" applyAlignment="1"/>
    <xf numFmtId="0" fontId="4" fillId="13" borderId="0" xfId="1"/>
    <xf numFmtId="49" fontId="1" fillId="12" borderId="6" xfId="5" applyNumberFormat="1" applyAlignment="1">
      <alignment horizontal="right" vertical="center"/>
      <protection locked="0"/>
    </xf>
    <xf numFmtId="0" fontId="1" fillId="12" borderId="6" xfId="5" applyNumberFormat="1" applyAlignment="1">
      <alignment horizontal="right" vertical="center"/>
      <protection locked="0"/>
    </xf>
    <xf numFmtId="0" fontId="2" fillId="2" borderId="29" xfId="10" applyNumberFormat="1" applyBorder="1" applyAlignment="1">
      <alignment horizontal="left" vertical="center"/>
    </xf>
    <xf numFmtId="4" fontId="0" fillId="13" borderId="0" xfId="0" applyNumberFormat="1" applyAlignment="1">
      <alignment vertical="center"/>
    </xf>
    <xf numFmtId="165" fontId="2" fillId="3" borderId="7" xfId="8" applyNumberFormat="1" applyFont="1" applyAlignment="1">
      <alignment horizontal="right" vertical="center"/>
    </xf>
    <xf numFmtId="164" fontId="2" fillId="3" borderId="7" xfId="8" applyNumberFormat="1" applyFont="1" applyAlignment="1">
      <alignment horizontal="right" vertical="center"/>
    </xf>
    <xf numFmtId="164" fontId="2" fillId="3" borderId="7" xfId="8" applyNumberFormat="1" applyFont="1" applyAlignment="1">
      <alignment horizontal="left" vertical="center"/>
    </xf>
    <xf numFmtId="4" fontId="17" fillId="10" borderId="14" xfId="14" applyNumberFormat="1" applyFont="1" applyAlignment="1">
      <alignment horizontal="right" vertical="center" wrapText="1"/>
    </xf>
    <xf numFmtId="4" fontId="2" fillId="2" borderId="29" xfId="10" applyNumberFormat="1" applyBorder="1" applyAlignment="1">
      <alignment horizontal="left" vertical="center"/>
    </xf>
    <xf numFmtId="4" fontId="2" fillId="2" borderId="29" xfId="10" applyNumberFormat="1" applyBorder="1" applyAlignment="1">
      <alignment horizontal="right" vertical="center" wrapText="1"/>
    </xf>
    <xf numFmtId="4" fontId="2" fillId="2" borderId="29" xfId="10" applyNumberFormat="1" applyBorder="1" applyAlignment="1">
      <alignment horizontal="right" vertical="center"/>
    </xf>
    <xf numFmtId="4" fontId="1" fillId="11" borderId="6" xfId="6" applyFont="1" applyAlignment="1">
      <alignment horizontal="center" vertical="center"/>
      <protection locked="0"/>
    </xf>
    <xf numFmtId="4" fontId="1" fillId="14" borderId="8" xfId="13" applyNumberFormat="1" applyFont="1" applyAlignment="1">
      <alignment vertical="center"/>
    </xf>
    <xf numFmtId="4" fontId="1" fillId="5" borderId="6" xfId="7" applyFont="1" applyAlignment="1">
      <alignment horizontal="right" vertical="center"/>
      <protection locked="0"/>
    </xf>
    <xf numFmtId="9" fontId="17" fillId="2" borderId="29" xfId="12" applyNumberFormat="1" applyFont="1" applyAlignment="1">
      <alignment vertical="center"/>
    </xf>
    <xf numFmtId="9" fontId="1" fillId="14" borderId="8" xfId="13" applyNumberFormat="1" applyFont="1" applyAlignment="1">
      <alignment vertical="center"/>
    </xf>
    <xf numFmtId="9" fontId="1" fillId="5" borderId="6" xfId="7" applyNumberFormat="1" applyFont="1" applyAlignment="1">
      <alignment vertical="center"/>
      <protection locked="0"/>
    </xf>
    <xf numFmtId="0" fontId="2" fillId="2" borderId="20" xfId="10" applyNumberFormat="1" applyFont="1" applyBorder="1" applyAlignment="1">
      <alignment horizontal="right" vertical="center"/>
    </xf>
    <xf numFmtId="0" fontId="2" fillId="2" borderId="20" xfId="10" applyNumberFormat="1" applyFont="1" applyBorder="1" applyAlignment="1">
      <alignment horizontal="left" vertical="center"/>
    </xf>
    <xf numFmtId="0" fontId="32" fillId="2" borderId="7" xfId="10" applyNumberFormat="1" applyFont="1" applyAlignment="1">
      <alignment horizontal="left" vertical="center"/>
    </xf>
    <xf numFmtId="0" fontId="13" fillId="15" borderId="14" xfId="11" applyNumberFormat="1" applyFont="1" applyAlignment="1">
      <alignment horizontal="left" vertical="center"/>
    </xf>
    <xf numFmtId="0" fontId="33" fillId="2" borderId="28" xfId="25" applyNumberFormat="1" applyFont="1" applyAlignment="1">
      <alignment horizontal="center" vertical="center"/>
    </xf>
    <xf numFmtId="0" fontId="33" fillId="2" borderId="28" xfId="25" applyFont="1" applyAlignment="1">
      <alignment horizontal="center" vertical="center"/>
    </xf>
    <xf numFmtId="0" fontId="33" fillId="2" borderId="28" xfId="25" applyFont="1" applyAlignment="1">
      <alignment horizontal="left" vertical="center"/>
    </xf>
    <xf numFmtId="9" fontId="13" fillId="15" borderId="14" xfId="11" applyNumberFormat="1" applyFont="1" applyAlignment="1">
      <alignment horizontal="left" vertical="center"/>
    </xf>
    <xf numFmtId="2" fontId="32" fillId="10" borderId="14" xfId="14" applyNumberFormat="1" applyFont="1" applyAlignment="1">
      <alignment horizontal="right" vertical="center" wrapText="1"/>
    </xf>
    <xf numFmtId="0" fontId="2" fillId="3" borderId="29" xfId="8" applyBorder="1" applyAlignment="1">
      <alignment horizontal="left" vertical="center"/>
    </xf>
    <xf numFmtId="1" fontId="2" fillId="3" borderId="29" xfId="8" applyNumberFormat="1" applyBorder="1" applyAlignment="1">
      <alignment horizontal="center" vertical="center"/>
    </xf>
    <xf numFmtId="0" fontId="2" fillId="3" borderId="29" xfId="8" applyBorder="1" applyAlignment="1">
      <alignment horizontal="center" vertical="center"/>
    </xf>
    <xf numFmtId="169" fontId="2" fillId="3" borderId="29" xfId="8" applyNumberFormat="1" applyBorder="1" applyAlignment="1">
      <alignment horizontal="center" vertical="center"/>
    </xf>
    <xf numFmtId="168" fontId="2" fillId="3" borderId="29" xfId="8" applyNumberFormat="1" applyBorder="1" applyAlignment="1">
      <alignment horizontal="center" vertical="center"/>
    </xf>
    <xf numFmtId="2" fontId="2" fillId="3" borderId="29" xfId="8" applyNumberFormat="1" applyBorder="1" applyAlignment="1">
      <alignment horizontal="center" vertical="center"/>
    </xf>
    <xf numFmtId="0" fontId="2" fillId="3" borderId="29" xfId="22" applyBorder="1" applyAlignment="1">
      <alignment horizontal="left" vertical="center"/>
    </xf>
    <xf numFmtId="1" fontId="2" fillId="3" borderId="29" xfId="22" applyNumberFormat="1" applyBorder="1" applyAlignment="1">
      <alignment horizontal="center" vertical="center"/>
    </xf>
    <xf numFmtId="0" fontId="2" fillId="3" borderId="29" xfId="22" applyBorder="1" applyAlignment="1">
      <alignment horizontal="center" vertical="center"/>
    </xf>
    <xf numFmtId="169" fontId="2" fillId="3" borderId="29" xfId="22" applyNumberFormat="1" applyBorder="1" applyAlignment="1">
      <alignment horizontal="center" vertical="center"/>
    </xf>
    <xf numFmtId="168" fontId="2" fillId="3" borderId="29" xfId="22" applyNumberFormat="1" applyBorder="1" applyAlignment="1">
      <alignment horizontal="center" vertical="center"/>
    </xf>
    <xf numFmtId="2" fontId="2" fillId="3" borderId="29" xfId="22" applyNumberFormat="1" applyBorder="1" applyAlignment="1">
      <alignment horizontal="center" vertical="center"/>
    </xf>
    <xf numFmtId="168" fontId="11" fillId="14" borderId="8" xfId="13" applyNumberFormat="1" applyAlignment="1">
      <alignment vertical="center"/>
    </xf>
    <xf numFmtId="1" fontId="1" fillId="15" borderId="14" xfId="11" applyNumberFormat="1" applyFont="1" applyAlignment="1">
      <alignment horizontal="left" vertical="center"/>
    </xf>
    <xf numFmtId="0" fontId="12" fillId="15" borderId="14" xfId="11" applyFont="1" applyAlignment="1">
      <alignment vertical="center"/>
    </xf>
    <xf numFmtId="0" fontId="23" fillId="8" borderId="15" xfId="3">
      <alignment horizontal="center" vertical="center"/>
      <protection locked="0"/>
    </xf>
    <xf numFmtId="2" fontId="17" fillId="2" borderId="29" xfId="12" applyNumberFormat="1" applyAlignment="1">
      <alignment vertical="center"/>
    </xf>
    <xf numFmtId="2" fontId="1" fillId="10" borderId="14" xfId="14" applyNumberFormat="1" applyFont="1" applyAlignment="1">
      <alignment horizontal="right" vertical="center" wrapText="1"/>
    </xf>
    <xf numFmtId="2" fontId="1" fillId="9" borderId="14" xfId="16" applyNumberFormat="1" applyFont="1" applyAlignment="1">
      <alignment vertical="center"/>
    </xf>
    <xf numFmtId="0" fontId="31" fillId="16" borderId="0" xfId="27" applyFont="1" applyBorder="1" applyAlignment="1">
      <alignment vertical="center"/>
    </xf>
    <xf numFmtId="0" fontId="1" fillId="2" borderId="29" xfId="10" applyFont="1" applyBorder="1" applyAlignment="1">
      <alignment vertical="center"/>
    </xf>
    <xf numFmtId="173" fontId="10" fillId="2" borderId="7" xfId="10" applyNumberFormat="1" applyFont="1" applyAlignment="1">
      <alignment horizontal="right" vertical="center"/>
    </xf>
    <xf numFmtId="0" fontId="10" fillId="2" borderId="7" xfId="10" applyFont="1" applyAlignment="1">
      <alignment horizontal="right" vertical="center"/>
    </xf>
    <xf numFmtId="2" fontId="17" fillId="2" borderId="29" xfId="12" applyNumberFormat="1" applyAlignment="1">
      <alignment horizontal="right" vertical="center"/>
    </xf>
    <xf numFmtId="0" fontId="17" fillId="2" borderId="29" xfId="12" applyAlignment="1">
      <alignment horizontal="right" vertical="center"/>
    </xf>
    <xf numFmtId="0" fontId="2" fillId="13" borderId="0" xfId="0" applyFont="1" applyAlignment="1">
      <alignment horizontal="center" vertical="center"/>
    </xf>
    <xf numFmtId="4" fontId="1" fillId="12" borderId="6" xfId="5" applyAlignment="1">
      <alignment horizontal="center" vertical="center"/>
      <protection locked="0"/>
    </xf>
    <xf numFmtId="0" fontId="0" fillId="14" borderId="8" xfId="13" applyNumberFormat="1" applyFont="1" applyAlignment="1">
      <alignment horizontal="right" vertical="center"/>
    </xf>
    <xf numFmtId="0" fontId="1" fillId="16" borderId="0" xfId="27" applyFont="1" applyBorder="1" applyAlignment="1">
      <alignment vertical="top"/>
    </xf>
    <xf numFmtId="0" fontId="28" fillId="16" borderId="0" xfId="27" applyFont="1" applyAlignment="1">
      <alignment horizontal="center" vertical="center"/>
    </xf>
    <xf numFmtId="0" fontId="0" fillId="16" borderId="0" xfId="27" applyFont="1" applyBorder="1" applyAlignment="1">
      <alignment horizontal="left" vertical="top" wrapText="1"/>
    </xf>
    <xf numFmtId="0" fontId="28" fillId="16" borderId="0" xfId="27" applyFont="1" applyBorder="1" applyAlignment="1">
      <alignment vertical="center"/>
    </xf>
    <xf numFmtId="0" fontId="1" fillId="5" borderId="6" xfId="7" applyNumberFormat="1" applyAlignment="1">
      <alignment horizontal="left" vertical="center"/>
      <protection locked="0"/>
    </xf>
    <xf numFmtId="168" fontId="2" fillId="3" borderId="7" xfId="8" applyNumberFormat="1" applyAlignment="1">
      <alignment horizontal="left" vertical="center"/>
    </xf>
    <xf numFmtId="168" fontId="2" fillId="2" borderId="7" xfId="10" applyNumberFormat="1" applyAlignment="1">
      <alignment horizontal="left" vertical="center"/>
    </xf>
    <xf numFmtId="168" fontId="5" fillId="15" borderId="14" xfId="11" applyNumberFormat="1" applyFont="1" applyAlignment="1">
      <alignment horizontal="left" vertical="center"/>
    </xf>
    <xf numFmtId="168" fontId="4" fillId="13" borderId="0" xfId="1" applyNumberFormat="1" applyAlignment="1">
      <alignment vertical="center"/>
    </xf>
    <xf numFmtId="0" fontId="23" fillId="8" borderId="15" xfId="3" applyNumberFormat="1">
      <alignment horizontal="center" vertical="center"/>
      <protection locked="0"/>
    </xf>
    <xf numFmtId="0" fontId="31" fillId="8" borderId="29" xfId="8" applyFont="1" applyFill="1" applyBorder="1" applyAlignment="1">
      <alignment vertical="center"/>
    </xf>
    <xf numFmtId="0" fontId="31" fillId="8" borderId="29" xfId="8" applyFont="1" applyFill="1" applyBorder="1" applyAlignment="1">
      <alignment horizontal="right" vertical="center"/>
    </xf>
    <xf numFmtId="3" fontId="17" fillId="2" borderId="29" xfId="12" applyNumberFormat="1" applyAlignment="1">
      <alignment horizontal="center" vertical="center"/>
    </xf>
    <xf numFmtId="0" fontId="0" fillId="2" borderId="0" xfId="17" applyFont="1" applyBorder="1" applyAlignment="1">
      <alignment horizontal="left" vertical="center"/>
    </xf>
    <xf numFmtId="2" fontId="2" fillId="3" borderId="29" xfId="26" applyNumberFormat="1" applyBorder="1" applyAlignment="1">
      <alignment vertical="center"/>
    </xf>
    <xf numFmtId="0" fontId="2" fillId="2" borderId="29" xfId="10" applyBorder="1" applyAlignment="1">
      <alignment horizontal="left" vertical="center"/>
    </xf>
    <xf numFmtId="1" fontId="2" fillId="2" borderId="29" xfId="10" applyNumberFormat="1" applyBorder="1" applyAlignment="1">
      <alignment horizontal="left" vertical="center"/>
    </xf>
    <xf numFmtId="1" fontId="2" fillId="2" borderId="29" xfId="10" applyNumberFormat="1" applyBorder="1" applyAlignment="1">
      <alignment horizontal="center" vertical="center"/>
    </xf>
    <xf numFmtId="0" fontId="2" fillId="2" borderId="29" xfId="10" applyBorder="1" applyAlignment="1">
      <alignment horizontal="center" vertical="center"/>
    </xf>
    <xf numFmtId="9" fontId="2" fillId="2" borderId="29" xfId="10" applyNumberFormat="1" applyBorder="1" applyAlignment="1">
      <alignment horizontal="center" vertical="center"/>
    </xf>
    <xf numFmtId="0" fontId="2" fillId="2" borderId="29" xfId="10" applyBorder="1" applyAlignment="1">
      <alignment vertical="center"/>
    </xf>
    <xf numFmtId="0" fontId="2" fillId="9" borderId="14" xfId="16" applyNumberFormat="1" applyAlignment="1">
      <alignment vertical="center"/>
    </xf>
    <xf numFmtId="0" fontId="2" fillId="9" borderId="14" xfId="16" applyNumberFormat="1" applyAlignment="1">
      <alignment horizontal="right" vertical="center"/>
    </xf>
    <xf numFmtId="0" fontId="2" fillId="3" borderId="29" xfId="8" applyNumberFormat="1" applyBorder="1" applyAlignment="1">
      <alignment vertical="center"/>
    </xf>
    <xf numFmtId="0" fontId="2" fillId="3" borderId="29" xfId="8" applyNumberFormat="1" applyBorder="1" applyAlignment="1">
      <alignment horizontal="left" vertical="center"/>
    </xf>
    <xf numFmtId="4" fontId="2" fillId="3" borderId="29" xfId="8" applyNumberFormat="1" applyBorder="1" applyAlignment="1">
      <alignment horizontal="right" vertical="center"/>
    </xf>
    <xf numFmtId="0" fontId="0" fillId="13" borderId="0" xfId="0" applyAlignment="1">
      <alignment horizontal="center" vertical="center"/>
    </xf>
    <xf numFmtId="0" fontId="0" fillId="13" borderId="0" xfId="0" applyFont="1" applyAlignment="1">
      <alignment horizontal="center" vertical="center"/>
    </xf>
    <xf numFmtId="174" fontId="11" fillId="14" borderId="8" xfId="13" applyNumberFormat="1" applyAlignment="1">
      <alignment vertical="center"/>
    </xf>
    <xf numFmtId="175" fontId="11" fillId="14" borderId="8" xfId="13" applyNumberFormat="1" applyAlignment="1">
      <alignment vertical="center"/>
    </xf>
    <xf numFmtId="175" fontId="2" fillId="3" borderId="29" xfId="22" applyNumberFormat="1" applyBorder="1" applyAlignment="1">
      <alignment horizontal="center" vertical="center"/>
    </xf>
    <xf numFmtId="174" fontId="2" fillId="3" borderId="29" xfId="8" applyNumberFormat="1" applyBorder="1" applyAlignment="1">
      <alignment horizontal="center" vertical="center"/>
    </xf>
    <xf numFmtId="174" fontId="2" fillId="3" borderId="29" xfId="22" applyNumberFormat="1" applyBorder="1" applyAlignment="1">
      <alignment horizontal="center" vertical="center"/>
    </xf>
    <xf numFmtId="0" fontId="11" fillId="14" borderId="8" xfId="13" applyNumberFormat="1" applyAlignment="1">
      <alignment horizontal="right" vertical="center"/>
    </xf>
    <xf numFmtId="1" fontId="11" fillId="14" borderId="8" xfId="13" applyNumberFormat="1" applyAlignment="1">
      <alignment horizontal="right" vertical="center"/>
    </xf>
    <xf numFmtId="49" fontId="17" fillId="2" borderId="29" xfId="12" applyNumberFormat="1" applyAlignment="1">
      <alignment horizontal="right" vertical="center"/>
    </xf>
    <xf numFmtId="9" fontId="17" fillId="2" borderId="29" xfId="12" applyNumberFormat="1" applyAlignment="1">
      <alignment vertical="center"/>
    </xf>
    <xf numFmtId="0" fontId="2" fillId="3" borderId="7" xfId="8" applyFont="1" applyAlignment="1">
      <alignment horizontal="center" vertical="center"/>
    </xf>
    <xf numFmtId="0" fontId="2" fillId="3" borderId="43" xfId="8" applyFont="1" applyBorder="1" applyAlignment="1">
      <alignment horizontal="center" vertical="center"/>
    </xf>
    <xf numFmtId="0" fontId="2" fillId="3" borderId="29" xfId="8" applyFont="1" applyBorder="1" applyAlignment="1">
      <alignment horizontal="center" vertical="center"/>
    </xf>
    <xf numFmtId="4" fontId="2" fillId="9" borderId="45" xfId="16" applyNumberFormat="1" applyFont="1" applyBorder="1" applyAlignment="1">
      <alignment horizontal="right" vertical="center"/>
    </xf>
    <xf numFmtId="0" fontId="2" fillId="2" borderId="29" xfId="10" applyFont="1" applyBorder="1" applyAlignment="1">
      <alignment horizontal="left" vertical="center"/>
    </xf>
    <xf numFmtId="4" fontId="17" fillId="2" borderId="43" xfId="12" applyNumberFormat="1" applyFont="1" applyBorder="1" applyAlignment="1">
      <alignment horizontal="right" vertical="center"/>
    </xf>
    <xf numFmtId="4" fontId="1" fillId="14" borderId="9" xfId="13" applyNumberFormat="1" applyFont="1" applyBorder="1" applyAlignment="1">
      <alignment horizontal="right" vertical="center"/>
    </xf>
    <xf numFmtId="4" fontId="1" fillId="11" borderId="6" xfId="6" applyNumberFormat="1" applyFont="1" applyBorder="1" applyAlignment="1">
      <alignment horizontal="right" vertical="center" wrapText="1"/>
      <protection locked="0"/>
    </xf>
    <xf numFmtId="0" fontId="1" fillId="15" borderId="14" xfId="11" applyNumberFormat="1" applyFont="1" applyBorder="1" applyAlignment="1">
      <alignment horizontal="left" vertical="center"/>
    </xf>
    <xf numFmtId="4" fontId="1" fillId="5" borderId="6" xfId="7" applyNumberFormat="1" applyFont="1" applyBorder="1" applyAlignment="1">
      <alignment horizontal="right" vertical="center" wrapText="1"/>
      <protection locked="0"/>
    </xf>
    <xf numFmtId="4" fontId="2" fillId="2" borderId="29" xfId="10" applyNumberFormat="1" applyFont="1" applyBorder="1" applyAlignment="1">
      <alignment horizontal="left" vertical="center"/>
    </xf>
    <xf numFmtId="0" fontId="2" fillId="2" borderId="29" xfId="10" applyNumberFormat="1" applyFont="1" applyBorder="1" applyAlignment="1">
      <alignment horizontal="left" vertical="center"/>
    </xf>
    <xf numFmtId="4" fontId="1" fillId="15" borderId="45" xfId="11" applyNumberFormat="1" applyFont="1" applyBorder="1" applyAlignment="1">
      <alignment horizontal="right" vertical="center"/>
    </xf>
    <xf numFmtId="4" fontId="1" fillId="15" borderId="14" xfId="11" applyNumberFormat="1" applyFont="1" applyBorder="1" applyAlignment="1">
      <alignment horizontal="right" vertical="center"/>
    </xf>
    <xf numFmtId="4" fontId="17" fillId="15" borderId="45" xfId="11" applyNumberFormat="1" applyFont="1" applyBorder="1" applyAlignment="1">
      <alignment horizontal="right" vertical="center"/>
    </xf>
    <xf numFmtId="4" fontId="11" fillId="14" borderId="9" xfId="13" applyNumberFormat="1" applyBorder="1" applyAlignment="1">
      <alignment horizontal="right" vertical="center"/>
    </xf>
    <xf numFmtId="4" fontId="1" fillId="5" borderId="6" xfId="7" applyNumberFormat="1" applyBorder="1" applyAlignment="1">
      <alignment horizontal="right" vertical="center" wrapText="1"/>
      <protection locked="0"/>
    </xf>
    <xf numFmtId="4" fontId="2" fillId="2" borderId="29" xfId="10" applyNumberFormat="1" applyFont="1" applyBorder="1" applyAlignment="1">
      <alignment horizontal="right" vertical="center"/>
    </xf>
    <xf numFmtId="4" fontId="17" fillId="15" borderId="45" xfId="11" applyNumberFormat="1" applyFont="1" applyBorder="1" applyAlignment="1">
      <alignment horizontal="left" vertical="center"/>
    </xf>
    <xf numFmtId="4" fontId="1" fillId="15" borderId="14" xfId="11" applyNumberFormat="1" applyFont="1" applyBorder="1" applyAlignment="1">
      <alignment horizontal="left" vertical="center"/>
    </xf>
    <xf numFmtId="4" fontId="1" fillId="2" borderId="46" xfId="0" applyNumberFormat="1" applyFont="1" applyFill="1" applyBorder="1" applyAlignment="1" applyProtection="1">
      <alignment horizontal="right" vertical="center"/>
    </xf>
    <xf numFmtId="4" fontId="1" fillId="11" borderId="6" xfId="6" applyNumberFormat="1" applyFont="1" applyBorder="1" applyAlignment="1">
      <alignment horizontal="right" vertical="center"/>
      <protection locked="0"/>
    </xf>
    <xf numFmtId="0" fontId="1" fillId="15" borderId="45" xfId="11" applyNumberFormat="1" applyFont="1" applyBorder="1" applyAlignment="1">
      <alignment horizontal="left" vertical="center"/>
    </xf>
    <xf numFmtId="0" fontId="17" fillId="15" borderId="14" xfId="11" applyNumberFormat="1" applyFont="1" applyBorder="1" applyAlignment="1">
      <alignment horizontal="left" vertical="center"/>
    </xf>
    <xf numFmtId="4" fontId="1" fillId="15" borderId="45" xfId="11" applyNumberFormat="1" applyFont="1" applyBorder="1" applyAlignment="1">
      <alignment horizontal="right" vertical="top"/>
    </xf>
    <xf numFmtId="4" fontId="1" fillId="15" borderId="14" xfId="11" applyNumberFormat="1" applyFont="1" applyBorder="1" applyAlignment="1">
      <alignment horizontal="right" vertical="top"/>
    </xf>
    <xf numFmtId="4" fontId="1" fillId="15" borderId="14" xfId="11" applyNumberFormat="1" applyFont="1" applyBorder="1" applyAlignment="1">
      <alignment horizontal="right" vertical="center" wrapText="1"/>
    </xf>
    <xf numFmtId="4" fontId="2" fillId="2" borderId="43" xfId="10" applyNumberFormat="1" applyFont="1" applyBorder="1" applyAlignment="1">
      <alignment horizontal="left" vertical="center"/>
    </xf>
    <xf numFmtId="0" fontId="31" fillId="8" borderId="43" xfId="8" applyFont="1" applyFill="1" applyBorder="1" applyAlignment="1">
      <alignment horizontal="left" vertical="center"/>
    </xf>
    <xf numFmtId="169" fontId="2" fillId="2" borderId="29" xfId="10" applyNumberFormat="1" applyBorder="1" applyAlignment="1">
      <alignment horizontal="center" vertical="center"/>
    </xf>
    <xf numFmtId="171" fontId="2" fillId="2" borderId="29" xfId="10" applyNumberFormat="1" applyBorder="1" applyAlignment="1">
      <alignment horizontal="center" vertical="center"/>
    </xf>
    <xf numFmtId="0" fontId="11" fillId="14" borderId="8" xfId="13" applyNumberFormat="1" applyAlignment="1">
      <alignment horizontal="center" vertical="center"/>
    </xf>
    <xf numFmtId="169" fontId="11" fillId="14" borderId="8" xfId="13" applyNumberFormat="1" applyAlignment="1">
      <alignment horizontal="center" vertical="center"/>
    </xf>
    <xf numFmtId="171" fontId="11" fillId="14" borderId="8" xfId="13" applyNumberFormat="1" applyAlignment="1">
      <alignment horizontal="center" vertical="center"/>
    </xf>
    <xf numFmtId="172" fontId="11" fillId="14" borderId="8" xfId="13" applyNumberFormat="1" applyAlignment="1">
      <alignment horizontal="center" vertical="center"/>
    </xf>
    <xf numFmtId="9" fontId="11" fillId="14" borderId="8" xfId="13" applyNumberFormat="1" applyAlignment="1">
      <alignment horizontal="center" vertical="center"/>
    </xf>
    <xf numFmtId="2" fontId="1" fillId="5" borderId="6" xfId="7" applyNumberFormat="1" applyAlignment="1">
      <alignment horizontal="right" vertical="center" wrapText="1"/>
      <protection locked="0"/>
    </xf>
    <xf numFmtId="0" fontId="23" fillId="8" borderId="15" xfId="3">
      <alignment horizontal="center" vertical="center"/>
      <protection locked="0"/>
    </xf>
    <xf numFmtId="0" fontId="2" fillId="3" borderId="0" xfId="22" applyBorder="1" applyAlignment="1">
      <alignment horizontal="left" vertical="center"/>
    </xf>
    <xf numFmtId="1" fontId="1" fillId="15" borderId="14" xfId="11" applyNumberFormat="1" applyFont="1" applyAlignment="1">
      <alignment vertical="center"/>
    </xf>
    <xf numFmtId="175" fontId="0" fillId="13" borderId="0" xfId="0" applyNumberFormat="1" applyFont="1" applyAlignment="1">
      <alignment vertical="center"/>
    </xf>
    <xf numFmtId="174" fontId="0" fillId="13" borderId="0" xfId="0" applyNumberFormat="1" applyFont="1" applyAlignment="1">
      <alignment vertical="center"/>
    </xf>
    <xf numFmtId="175" fontId="0" fillId="13" borderId="0" xfId="0" applyNumberFormat="1" applyAlignment="1">
      <alignment vertical="center"/>
    </xf>
    <xf numFmtId="174" fontId="0" fillId="13" borderId="0" xfId="0" applyNumberFormat="1" applyAlignment="1">
      <alignment vertical="center"/>
    </xf>
    <xf numFmtId="175" fontId="2" fillId="2" borderId="29" xfId="10" applyNumberFormat="1" applyBorder="1" applyAlignment="1">
      <alignment horizontal="center" vertical="center"/>
    </xf>
    <xf numFmtId="175" fontId="2" fillId="2" borderId="29" xfId="10" applyNumberFormat="1" applyBorder="1" applyAlignment="1">
      <alignment vertical="center"/>
    </xf>
    <xf numFmtId="168" fontId="2" fillId="2" borderId="29" xfId="10" applyNumberFormat="1" applyBorder="1" applyAlignment="1">
      <alignment horizontal="center" vertical="center"/>
    </xf>
    <xf numFmtId="2" fontId="2" fillId="2" borderId="29" xfId="10" applyNumberFormat="1" applyBorder="1" applyAlignment="1">
      <alignment horizontal="center" vertical="center"/>
    </xf>
    <xf numFmtId="0" fontId="2" fillId="2" borderId="29" xfId="10" applyNumberFormat="1" applyBorder="1" applyAlignment="1">
      <alignment horizontal="right" vertical="center"/>
    </xf>
    <xf numFmtId="164" fontId="2" fillId="3" borderId="7" xfId="8" applyNumberFormat="1" applyFont="1" applyAlignment="1">
      <alignment horizontal="left" vertical="center" wrapText="1"/>
    </xf>
    <xf numFmtId="4" fontId="2" fillId="2" borderId="29" xfId="10" applyNumberFormat="1" applyBorder="1" applyAlignment="1">
      <alignment vertical="center"/>
    </xf>
    <xf numFmtId="176" fontId="2" fillId="2" borderId="29" xfId="10" applyNumberFormat="1" applyBorder="1" applyAlignment="1">
      <alignment horizontal="left" vertical="center"/>
    </xf>
    <xf numFmtId="0" fontId="1" fillId="17" borderId="42" xfId="0" applyFont="1" applyFill="1" applyBorder="1" applyAlignment="1">
      <alignment vertical="center"/>
    </xf>
    <xf numFmtId="0" fontId="1" fillId="18" borderId="42" xfId="0" applyFont="1" applyFill="1" applyBorder="1" applyAlignment="1">
      <alignment vertical="center"/>
    </xf>
    <xf numFmtId="0" fontId="1" fillId="19" borderId="42" xfId="0" applyFont="1" applyFill="1" applyBorder="1" applyAlignment="1">
      <alignment vertical="center"/>
    </xf>
    <xf numFmtId="0" fontId="1" fillId="20" borderId="42" xfId="0" applyFont="1" applyFill="1" applyBorder="1" applyAlignment="1">
      <alignment vertical="center"/>
    </xf>
    <xf numFmtId="0" fontId="1" fillId="21" borderId="42" xfId="0" applyFont="1" applyFill="1" applyBorder="1" applyAlignment="1">
      <alignment vertical="center"/>
    </xf>
    <xf numFmtId="0" fontId="2" fillId="3" borderId="7" xfId="8" applyAlignment="1">
      <alignment horizontal="center" vertical="center"/>
    </xf>
    <xf numFmtId="0" fontId="5" fillId="15" borderId="14" xfId="11" applyNumberFormat="1" applyFont="1" applyAlignment="1">
      <alignment horizontal="center" vertical="center"/>
    </xf>
    <xf numFmtId="2" fontId="0" fillId="11" borderId="6" xfId="6" applyNumberFormat="1" applyFont="1" applyAlignment="1">
      <alignment horizontal="right" vertical="center" wrapText="1"/>
      <protection locked="0"/>
    </xf>
    <xf numFmtId="4" fontId="2" fillId="3" borderId="43" xfId="8" applyNumberFormat="1" applyFont="1" applyBorder="1" applyAlignment="1">
      <alignment horizontal="left" vertical="center"/>
    </xf>
    <xf numFmtId="0" fontId="2" fillId="3" borderId="43" xfId="8" applyNumberFormat="1" applyFont="1" applyBorder="1" applyAlignment="1">
      <alignment vertical="center"/>
    </xf>
    <xf numFmtId="4" fontId="2" fillId="2" borderId="43" xfId="10" applyNumberFormat="1" applyFont="1" applyBorder="1" applyAlignment="1">
      <alignment horizontal="right" vertical="center"/>
    </xf>
    <xf numFmtId="4" fontId="1" fillId="10" borderId="45" xfId="14" applyNumberFormat="1" applyFont="1" applyBorder="1" applyAlignment="1">
      <alignment horizontal="right" vertical="center" wrapText="1"/>
    </xf>
    <xf numFmtId="4" fontId="2" fillId="9" borderId="45" xfId="16" applyNumberFormat="1" applyFont="1" applyBorder="1" applyAlignment="1">
      <alignment horizontal="right" vertical="center" wrapText="1"/>
    </xf>
    <xf numFmtId="0" fontId="2" fillId="2" borderId="43" xfId="10" applyNumberFormat="1" applyBorder="1" applyAlignment="1">
      <alignment horizontal="left" vertical="center"/>
    </xf>
    <xf numFmtId="4" fontId="2" fillId="2" borderId="43" xfId="10" applyNumberFormat="1" applyBorder="1" applyAlignment="1">
      <alignment horizontal="right" vertical="center" wrapText="1"/>
    </xf>
    <xf numFmtId="0" fontId="2" fillId="2" borderId="43" xfId="10" applyNumberFormat="1" applyFont="1" applyBorder="1" applyAlignment="1">
      <alignment horizontal="left" vertical="center"/>
    </xf>
    <xf numFmtId="4" fontId="1" fillId="6" borderId="50" xfId="0" applyNumberFormat="1" applyFont="1" applyFill="1" applyBorder="1" applyAlignment="1" applyProtection="1">
      <alignment horizontal="right" vertical="center" wrapText="1"/>
    </xf>
    <xf numFmtId="4" fontId="17" fillId="6" borderId="50" xfId="0" applyNumberFormat="1" applyFont="1" applyFill="1" applyBorder="1" applyAlignment="1" applyProtection="1">
      <alignment horizontal="right" vertical="center" wrapText="1"/>
    </xf>
    <xf numFmtId="4" fontId="17" fillId="10" borderId="45" xfId="14" applyNumberFormat="1" applyFont="1" applyBorder="1" applyAlignment="1">
      <alignment horizontal="right" vertical="center" wrapText="1"/>
    </xf>
    <xf numFmtId="4" fontId="2" fillId="3" borderId="43" xfId="8" applyNumberFormat="1" applyFont="1" applyBorder="1" applyAlignment="1">
      <alignment horizontal="right" vertical="center"/>
    </xf>
    <xf numFmtId="0" fontId="2" fillId="3" borderId="51" xfId="8" applyNumberFormat="1" applyFont="1" applyBorder="1" applyAlignment="1">
      <alignment vertical="center"/>
    </xf>
    <xf numFmtId="0" fontId="2" fillId="2" borderId="51" xfId="10" applyNumberFormat="1" applyFont="1" applyBorder="1" applyAlignment="1">
      <alignment horizontal="left" vertical="center"/>
    </xf>
    <xf numFmtId="0" fontId="1" fillId="15" borderId="52" xfId="11" applyNumberFormat="1" applyFont="1" applyBorder="1" applyAlignment="1">
      <alignment horizontal="left" vertical="center"/>
    </xf>
    <xf numFmtId="0" fontId="2" fillId="2" borderId="51" xfId="10" applyNumberFormat="1" applyBorder="1" applyAlignment="1">
      <alignment horizontal="left" vertical="center"/>
    </xf>
    <xf numFmtId="0" fontId="17" fillId="15" borderId="52" xfId="11" applyNumberFormat="1" applyFont="1" applyBorder="1" applyAlignment="1">
      <alignment horizontal="left" vertical="center"/>
    </xf>
    <xf numFmtId="0" fontId="2" fillId="3" borderId="51" xfId="8" applyNumberFormat="1" applyFont="1" applyBorder="1" applyAlignment="1">
      <alignment horizontal="left" vertical="center"/>
    </xf>
    <xf numFmtId="0" fontId="2" fillId="2" borderId="51" xfId="10" applyNumberFormat="1" applyFont="1" applyBorder="1" applyAlignment="1">
      <alignment horizontal="right" vertical="center"/>
    </xf>
    <xf numFmtId="0" fontId="0" fillId="15" borderId="14" xfId="11" applyNumberFormat="1" applyFont="1" applyAlignment="1">
      <alignment horizontal="left" vertical="center" indent="1"/>
    </xf>
    <xf numFmtId="164" fontId="2" fillId="3" borderId="43" xfId="8" applyNumberFormat="1" applyFont="1" applyBorder="1" applyAlignment="1">
      <alignment horizontal="left" vertical="center"/>
    </xf>
    <xf numFmtId="0" fontId="2" fillId="2" borderId="43" xfId="10" applyNumberFormat="1" applyFont="1" applyBorder="1" applyAlignment="1">
      <alignment horizontal="right" vertical="center"/>
    </xf>
    <xf numFmtId="4" fontId="2" fillId="2" borderId="43" xfId="10" applyNumberFormat="1" applyBorder="1" applyAlignment="1">
      <alignment horizontal="right" vertical="center"/>
    </xf>
    <xf numFmtId="4" fontId="2" fillId="10" borderId="45" xfId="14" applyNumberFormat="1" applyFont="1" applyBorder="1" applyAlignment="1">
      <alignment horizontal="right" vertical="center"/>
    </xf>
    <xf numFmtId="0" fontId="0" fillId="13" borderId="53" xfId="0" applyBorder="1">
      <alignment vertical="center"/>
    </xf>
    <xf numFmtId="0" fontId="0" fillId="15" borderId="14" xfId="11" applyFont="1" applyAlignment="1">
      <alignment horizontal="center" vertical="center" wrapText="1"/>
    </xf>
    <xf numFmtId="9" fontId="0" fillId="13" borderId="0" xfId="0" applyNumberFormat="1" applyFont="1" applyBorder="1">
      <alignment vertical="center"/>
    </xf>
    <xf numFmtId="0" fontId="0" fillId="13" borderId="0" xfId="0" applyBorder="1">
      <alignment vertical="center"/>
    </xf>
    <xf numFmtId="0" fontId="1" fillId="11" borderId="6" xfId="6" applyNumberFormat="1" applyAlignment="1">
      <alignment horizontal="left" vertical="center"/>
      <protection locked="0"/>
    </xf>
    <xf numFmtId="0" fontId="1" fillId="15" borderId="55" xfId="11" applyNumberFormat="1" applyFont="1" applyBorder="1" applyAlignment="1">
      <alignment horizontal="left" vertical="center"/>
    </xf>
    <xf numFmtId="0" fontId="7" fillId="0" borderId="0" xfId="0" applyNumberFormat="1" applyFont="1" applyFill="1" applyBorder="1" applyAlignment="1" applyProtection="1">
      <alignment horizontal="left" vertical="center"/>
    </xf>
    <xf numFmtId="0" fontId="1" fillId="15" borderId="56" xfId="11" applyNumberFormat="1" applyFont="1" applyBorder="1" applyAlignment="1">
      <alignment horizontal="left" vertical="center"/>
    </xf>
    <xf numFmtId="0" fontId="1" fillId="15" borderId="57" xfId="11" applyNumberFormat="1" applyFont="1" applyBorder="1" applyAlignment="1">
      <alignment horizontal="left" vertical="center"/>
    </xf>
    <xf numFmtId="0" fontId="0" fillId="16" borderId="0" xfId="27" applyFont="1" applyBorder="1" applyAlignment="1">
      <alignment vertical="top" wrapText="1"/>
    </xf>
    <xf numFmtId="0" fontId="0" fillId="16" borderId="0" xfId="27" applyFont="1" applyBorder="1" applyAlignment="1">
      <alignment vertical="top" wrapText="1"/>
    </xf>
    <xf numFmtId="0" fontId="1" fillId="16" borderId="0" xfId="27" applyFont="1" applyBorder="1" applyAlignment="1">
      <alignment vertical="top"/>
    </xf>
    <xf numFmtId="0" fontId="0" fillId="16" borderId="0" xfId="27" applyFont="1" applyBorder="1" applyAlignment="1">
      <alignment horizontal="left" vertical="center" wrapText="1"/>
    </xf>
    <xf numFmtId="0" fontId="0" fillId="16" borderId="0" xfId="27" applyFont="1" applyBorder="1" applyAlignment="1">
      <alignment horizontal="left" vertical="top" wrapText="1"/>
    </xf>
    <xf numFmtId="0" fontId="23" fillId="8" borderId="15" xfId="3">
      <alignment horizontal="center" vertical="center"/>
      <protection locked="0"/>
    </xf>
    <xf numFmtId="4" fontId="1" fillId="12" borderId="6" xfId="5" applyAlignment="1">
      <alignment horizontal="left" vertical="center"/>
      <protection locked="0"/>
    </xf>
    <xf numFmtId="2" fontId="1" fillId="11" borderId="30" xfId="6" applyNumberFormat="1" applyBorder="1" applyAlignment="1">
      <alignment horizontal="left" vertical="center" wrapText="1"/>
      <protection locked="0"/>
    </xf>
    <xf numFmtId="2" fontId="1" fillId="11" borderId="31" xfId="6" applyNumberFormat="1" applyBorder="1" applyAlignment="1">
      <alignment horizontal="left" vertical="center" wrapText="1"/>
      <protection locked="0"/>
    </xf>
    <xf numFmtId="2" fontId="1" fillId="11" borderId="6" xfId="6" applyNumberFormat="1" applyAlignment="1">
      <alignment horizontal="left" vertical="center" wrapText="1"/>
      <protection locked="0"/>
    </xf>
    <xf numFmtId="0" fontId="23" fillId="8" borderId="15" xfId="3" applyNumberFormat="1">
      <alignment horizontal="center" vertical="center"/>
      <protection locked="0"/>
    </xf>
    <xf numFmtId="0" fontId="31" fillId="3" borderId="29" xfId="8" applyFont="1" applyBorder="1" applyAlignment="1">
      <alignment horizontal="center" vertical="center"/>
    </xf>
    <xf numFmtId="0" fontId="31" fillId="8" borderId="29" xfId="8" applyFont="1" applyFill="1" applyBorder="1" applyAlignment="1">
      <alignment horizontal="center" vertical="center"/>
    </xf>
    <xf numFmtId="4" fontId="23" fillId="8" borderId="44" xfId="3" applyNumberFormat="1" applyBorder="1">
      <alignment horizontal="center" vertical="center"/>
      <protection locked="0"/>
    </xf>
    <xf numFmtId="4" fontId="23" fillId="8" borderId="15" xfId="3" applyNumberFormat="1" applyBorder="1">
      <alignment horizontal="center" vertical="center"/>
      <protection locked="0"/>
    </xf>
    <xf numFmtId="49" fontId="23" fillId="8" borderId="15" xfId="3" applyNumberFormat="1">
      <alignment horizontal="center" vertical="center"/>
      <protection locked="0"/>
    </xf>
    <xf numFmtId="0" fontId="2" fillId="3" borderId="7" xfId="8" applyNumberFormat="1" applyFont="1" applyAlignment="1">
      <alignment horizontal="center" vertical="center"/>
    </xf>
    <xf numFmtId="0" fontId="2" fillId="2" borderId="21" xfId="10" applyNumberFormat="1" applyFont="1" applyBorder="1" applyAlignment="1">
      <alignment horizontal="center" vertical="center"/>
    </xf>
    <xf numFmtId="0" fontId="2" fillId="2" borderId="12" xfId="10" applyNumberFormat="1" applyFont="1" applyBorder="1" applyAlignment="1">
      <alignment horizontal="center" vertical="center"/>
    </xf>
    <xf numFmtId="0" fontId="2" fillId="2" borderId="17" xfId="10" applyNumberFormat="1" applyFont="1" applyBorder="1" applyAlignment="1">
      <alignment horizontal="center" vertical="center"/>
    </xf>
    <xf numFmtId="4" fontId="23" fillId="8" borderId="15" xfId="3" applyNumberFormat="1">
      <alignment horizontal="center" vertical="center"/>
      <protection locked="0"/>
    </xf>
    <xf numFmtId="0" fontId="2" fillId="3" borderId="7" xfId="8" applyFont="1" applyAlignment="1">
      <alignment vertical="center"/>
    </xf>
    <xf numFmtId="4" fontId="2" fillId="3" borderId="12" xfId="8" applyNumberFormat="1" applyBorder="1" applyAlignment="1">
      <alignment horizontal="center" vertical="center"/>
    </xf>
    <xf numFmtId="4" fontId="2" fillId="3" borderId="17" xfId="8" applyNumberFormat="1" applyBorder="1" applyAlignment="1">
      <alignment horizontal="center" vertical="center"/>
    </xf>
    <xf numFmtId="0" fontId="2" fillId="3" borderId="12" xfId="8" applyNumberFormat="1" applyBorder="1" applyAlignment="1">
      <alignment horizontal="center" vertical="center"/>
    </xf>
    <xf numFmtId="0" fontId="2" fillId="3" borderId="17" xfId="8" applyNumberFormat="1" applyBorder="1" applyAlignment="1">
      <alignment horizontal="center" vertical="center"/>
    </xf>
    <xf numFmtId="0" fontId="2" fillId="3" borderId="7" xfId="8" applyNumberFormat="1" applyAlignment="1">
      <alignment horizontal="center" vertical="center"/>
    </xf>
    <xf numFmtId="171" fontId="2" fillId="3" borderId="7" xfId="8" applyNumberFormat="1" applyAlignment="1">
      <alignment horizontal="center" vertical="center" wrapText="1"/>
    </xf>
    <xf numFmtId="0" fontId="2" fillId="3" borderId="7" xfId="8" applyNumberFormat="1" applyAlignment="1">
      <alignment horizontal="center" vertical="center" wrapText="1"/>
    </xf>
    <xf numFmtId="169" fontId="2" fillId="3" borderId="7" xfId="8" applyNumberFormat="1" applyAlignment="1">
      <alignment horizontal="center" vertical="center" wrapText="1"/>
    </xf>
    <xf numFmtId="0" fontId="23" fillId="8" borderId="47" xfId="3" applyBorder="1" applyAlignment="1">
      <alignment horizontal="center" vertical="center"/>
      <protection locked="0"/>
    </xf>
    <xf numFmtId="0" fontId="23" fillId="8" borderId="49" xfId="3" applyBorder="1" applyAlignment="1">
      <alignment horizontal="center" vertical="center"/>
      <protection locked="0"/>
    </xf>
    <xf numFmtId="0" fontId="23" fillId="8" borderId="48" xfId="3" applyBorder="1" applyAlignment="1">
      <alignment horizontal="center" vertical="center"/>
      <protection locked="0"/>
    </xf>
    <xf numFmtId="174" fontId="23" fillId="8" borderId="15" xfId="3" applyNumberFormat="1">
      <alignment horizontal="center" vertical="center"/>
      <protection locked="0"/>
    </xf>
    <xf numFmtId="0" fontId="2" fillId="3" borderId="21" xfId="8" applyBorder="1" applyAlignment="1">
      <alignment horizontal="center" vertical="center" wrapText="1"/>
    </xf>
    <xf numFmtId="0" fontId="2" fillId="3" borderId="17" xfId="8" applyBorder="1" applyAlignment="1">
      <alignment horizontal="center" vertical="center"/>
    </xf>
    <xf numFmtId="175" fontId="2" fillId="3" borderId="21" xfId="8" applyNumberFormat="1" applyBorder="1" applyAlignment="1">
      <alignment horizontal="center" vertical="center" wrapText="1"/>
    </xf>
    <xf numFmtId="175" fontId="2" fillId="3" borderId="17" xfId="8" applyNumberFormat="1" applyBorder="1" applyAlignment="1">
      <alignment horizontal="center" vertical="center" wrapText="1"/>
    </xf>
    <xf numFmtId="0" fontId="2" fillId="3" borderId="17" xfId="8" applyBorder="1" applyAlignment="1">
      <alignment horizontal="center" vertical="center" wrapText="1"/>
    </xf>
  </cellXfs>
  <cellStyles count="30">
    <cellStyle name="Besuchter Hyperlink" xfId="4" builtinId="9" customBuiltin="1"/>
    <cellStyle name="Defaultwert" xfId="13"/>
    <cellStyle name="Eigene Notizen" xfId="29"/>
    <cellStyle name="Eingabe-Kann" xfId="6"/>
    <cellStyle name="Eingabe-Muss" xfId="5"/>
    <cellStyle name="Eingabe-Soll" xfId="7"/>
    <cellStyle name="Ergebnis Summe" xfId="16"/>
    <cellStyle name="Ergebniswert" xfId="14"/>
    <cellStyle name="Hintergrund" xfId="27"/>
    <cellStyle name="Hyperlink" xfId="3" builtinId="8" customBuiltin="1"/>
    <cellStyle name="Internetquelle" xfId="15"/>
    <cellStyle name="Kopfzeile" xfId="8"/>
    <cellStyle name="Kopfzeile 2" xfId="22"/>
    <cellStyle name="Kopfzeile 2 2" xfId="28"/>
    <cellStyle name="Kopfzeile 3" xfId="21"/>
    <cellStyle name="Kopfzeile 4" xfId="26"/>
    <cellStyle name="Leerzelle" xfId="9"/>
    <cellStyle name="Prozent 2" xfId="18"/>
    <cellStyle name="Rechenwert" xfId="12"/>
    <cellStyle name="Rechenwert 2" xfId="24"/>
    <cellStyle name="Rechenwert 3" xfId="19"/>
    <cellStyle name="Rechenwert 4" xfId="25"/>
    <cellStyle name="Standard" xfId="0" builtinId="0" customBuiltin="1"/>
    <cellStyle name="Standard 2" xfId="1"/>
    <cellStyle name="Standard 3" xfId="2"/>
    <cellStyle name="Textzelle" xfId="11"/>
    <cellStyle name="Titelzeile" xfId="10"/>
    <cellStyle name="Titelzeile 2" xfId="23"/>
    <cellStyle name="Titelzeile 3" xfId="20"/>
    <cellStyle name="Titelzeile 4" xfId="1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F0F0F0"/>
      <rgbColor rgb="00A0A0A0"/>
    </indexedColors>
    <mruColors>
      <color rgb="FFF3F2E9"/>
      <color rgb="FFCCFFCC"/>
      <color rgb="FFFFFFCC"/>
      <color rgb="FFFFFF99"/>
      <color rgb="FFFFFFFF"/>
      <color rgb="FFFCF9B6"/>
      <color rgb="FFF9FB97"/>
      <color rgb="FFFFFFD7"/>
      <color rgb="FF0000FF"/>
      <color rgb="FFFFDC6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microsoft.com/office/2007/relationships/hdphoto" Target="../media/hdphoto2.wdp"/><Relationship Id="rId3" Type="http://schemas.microsoft.com/office/2007/relationships/hdphoto" Target="../media/hdphoto1.wdp"/><Relationship Id="rId7" Type="http://schemas.openxmlformats.org/officeDocument/2006/relationships/image" Target="../media/image6.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jpeg"/><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8</xdr:col>
      <xdr:colOff>490001</xdr:colOff>
      <xdr:row>22</xdr:row>
      <xdr:rowOff>2788</xdr:rowOff>
    </xdr:from>
    <xdr:to>
      <xdr:col>9</xdr:col>
      <xdr:colOff>372673</xdr:colOff>
      <xdr:row>24</xdr:row>
      <xdr:rowOff>125788</xdr:rowOff>
    </xdr:to>
    <xdr:pic>
      <xdr:nvPicPr>
        <xdr:cNvPr id="2" name="Picture 9" descr="http://www.ibo.at/images/ibo-logo.gif"/>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xmlns="" val="0"/>
            </a:ext>
          </a:extLst>
        </a:blip>
        <a:srcRect b="2992"/>
        <a:stretch/>
      </xdr:blipFill>
      <xdr:spPr bwMode="auto">
        <a:xfrm>
          <a:off x="4647871" y="4193788"/>
          <a:ext cx="503867" cy="504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9</xdr:col>
      <xdr:colOff>506951</xdr:colOff>
      <xdr:row>22</xdr:row>
      <xdr:rowOff>2583</xdr:rowOff>
    </xdr:from>
    <xdr:to>
      <xdr:col>10</xdr:col>
      <xdr:colOff>593898</xdr:colOff>
      <xdr:row>24</xdr:row>
      <xdr:rowOff>125583</xdr:rowOff>
    </xdr:to>
    <xdr:pic>
      <xdr:nvPicPr>
        <xdr:cNvPr id="3" name="Picture 11" descr="http://www.energyagency.at/fileadmin/templates/img/logo.gif"/>
        <xdr:cNvPicPr>
          <a:picLocks noChangeAspect="1" noChangeArrowheads="1"/>
        </xdr:cNvPicPr>
      </xdr:nvPicPr>
      <xdr:blipFill rotWithShape="1">
        <a:blip xmlns:r="http://schemas.openxmlformats.org/officeDocument/2006/relationships" r:embed="rId2" cstate="print">
          <a:extLst>
            <a:ext uri="{BEBA8EAE-BF5A-486C-A8C5-ECC9F3942E4B}">
              <a14:imgProps xmlns:a14="http://schemas.microsoft.com/office/drawing/2010/main" xmlns="">
                <a14:imgLayer r:embed="rId3">
                  <a14:imgEffect>
                    <a14:backgroundRemoval t="13125" b="76250" l="23113" r="80189"/>
                  </a14:imgEffect>
                </a14:imgLayer>
              </a14:imgProps>
            </a:ext>
            <a:ext uri="{28A0092B-C50C-407E-A947-70E740481C1C}">
              <a14:useLocalDpi xmlns:a14="http://schemas.microsoft.com/office/drawing/2010/main" xmlns="" val="0"/>
            </a:ext>
          </a:extLst>
        </a:blip>
        <a:srcRect l="20942" t="15689" r="21522" b="29695"/>
        <a:stretch/>
      </xdr:blipFill>
      <xdr:spPr bwMode="auto">
        <a:xfrm>
          <a:off x="5286016" y="4193583"/>
          <a:ext cx="708143" cy="504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11</xdr:col>
      <xdr:colOff>228600</xdr:colOff>
      <xdr:row>2</xdr:row>
      <xdr:rowOff>112713</xdr:rowOff>
    </xdr:from>
    <xdr:to>
      <xdr:col>12</xdr:col>
      <xdr:colOff>545475</xdr:colOff>
      <xdr:row>3</xdr:row>
      <xdr:rowOff>172669</xdr:rowOff>
    </xdr:to>
    <xdr:pic>
      <xdr:nvPicPr>
        <xdr:cNvPr id="4" name="Picture 2" descr="http://materialien.nachhaltigwirtschaften.at/_imgfiles/31/686/bmvit_signet_4c.bmp"/>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6236154" y="493713"/>
          <a:ext cx="936000" cy="25045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7</xdr:col>
      <xdr:colOff>323048</xdr:colOff>
      <xdr:row>22</xdr:row>
      <xdr:rowOff>1836</xdr:rowOff>
    </xdr:from>
    <xdr:to>
      <xdr:col>8</xdr:col>
      <xdr:colOff>207985</xdr:colOff>
      <xdr:row>24</xdr:row>
      <xdr:rowOff>124836</xdr:rowOff>
    </xdr:to>
    <xdr:pic>
      <xdr:nvPicPr>
        <xdr:cNvPr id="6" name="Grafik 5"/>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tretch>
          <a:fillRect/>
        </a:stretch>
      </xdr:blipFill>
      <xdr:spPr bwMode="auto">
        <a:xfrm>
          <a:off x="3876606" y="4192836"/>
          <a:ext cx="507725" cy="5040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11</xdr:col>
      <xdr:colOff>224519</xdr:colOff>
      <xdr:row>4</xdr:row>
      <xdr:rowOff>78241</xdr:rowOff>
    </xdr:from>
    <xdr:to>
      <xdr:col>12</xdr:col>
      <xdr:colOff>541394</xdr:colOff>
      <xdr:row>5</xdr:row>
      <xdr:rowOff>133654</xdr:rowOff>
    </xdr:to>
    <xdr:pic>
      <xdr:nvPicPr>
        <xdr:cNvPr id="11" name="Grafik 10"/>
        <xdr:cNvPicPr>
          <a:picLocks noChangeAspect="1"/>
        </xdr:cNvPicPr>
      </xdr:nvPicPr>
      <xdr:blipFill>
        <a:blip xmlns:r="http://schemas.openxmlformats.org/officeDocument/2006/relationships" r:embed="rId6" cstate="print">
          <a:clrChange>
            <a:clrFrom>
              <a:srgbClr val="FDFDFD"/>
            </a:clrFrom>
            <a:clrTo>
              <a:srgbClr val="FDFDFD">
                <a:alpha val="0"/>
              </a:srgbClr>
            </a:clrTo>
          </a:clrChange>
          <a:extLst>
            <a:ext uri="{28A0092B-C50C-407E-A947-70E740481C1C}">
              <a14:useLocalDpi xmlns:a14="http://schemas.microsoft.com/office/drawing/2010/main" xmlns="" val="0"/>
            </a:ext>
          </a:extLst>
        </a:blip>
        <a:stretch>
          <a:fillRect/>
        </a:stretch>
      </xdr:blipFill>
      <xdr:spPr>
        <a:xfrm>
          <a:off x="6232073" y="840241"/>
          <a:ext cx="936000" cy="245913"/>
        </a:xfrm>
        <a:prstGeom prst="rect">
          <a:avLst/>
        </a:prstGeom>
      </xdr:spPr>
    </xdr:pic>
    <xdr:clientData/>
  </xdr:twoCellAnchor>
  <xdr:twoCellAnchor editAs="oneCell">
    <xdr:from>
      <xdr:col>11</xdr:col>
      <xdr:colOff>74657</xdr:colOff>
      <xdr:row>22</xdr:row>
      <xdr:rowOff>2821</xdr:rowOff>
    </xdr:from>
    <xdr:to>
      <xdr:col>12</xdr:col>
      <xdr:colOff>548644</xdr:colOff>
      <xdr:row>24</xdr:row>
      <xdr:rowOff>125821</xdr:rowOff>
    </xdr:to>
    <xdr:pic>
      <xdr:nvPicPr>
        <xdr:cNvPr id="12" name="Grafik 11"/>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extLst>
            <a:ext uri="{BEBA8EAE-BF5A-486C-A8C5-ECC9F3942E4B}">
              <a14:imgProps xmlns:a14="http://schemas.microsoft.com/office/drawing/2010/main" xmlns="">
                <a14:imgLayer r:embed="rId8">
                  <a14:imgEffect>
                    <a14:brightnessContrast contrast="-40000"/>
                  </a14:imgEffect>
                </a14:imgLayer>
              </a14:imgProps>
            </a:ext>
            <a:ext uri="{28A0092B-C50C-407E-A947-70E740481C1C}">
              <a14:useLocalDpi xmlns:a14="http://schemas.microsoft.com/office/drawing/2010/main" xmlns="" val="0"/>
            </a:ext>
          </a:extLst>
        </a:blip>
        <a:stretch>
          <a:fillRect/>
        </a:stretch>
      </xdr:blipFill>
      <xdr:spPr>
        <a:xfrm>
          <a:off x="6096114" y="4193821"/>
          <a:ext cx="1095182" cy="504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70138</xdr:colOff>
      <xdr:row>0</xdr:row>
      <xdr:rowOff>99579</xdr:rowOff>
    </xdr:from>
    <xdr:to>
      <xdr:col>13</xdr:col>
      <xdr:colOff>821291</xdr:colOff>
      <xdr:row>1</xdr:row>
      <xdr:rowOff>374074</xdr:rowOff>
    </xdr:to>
    <xdr:pic>
      <xdr:nvPicPr>
        <xdr:cNvPr id="2" name="Picture 54"/>
        <xdr:cNvPicPr>
          <a:picLocks noChangeAspect="1" noChangeArrowheads="1"/>
        </xdr:cNvPicPr>
      </xdr:nvPicPr>
      <xdr:blipFill>
        <a:blip xmlns:r="http://schemas.openxmlformats.org/officeDocument/2006/relationships" r:embed="rId1" cstate="print"/>
        <a:srcRect/>
        <a:stretch>
          <a:fillRect/>
        </a:stretch>
      </xdr:blipFill>
      <xdr:spPr bwMode="auto">
        <a:xfrm>
          <a:off x="10890538" y="99579"/>
          <a:ext cx="751153" cy="464995"/>
        </a:xfrm>
        <a:prstGeom prst="rect">
          <a:avLst/>
        </a:prstGeom>
        <a:noFill/>
        <a:ln w="9525">
          <a:noFill/>
          <a:miter lim="800000"/>
          <a:headEnd/>
          <a:tailEnd/>
        </a:ln>
      </xdr:spPr>
    </xdr:pic>
    <xdr:clientData/>
  </xdr:twoCellAnchor>
  <xdr:twoCellAnchor>
    <xdr:from>
      <xdr:col>16</xdr:col>
      <xdr:colOff>87440</xdr:colOff>
      <xdr:row>1</xdr:row>
      <xdr:rowOff>310848</xdr:rowOff>
    </xdr:from>
    <xdr:to>
      <xdr:col>17</xdr:col>
      <xdr:colOff>726890</xdr:colOff>
      <xdr:row>4</xdr:row>
      <xdr:rowOff>45423</xdr:rowOff>
    </xdr:to>
    <xdr:pic>
      <xdr:nvPicPr>
        <xdr:cNvPr id="3" name="Picture 56"/>
        <xdr:cNvPicPr>
          <a:picLocks noChangeAspect="1" noChangeArrowheads="1"/>
        </xdr:cNvPicPr>
      </xdr:nvPicPr>
      <xdr:blipFill>
        <a:blip xmlns:r="http://schemas.openxmlformats.org/officeDocument/2006/relationships" r:embed="rId2" cstate="print"/>
        <a:srcRect/>
        <a:stretch>
          <a:fillRect/>
        </a:stretch>
      </xdr:blipFill>
      <xdr:spPr bwMode="auto">
        <a:xfrm>
          <a:off x="13241465" y="501348"/>
          <a:ext cx="1372875" cy="4489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obs/DUK/Lehre/QLZ1/M02/LEKOECOS/20140122_LEKOECOS_Dienstleistung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ACKUP~1/AppData/Local/Temp/LEKOECOS%20V2%20201306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nleitung"/>
      <sheetName val="Allgemeine Angaben"/>
      <sheetName val="Objektkenndaten"/>
      <sheetName val="Errichtung"/>
      <sheetName val="Energie"/>
      <sheetName val="Nutzung und Betrieb"/>
      <sheetName val="Ergebnisse Errichtung"/>
      <sheetName val="Ergebnisse Nutzung und Betrieb"/>
      <sheetName val="Kennwerte"/>
      <sheetName val="Kostenbereiche"/>
      <sheetName val="Folgekosten"/>
      <sheetName val="Schätzfaktoren"/>
      <sheetName val="Finanzielle Parameter"/>
      <sheetName val="Dienstleistungen"/>
      <sheetName val="Verwaltung &amp; Technik"/>
      <sheetName val="Ver- &amp; Entsorgung"/>
      <sheetName val="Reinigung"/>
      <sheetName val="Gebäudedienste"/>
      <sheetName val="Instandsetzung"/>
      <sheetName val="Abbruch&amp;Entsorgung"/>
      <sheetName val="Ökodaten Konstruktionen"/>
      <sheetName val="Ökodaten Energie"/>
      <sheetName val="Hilfsblatt Energie"/>
      <sheetName val="Massenbilanz"/>
      <sheetName val="Ökodaten Transport"/>
      <sheetName val="Ökodaten Entsorgung"/>
      <sheetName val="Hilfsrechnungen DL"/>
    </sheetNames>
    <sheetDataSet>
      <sheetData sheetId="0" refreshError="1"/>
      <sheetData sheetId="1">
        <row r="2">
          <cell r="D2" t="str">
            <v>Basisinfo</v>
          </cell>
        </row>
        <row r="3">
          <cell r="D3" t="str">
            <v>Projektbezeichnung</v>
          </cell>
        </row>
        <row r="4">
          <cell r="D4" t="str">
            <v>Beschreibung</v>
          </cell>
        </row>
        <row r="5">
          <cell r="D5" t="str">
            <v>Projektart</v>
          </cell>
          <cell r="G5" t="str">
            <v>Schule/Kindergarten</v>
          </cell>
        </row>
        <row r="6">
          <cell r="D6" t="str">
            <v>Adresse</v>
          </cell>
        </row>
        <row r="7">
          <cell r="D7" t="str">
            <v>Auftraggeber/Auftraggeberin</v>
          </cell>
        </row>
        <row r="8">
          <cell r="D8" t="str">
            <v>Architekt/Architektin</v>
          </cell>
        </row>
        <row r="9">
          <cell r="D9" t="str">
            <v>Fachplaner/Fachplanerinnen</v>
          </cell>
        </row>
        <row r="10">
          <cell r="D10" t="str">
            <v>Facility Management</v>
          </cell>
        </row>
        <row r="12">
          <cell r="D12" t="str">
            <v>Lebensdauer</v>
          </cell>
        </row>
        <row r="13">
          <cell r="C13" t="str">
            <v>LEBENT</v>
          </cell>
          <cell r="D13" t="str">
            <v>Angenommene Lebensdauer für die LZ-Berechnung</v>
          </cell>
          <cell r="G13">
            <v>36</v>
          </cell>
        </row>
        <row r="15">
          <cell r="D15" t="str">
            <v>Brutto/Netto</v>
          </cell>
        </row>
        <row r="16">
          <cell r="C16" t="str">
            <v>UST</v>
          </cell>
          <cell r="D16" t="str">
            <v>Eingabe und Ergebnisse aller Kostenwerte in __</v>
          </cell>
          <cell r="G16" t="str">
            <v>brutto (inkl. USt.)</v>
          </cell>
        </row>
        <row r="18">
          <cell r="D18" t="str">
            <v>Energie</v>
          </cell>
        </row>
        <row r="19">
          <cell r="C19" t="str">
            <v>ENBEDARF</v>
          </cell>
          <cell r="D19" t="str">
            <v>Energiebedarf</v>
          </cell>
          <cell r="G19" t="str">
            <v>sehr niedrig</v>
          </cell>
        </row>
        <row r="20">
          <cell r="C20" t="str">
            <v>ENPRODSOLAR</v>
          </cell>
          <cell r="D20" t="str">
            <v>Energieproduktion (Solarthermie)</v>
          </cell>
          <cell r="G20" t="str">
            <v>keine</v>
          </cell>
        </row>
        <row r="21">
          <cell r="C21" t="str">
            <v>ENPRODPV</v>
          </cell>
          <cell r="D21" t="str">
            <v>Energieproduktion (Strom aus Photovoltaik)</v>
          </cell>
          <cell r="G21" t="str">
            <v>keine</v>
          </cell>
        </row>
        <row r="22">
          <cell r="C22" t="str">
            <v>LÜFT</v>
          </cell>
          <cell r="D22" t="str">
            <v>Mechanische Lüftung ja/nein</v>
          </cell>
          <cell r="G22" t="str">
            <v>ja</v>
          </cell>
        </row>
        <row r="23">
          <cell r="C23" t="str">
            <v>KÜHL</v>
          </cell>
          <cell r="D23" t="str">
            <v>Kühlung ja/nein</v>
          </cell>
          <cell r="G23" t="str">
            <v>ja</v>
          </cell>
        </row>
        <row r="24">
          <cell r="C24" t="str">
            <v>BEFEUCHT</v>
          </cell>
          <cell r="D24" t="str">
            <v>Befeuchtung ja/nein</v>
          </cell>
          <cell r="G24" t="str">
            <v>nein</v>
          </cell>
        </row>
        <row r="25">
          <cell r="C25" t="str">
            <v>ENTFEUCHT</v>
          </cell>
          <cell r="D25" t="str">
            <v>Entfeuchtung ja/nein</v>
          </cell>
          <cell r="G25" t="str">
            <v>nein</v>
          </cell>
        </row>
      </sheetData>
      <sheetData sheetId="2">
        <row r="2">
          <cell r="D2" t="str">
            <v>Objektkennwerte</v>
          </cell>
        </row>
        <row r="3">
          <cell r="C3" t="str">
            <v>GSTF</v>
          </cell>
          <cell r="D3" t="str">
            <v>Grundstücksfläche</v>
          </cell>
          <cell r="G3">
            <v>2693.15</v>
          </cell>
        </row>
        <row r="4">
          <cell r="C4" t="str">
            <v>BGF</v>
          </cell>
          <cell r="D4" t="str">
            <v>Brutto-Grundfläche gesamt (BGF)</v>
          </cell>
          <cell r="G4">
            <v>636.27</v>
          </cell>
        </row>
        <row r="5">
          <cell r="C5" t="str">
            <v>BRI</v>
          </cell>
          <cell r="D5" t="str">
            <v>Brutto-Rauminhalt (BRI)</v>
          </cell>
          <cell r="G5">
            <v>2907.35</v>
          </cell>
        </row>
        <row r="6">
          <cell r="C6" t="str">
            <v>NGF</v>
          </cell>
          <cell r="D6" t="str">
            <v>Netto-Grundfläche (NGF)</v>
          </cell>
          <cell r="G6">
            <v>560.9</v>
          </cell>
        </row>
        <row r="7">
          <cell r="C7" t="str">
            <v>NF</v>
          </cell>
          <cell r="D7" t="str">
            <v>Nutzfläche (NF)</v>
          </cell>
          <cell r="G7">
            <v>438.21</v>
          </cell>
        </row>
        <row r="8">
          <cell r="C8" t="str">
            <v>BGFbeheizt</v>
          </cell>
          <cell r="D8" t="str">
            <v>Brutto-Grundfläche beheizt (BGFbeheizt)</v>
          </cell>
          <cell r="E8" t="str">
            <v>Energiebezugsfläche</v>
          </cell>
          <cell r="G8">
            <v>492.96</v>
          </cell>
        </row>
        <row r="9">
          <cell r="C9" t="str">
            <v>BGFbelüftet</v>
          </cell>
          <cell r="D9" t="str">
            <v>Brutto-Grundfläche belüftet (BGFbelüftet)</v>
          </cell>
          <cell r="E9" t="str">
            <v>Nur anzugeben, wenn BGF belüftet von BGF beheizt abweicht</v>
          </cell>
          <cell r="F9" t="str">
            <v>BGFbeheizt</v>
          </cell>
          <cell r="G9">
            <v>492.96</v>
          </cell>
        </row>
        <row r="10">
          <cell r="C10" t="str">
            <v>BGFgekühlt</v>
          </cell>
          <cell r="D10" t="str">
            <v>Brutto-Grundfläche gekühlt (BGFgekühlt)</v>
          </cell>
          <cell r="E10" t="str">
            <v>Nur anzugeben, wenn BGF gekühlt von BGF beheizt abweicht</v>
          </cell>
          <cell r="F10" t="str">
            <v>BGFbeheizt</v>
          </cell>
          <cell r="G10">
            <v>492.96</v>
          </cell>
        </row>
        <row r="11">
          <cell r="C11" t="str">
            <v>GRÜNF</v>
          </cell>
          <cell r="D11" t="str">
            <v>Grünfläche</v>
          </cell>
          <cell r="G11">
            <v>1891.53</v>
          </cell>
        </row>
        <row r="12">
          <cell r="C12" t="str">
            <v>BEFAF</v>
          </cell>
          <cell r="D12" t="str">
            <v>Befestigte Außenflächen</v>
          </cell>
          <cell r="G12">
            <v>165.35</v>
          </cell>
        </row>
        <row r="14">
          <cell r="D14" t="str">
            <v>Bauteilflächen</v>
          </cell>
        </row>
        <row r="15">
          <cell r="C15" t="str">
            <v>AWF</v>
          </cell>
          <cell r="D15" t="str">
            <v>Außenwandfläche gesamt</v>
          </cell>
          <cell r="E15" t="str">
            <v>inkl. Fassadenöffnungen (Fenster und Türen)</v>
          </cell>
          <cell r="G15">
            <v>444.53</v>
          </cell>
        </row>
        <row r="16">
          <cell r="C16" t="str">
            <v>INWF</v>
          </cell>
          <cell r="D16" t="str">
            <v>Innenwandfläche</v>
          </cell>
          <cell r="G16">
            <v>470.75</v>
          </cell>
        </row>
        <row r="17">
          <cell r="C17" t="str">
            <v>DACHF</v>
          </cell>
          <cell r="D17" t="str">
            <v>Dachflächen gesamt</v>
          </cell>
          <cell r="G17">
            <v>633.1</v>
          </cell>
        </row>
        <row r="18">
          <cell r="C18" t="str">
            <v>DECKF</v>
          </cell>
          <cell r="D18" t="str">
            <v>Deckenflächen gesamt</v>
          </cell>
          <cell r="F18" t="str">
            <v>KDF+GDF+ADF</v>
          </cell>
          <cell r="G18">
            <v>560.9</v>
          </cell>
        </row>
        <row r="19">
          <cell r="C19" t="str">
            <v>KDF</v>
          </cell>
          <cell r="D19" t="str">
            <v>Fläche Kellerdecke</v>
          </cell>
          <cell r="G19">
            <v>0</v>
          </cell>
        </row>
        <row r="20">
          <cell r="C20" t="str">
            <v>GDF</v>
          </cell>
          <cell r="D20" t="str">
            <v>Fläche Geschoßdecken</v>
          </cell>
          <cell r="G20">
            <v>0</v>
          </cell>
        </row>
        <row r="21">
          <cell r="C21" t="str">
            <v>ADF</v>
          </cell>
          <cell r="D21" t="str">
            <v>Fläche vorkragende Decken</v>
          </cell>
          <cell r="G21">
            <v>0</v>
          </cell>
        </row>
        <row r="22">
          <cell r="C22" t="str">
            <v>BAUGRV</v>
          </cell>
          <cell r="D22" t="str">
            <v>Volumen Baugrube</v>
          </cell>
          <cell r="G22">
            <v>588.78</v>
          </cell>
        </row>
        <row r="23">
          <cell r="C23" t="str">
            <v>GRÜNDF</v>
          </cell>
          <cell r="D23" t="str">
            <v>Fläche für Gründung</v>
          </cell>
          <cell r="G23">
            <v>633.1</v>
          </cell>
        </row>
        <row r="25">
          <cell r="D25" t="str">
            <v>Spezielle Flächenwerte</v>
          </cell>
          <cell r="G25" t="str">
            <v>Berechnung mit Schätzfaktoren</v>
          </cell>
        </row>
        <row r="26">
          <cell r="C26" t="str">
            <v>GLASF</v>
          </cell>
          <cell r="D26" t="str">
            <v>Fenster/Glasflächen außen</v>
          </cell>
          <cell r="F26" t="str">
            <v>AWF*F_GLASF</v>
          </cell>
          <cell r="G26">
            <v>42.45</v>
          </cell>
        </row>
        <row r="27">
          <cell r="C27" t="str">
            <v>GLASFab</v>
          </cell>
          <cell r="D27" t="str">
            <v>Davon Fenster/Glasflächen außen mit Arbeitsbühne</v>
          </cell>
          <cell r="F27" t="str">
            <v>GLASF*F_GLASFab</v>
          </cell>
          <cell r="G27">
            <v>0</v>
          </cell>
        </row>
        <row r="28">
          <cell r="C28" t="str">
            <v>GLASFF</v>
          </cell>
          <cell r="D28" t="str">
            <v>Glasfassadenfläche außen</v>
          </cell>
          <cell r="F28" t="str">
            <v>AWF*F_GLASFF</v>
          </cell>
          <cell r="G28">
            <v>99.2</v>
          </cell>
        </row>
        <row r="29">
          <cell r="C29" t="str">
            <v>GLASFFab</v>
          </cell>
          <cell r="D29" t="str">
            <v>Davon Glasfassadenflächen außen mit Arbeitsbühne</v>
          </cell>
          <cell r="F29" t="str">
            <v>GLASFF*F_GLASFFab</v>
          </cell>
          <cell r="G29">
            <v>0</v>
          </cell>
        </row>
        <row r="30">
          <cell r="C30" t="str">
            <v>GLASFNV</v>
          </cell>
          <cell r="D30" t="str">
            <v>Glasflächen nicht vertikal außen (z.B. Dachflächenfenster)</v>
          </cell>
          <cell r="E30" t="str">
            <v>z.B. Dachflächenfenster</v>
          </cell>
          <cell r="G30">
            <v>1.1000000000000001</v>
          </cell>
        </row>
        <row r="31">
          <cell r="C31" t="str">
            <v>GLASFNVab</v>
          </cell>
          <cell r="D31" t="str">
            <v>Glasflächen nicht vertikal außen mit Arbeitsbühne</v>
          </cell>
          <cell r="E31" t="str">
            <v>z.B. Dachflächenfenster</v>
          </cell>
          <cell r="G31">
            <v>1.1000000000000001</v>
          </cell>
        </row>
        <row r="32">
          <cell r="C32" t="str">
            <v>IGLASF</v>
          </cell>
          <cell r="D32" t="str">
            <v>Glasflächen innen (z.B. innenliegende Glaswände, innenliegende Oberlichten, …)</v>
          </cell>
          <cell r="F32" t="str">
            <v>AWF*F_IGLASF</v>
          </cell>
          <cell r="G32">
            <v>26.03</v>
          </cell>
        </row>
        <row r="33">
          <cell r="C33" t="str">
            <v>IGLASFab</v>
          </cell>
          <cell r="D33" t="str">
            <v>Davon Glasflächen innen mit Arbeitsbühne</v>
          </cell>
          <cell r="F33" t="str">
            <v>IGLASF*F_IGLASFab</v>
          </cell>
          <cell r="G33">
            <v>0</v>
          </cell>
        </row>
        <row r="34">
          <cell r="C34" t="str">
            <v>JALF</v>
          </cell>
          <cell r="D34" t="str">
            <v>Jalousienflächen (außenliegende)</v>
          </cell>
          <cell r="F34" t="str">
            <v>IGLASF*F_JALF</v>
          </cell>
          <cell r="G34">
            <v>99</v>
          </cell>
        </row>
        <row r="35">
          <cell r="C35" t="str">
            <v>JALFab</v>
          </cell>
          <cell r="D35" t="str">
            <v>Davon Jalousienflächen mit Arbeitsbühne</v>
          </cell>
          <cell r="F35" t="str">
            <v>JALF*F_JALFab</v>
          </cell>
          <cell r="G35">
            <v>0</v>
          </cell>
        </row>
        <row r="36">
          <cell r="C36" t="str">
            <v>HNF</v>
          </cell>
          <cell r="D36" t="str">
            <v>Hauptnutzfläche</v>
          </cell>
          <cell r="E36" t="str">
            <v>z.B. Büro- und Wohnflächen, meist Nutzfläche abzüglich Sanitärflächen</v>
          </cell>
          <cell r="F36" t="str">
            <v>NF-SANFH</v>
          </cell>
          <cell r="G36">
            <v>365.36</v>
          </cell>
        </row>
        <row r="37">
          <cell r="C37" t="str">
            <v>SANFH</v>
          </cell>
          <cell r="D37" t="str">
            <v>Sanitärflächen horizontal</v>
          </cell>
          <cell r="G37">
            <v>72.849999999999994</v>
          </cell>
        </row>
        <row r="38">
          <cell r="C38" t="str">
            <v>SANFV</v>
          </cell>
          <cell r="D38" t="str">
            <v>Sanitärflächen vertikal</v>
          </cell>
          <cell r="G38">
            <v>277.64999999999998</v>
          </cell>
        </row>
        <row r="39">
          <cell r="C39" t="str">
            <v>NEBF</v>
          </cell>
          <cell r="D39" t="str">
            <v>Nebenflächen</v>
          </cell>
          <cell r="E39" t="str">
            <v>Gang-, Stiegen-, Garagen- und Nebenraumflächen</v>
          </cell>
          <cell r="F39" t="str">
            <v>NGF-NF</v>
          </cell>
          <cell r="G39">
            <v>122.69</v>
          </cell>
        </row>
        <row r="40">
          <cell r="C40" t="str">
            <v>GANGF</v>
          </cell>
          <cell r="D40" t="str">
            <v>Gangflächen</v>
          </cell>
          <cell r="F40" t="str">
            <v>(NGF-NF)*F_GANGF</v>
          </cell>
          <cell r="G40">
            <v>66.069999999999993</v>
          </cell>
        </row>
        <row r="41">
          <cell r="C41" t="str">
            <v>STIEGF</v>
          </cell>
          <cell r="D41" t="str">
            <v>Stiegenflächen</v>
          </cell>
          <cell r="F41" t="str">
            <v>(NGF-NF)*F_STIEGF</v>
          </cell>
          <cell r="G41">
            <v>5.55</v>
          </cell>
        </row>
        <row r="42">
          <cell r="C42" t="str">
            <v>GARAF</v>
          </cell>
          <cell r="D42" t="str">
            <v>Garagenflächen</v>
          </cell>
          <cell r="F42" t="str">
            <v>(NGF-NF)*F_GARAF</v>
          </cell>
          <cell r="G42">
            <v>0</v>
          </cell>
        </row>
        <row r="43">
          <cell r="C43" t="str">
            <v>NEBF</v>
          </cell>
          <cell r="D43" t="str">
            <v>Nebenraumflächen</v>
          </cell>
          <cell r="F43" t="str">
            <v>(NGF-NF)*F_NEBF</v>
          </cell>
          <cell r="G43">
            <v>10.11</v>
          </cell>
        </row>
        <row r="44">
          <cell r="C44" t="str">
            <v>MALFw</v>
          </cell>
          <cell r="D44" t="str">
            <v>Ausmalflächen Wände</v>
          </cell>
          <cell r="F44" t="str">
            <v>INWF*F_MALFw</v>
          </cell>
          <cell r="G44">
            <v>941.5</v>
          </cell>
        </row>
        <row r="45">
          <cell r="C45" t="str">
            <v>MALFd</v>
          </cell>
          <cell r="D45" t="str">
            <v>Ausmalflächen Decken</v>
          </cell>
          <cell r="F45" t="str">
            <v>DECKF*F_MALFd</v>
          </cell>
          <cell r="G45">
            <v>0</v>
          </cell>
        </row>
        <row r="47">
          <cell r="D47" t="str">
            <v>Nutzer und Nutzungseinheiten</v>
          </cell>
        </row>
        <row r="48">
          <cell r="C48" t="str">
            <v>NFNUE</v>
          </cell>
          <cell r="D48" t="str">
            <v>Nutzfläche je aktiven Nutzer</v>
          </cell>
          <cell r="G48">
            <v>15</v>
          </cell>
        </row>
        <row r="49">
          <cell r="C49" t="str">
            <v>NUE</v>
          </cell>
          <cell r="D49" t="str">
            <v>Nutzungseinheiten bzw. Anzahl aktiver Nutzer</v>
          </cell>
          <cell r="F49" t="str">
            <v>NF/NFNUE</v>
          </cell>
          <cell r="G49">
            <v>30</v>
          </cell>
        </row>
        <row r="51">
          <cell r="D51" t="str">
            <v xml:space="preserve">Flächenwerte für Solarerträge </v>
          </cell>
          <cell r="G51" t="str">
            <v>Berechnung mit Schätzfaktoren</v>
          </cell>
        </row>
        <row r="52">
          <cell r="C52" t="str">
            <v>PVDACH</v>
          </cell>
          <cell r="D52" t="str">
            <v>PV am Dach (oder für PV genutzte Dachfläche)</v>
          </cell>
          <cell r="F52" t="str">
            <v xml:space="preserve">DACHF * F_PVDE </v>
          </cell>
          <cell r="G52" t="str">
            <v>0,00</v>
          </cell>
        </row>
        <row r="53">
          <cell r="C53" t="str">
            <v>PVFASS</v>
          </cell>
          <cell r="D53" t="str">
            <v>PV an der Fassade (oder für PV genutzte Fassadenfläche)</v>
          </cell>
          <cell r="F53" t="str">
            <v>AWF * F_PVF</v>
          </cell>
          <cell r="G53" t="str">
            <v>0,00</v>
          </cell>
        </row>
        <row r="54">
          <cell r="C54" t="str">
            <v>PVFASSab</v>
          </cell>
          <cell r="D54" t="str">
            <v>Davon nur mit Arbeitsbühne erreichbar (Reinigung)</v>
          </cell>
          <cell r="G54">
            <v>0</v>
          </cell>
        </row>
        <row r="55">
          <cell r="C55" t="str">
            <v>SOLARD</v>
          </cell>
          <cell r="D55" t="str">
            <v>Solarthermie am Dach (oder für Solaranlage genutzte Dachfläche)</v>
          </cell>
          <cell r="F55" t="str">
            <v xml:space="preserve">DACHF * F_PVDE </v>
          </cell>
          <cell r="G55" t="str">
            <v>0,00</v>
          </cell>
        </row>
        <row r="56">
          <cell r="C56" t="str">
            <v>SOLARF</v>
          </cell>
          <cell r="D56" t="str">
            <v>Solarthermie an der Fassade (für Solaranlage genutzte Fassadenfläche)</v>
          </cell>
          <cell r="F56" t="str">
            <v>AWF * F_PVF</v>
          </cell>
          <cell r="G56" t="str">
            <v>0,00</v>
          </cell>
        </row>
        <row r="57">
          <cell r="C57" t="str">
            <v>SOLARFab</v>
          </cell>
          <cell r="D57" t="str">
            <v>Davon nur mit Arbeitsbühne erreichbar (Reinigung)</v>
          </cell>
          <cell r="G57">
            <v>0</v>
          </cell>
        </row>
        <row r="59">
          <cell r="D59" t="str">
            <v>Aufzüge</v>
          </cell>
        </row>
        <row r="60">
          <cell r="C60" t="str">
            <v>AUFZANZ</v>
          </cell>
          <cell r="D60" t="str">
            <v>Anzahl der Aufzugskabinen</v>
          </cell>
          <cell r="G60">
            <v>0</v>
          </cell>
        </row>
        <row r="61">
          <cell r="C61" t="str">
            <v>AUFZSTA</v>
          </cell>
          <cell r="D61" t="str">
            <v>Anzahl der Aufzugstationen (Haltepunkte) gesamt</v>
          </cell>
          <cell r="E61" t="str">
            <v>Jeder Haltepunkt jeder Aufzugskabine wird hier einmal gezählt. Bei zwei Aufzügen mit je vier Haltepunkten (Keller, EG, OG1, OG2) beträgt die Anzahl der Aufzugstationen somit acht.</v>
          </cell>
          <cell r="G61">
            <v>0</v>
          </cell>
        </row>
      </sheetData>
      <sheetData sheetId="3">
        <row r="3">
          <cell r="C3" t="str">
            <v>E</v>
          </cell>
          <cell r="D3" t="str">
            <v>Objekt-Errichtung</v>
          </cell>
          <cell r="N3" t="str">
            <v>Berechnung mit Schätzfaktoren</v>
          </cell>
        </row>
        <row r="4">
          <cell r="C4" t="str">
            <v>E0</v>
          </cell>
          <cell r="D4" t="str">
            <v>Grund</v>
          </cell>
          <cell r="M4" t="str">
            <v>#SUM</v>
          </cell>
          <cell r="N4">
            <v>391500</v>
          </cell>
          <cell r="P4" t="str">
            <v>€</v>
          </cell>
        </row>
        <row r="5">
          <cell r="C5" t="str">
            <v>E0.A</v>
          </cell>
          <cell r="D5" t="str">
            <v>Allgemein</v>
          </cell>
          <cell r="N5">
            <v>0</v>
          </cell>
        </row>
        <row r="6">
          <cell r="C6" t="str">
            <v>E0.B</v>
          </cell>
          <cell r="D6" t="str">
            <v>Grunderwerb</v>
          </cell>
          <cell r="N6">
            <v>0</v>
          </cell>
        </row>
        <row r="7">
          <cell r="C7" t="str">
            <v>E0.S</v>
          </cell>
          <cell r="D7" t="str">
            <v>Sonstiges für Grund</v>
          </cell>
          <cell r="E7" t="str">
            <v>Nicht weiter spezifizierte Kosten der Kostengruppe können hier eingegeben werden</v>
          </cell>
          <cell r="N7">
            <v>391500</v>
          </cell>
          <cell r="P7">
            <v>391500</v>
          </cell>
        </row>
        <row r="8">
          <cell r="C8" t="str">
            <v>E1</v>
          </cell>
          <cell r="D8" t="str">
            <v>Aufschließung</v>
          </cell>
          <cell r="M8" t="str">
            <v>#SUM</v>
          </cell>
          <cell r="N8">
            <v>6854.71</v>
          </cell>
          <cell r="P8" t="str">
            <v>€</v>
          </cell>
        </row>
        <row r="9">
          <cell r="C9" t="str">
            <v>E1.A</v>
          </cell>
          <cell r="D9" t="str">
            <v>Allgemein</v>
          </cell>
          <cell r="N9">
            <v>0</v>
          </cell>
        </row>
        <row r="10">
          <cell r="C10" t="str">
            <v>E1.B</v>
          </cell>
          <cell r="D10" t="str">
            <v>Baureifmachung</v>
          </cell>
          <cell r="N10">
            <v>0</v>
          </cell>
        </row>
        <row r="11">
          <cell r="C11" t="str">
            <v>E1.C</v>
          </cell>
          <cell r="D11" t="str">
            <v>Erschließung</v>
          </cell>
          <cell r="N11">
            <v>0</v>
          </cell>
        </row>
        <row r="12">
          <cell r="C12" t="str">
            <v>E1.D</v>
          </cell>
          <cell r="D12" t="str">
            <v>Abbruch, Rückbau</v>
          </cell>
          <cell r="N12">
            <v>0</v>
          </cell>
        </row>
        <row r="13">
          <cell r="C13" t="str">
            <v>E1.Dk</v>
          </cell>
          <cell r="D13" t="str">
            <v>Kubatur</v>
          </cell>
          <cell r="F13">
            <v>0</v>
          </cell>
          <cell r="I13" t="str">
            <v>m³</v>
          </cell>
        </row>
        <row r="14">
          <cell r="C14" t="str">
            <v>E1.Dt</v>
          </cell>
          <cell r="D14" t="str">
            <v>Transportweite</v>
          </cell>
          <cell r="F14">
            <v>50</v>
          </cell>
          <cell r="G14">
            <v>50</v>
          </cell>
          <cell r="I14" t="str">
            <v>km</v>
          </cell>
        </row>
        <row r="15">
          <cell r="C15" t="str">
            <v>E1.E</v>
          </cell>
          <cell r="D15" t="str">
            <v>Provisorien</v>
          </cell>
          <cell r="N15">
            <v>0</v>
          </cell>
        </row>
        <row r="16">
          <cell r="C16" t="str">
            <v>E1.S</v>
          </cell>
          <cell r="D16" t="str">
            <v>Sonstiges für Aufschließung</v>
          </cell>
          <cell r="E16" t="str">
            <v>Nicht weiter spezifizierte Kosten der Kostengruppe können hier eingegeben werden</v>
          </cell>
          <cell r="N16">
            <v>6854.71</v>
          </cell>
          <cell r="P16">
            <v>6854.71</v>
          </cell>
        </row>
        <row r="17">
          <cell r="C17" t="str">
            <v>E2</v>
          </cell>
          <cell r="D17" t="str">
            <v>Bauwerk - Rohbau</v>
          </cell>
          <cell r="M17" t="str">
            <v>#SUM</v>
          </cell>
          <cell r="N17">
            <v>458022.55</v>
          </cell>
          <cell r="P17" t="str">
            <v>€</v>
          </cell>
        </row>
        <row r="18">
          <cell r="C18" t="str">
            <v>E2.A</v>
          </cell>
          <cell r="D18" t="str">
            <v>Allgemein</v>
          </cell>
          <cell r="N18">
            <v>458022.55</v>
          </cell>
          <cell r="P18">
            <v>458022.55</v>
          </cell>
        </row>
        <row r="19">
          <cell r="C19" t="str">
            <v>E2.B</v>
          </cell>
          <cell r="D19" t="str">
            <v>Erdarbeiten, Baugrube</v>
          </cell>
          <cell r="M19" t="str">
            <v>BAUGRV* K_BAUGRV</v>
          </cell>
          <cell r="N19">
            <v>0</v>
          </cell>
          <cell r="O19">
            <v>0</v>
          </cell>
        </row>
        <row r="20">
          <cell r="C20" t="str">
            <v>E2.Ba</v>
          </cell>
          <cell r="D20" t="str">
            <v>Aushub Transportweite</v>
          </cell>
          <cell r="F20">
            <v>50</v>
          </cell>
          <cell r="G20">
            <v>50</v>
          </cell>
          <cell r="I20" t="str">
            <v>km</v>
          </cell>
        </row>
        <row r="21">
          <cell r="C21" t="str">
            <v>E2.C</v>
          </cell>
          <cell r="D21" t="str">
            <v>Gründungen, Bodenkonstruktionen</v>
          </cell>
          <cell r="M21" t="str">
            <v>#SUM</v>
          </cell>
          <cell r="N21">
            <v>0</v>
          </cell>
          <cell r="P21" t="str">
            <v>€</v>
          </cell>
        </row>
        <row r="22">
          <cell r="C22" t="str">
            <v>E2.C.02</v>
          </cell>
          <cell r="D22" t="str">
            <v xml:space="preserve">Tiefengründungen </v>
          </cell>
          <cell r="N22">
            <v>0</v>
          </cell>
        </row>
        <row r="23">
          <cell r="C23" t="str">
            <v>E2.C.03</v>
          </cell>
          <cell r="D23" t="str">
            <v>Flachgründungen</v>
          </cell>
          <cell r="F23">
            <v>633.1</v>
          </cell>
          <cell r="G23">
            <v>633.1</v>
          </cell>
          <cell r="H23">
            <v>633.1</v>
          </cell>
          <cell r="I23" t="str">
            <v>m²</v>
          </cell>
          <cell r="N23">
            <v>0</v>
          </cell>
        </row>
        <row r="24">
          <cell r="C24" t="str">
            <v>E2.C.03a</v>
          </cell>
          <cell r="D24" t="str">
            <v>Fundamentplatte inkl. Rollierung</v>
          </cell>
          <cell r="J24" t="str">
            <v>keine Angabe</v>
          </cell>
          <cell r="K24" t="str">
            <v>keine Angabe</v>
          </cell>
          <cell r="L24" t="str">
            <v>Bitte auswählen</v>
          </cell>
        </row>
        <row r="25">
          <cell r="C25" t="str">
            <v>E2.C.03b</v>
          </cell>
          <cell r="D25" t="str">
            <v>Wärmedämmung</v>
          </cell>
          <cell r="F25">
            <v>5</v>
          </cell>
          <cell r="H25">
            <v>5</v>
          </cell>
          <cell r="I25" t="str">
            <v>cm</v>
          </cell>
          <cell r="J25" t="str">
            <v>Polystyrol XPS unter Bodenplatte</v>
          </cell>
          <cell r="K25" t="str">
            <v>Polystyrol XPS auf Bodenplatte</v>
          </cell>
          <cell r="L25" t="str">
            <v>Polystyrol XPS unter Bodenplatte</v>
          </cell>
        </row>
        <row r="26">
          <cell r="C26" t="str">
            <v>E2.C.03c</v>
          </cell>
          <cell r="D26" t="str">
            <v>Bodenaufbau (Estrich)</v>
          </cell>
          <cell r="J26" t="str">
            <v>keine Angabe</v>
          </cell>
          <cell r="K26" t="str">
            <v>keine Angabe</v>
          </cell>
          <cell r="L26" t="str">
            <v>Bitte auswählen</v>
          </cell>
        </row>
        <row r="27">
          <cell r="C27" t="str">
            <v>E2.C.04</v>
          </cell>
          <cell r="D27" t="str">
            <v>Bodenkonstruktionen</v>
          </cell>
          <cell r="F27">
            <v>633.1</v>
          </cell>
          <cell r="G27">
            <v>0</v>
          </cell>
          <cell r="H27">
            <v>633.1</v>
          </cell>
          <cell r="I27" t="str">
            <v>m²</v>
          </cell>
          <cell r="N27">
            <v>0</v>
          </cell>
        </row>
        <row r="28">
          <cell r="C28" t="str">
            <v>E2.C.04a</v>
          </cell>
          <cell r="D28" t="str">
            <v>Bodenplatte inkl. Rollierung</v>
          </cell>
          <cell r="J28" t="str">
            <v>WU-Beton (E2.C)</v>
          </cell>
          <cell r="K28" t="str">
            <v>keine Angabe</v>
          </cell>
          <cell r="L28" t="str">
            <v>WU-Beton (E2.C)</v>
          </cell>
        </row>
        <row r="29">
          <cell r="C29" t="str">
            <v>E2.C.04b</v>
          </cell>
          <cell r="D29" t="str">
            <v>Wärmedämmung</v>
          </cell>
          <cell r="F29">
            <v>20</v>
          </cell>
          <cell r="H29">
            <v>20</v>
          </cell>
          <cell r="I29" t="str">
            <v>cm</v>
          </cell>
          <cell r="J29" t="str">
            <v>Polystyrol EPS-W25 auf Bodenplatte</v>
          </cell>
          <cell r="K29" t="str">
            <v>keine Angabe</v>
          </cell>
          <cell r="L29" t="str">
            <v>Polystyrol EPS-W25 auf Bodenplatte</v>
          </cell>
        </row>
        <row r="30">
          <cell r="C30" t="str">
            <v>E2.C.04c</v>
          </cell>
          <cell r="D30" t="str">
            <v>Bodenaufbau (Estrich)</v>
          </cell>
          <cell r="J30" t="str">
            <v>Estrich mit Trittschalldämmung ohne Wärmedämmung</v>
          </cell>
          <cell r="K30" t="str">
            <v>keine Angabe</v>
          </cell>
          <cell r="L30" t="str">
            <v>Estrich mit Trittschalldämmung ohne Wärmedämmung</v>
          </cell>
        </row>
        <row r="31">
          <cell r="C31" t="str">
            <v>E2.C.05</v>
          </cell>
          <cell r="D31" t="str">
            <v>Bauwerksabdichtungen</v>
          </cell>
          <cell r="F31">
            <v>633.1</v>
          </cell>
          <cell r="G31">
            <v>633.1</v>
          </cell>
          <cell r="I31" t="str">
            <v>m²</v>
          </cell>
          <cell r="J31" t="str">
            <v>Keine Abdichtung</v>
          </cell>
          <cell r="K31" t="str">
            <v>keine Angabe</v>
          </cell>
          <cell r="L31" t="str">
            <v>Keine Abdichtung</v>
          </cell>
          <cell r="N31">
            <v>0</v>
          </cell>
        </row>
        <row r="32">
          <cell r="C32" t="str">
            <v>E2.C.S</v>
          </cell>
          <cell r="D32" t="str">
            <v>Sonstige Gründungen, Bodenkonstruktionen</v>
          </cell>
          <cell r="M32" t="str">
            <v>GRÜNDF*K_GRÜNDF</v>
          </cell>
          <cell r="N32">
            <v>0</v>
          </cell>
          <cell r="O32">
            <v>0</v>
          </cell>
        </row>
        <row r="33">
          <cell r="C33" t="str">
            <v>E2.C.Fun</v>
          </cell>
          <cell r="D33" t="str">
            <v>Beton und Stahl für Fundament</v>
          </cell>
        </row>
        <row r="34">
          <cell r="C34" t="str">
            <v>E2.C.Fun.a</v>
          </cell>
          <cell r="D34" t="str">
            <v>Normalbeton</v>
          </cell>
          <cell r="F34">
            <v>0</v>
          </cell>
          <cell r="I34" t="str">
            <v>m³</v>
          </cell>
        </row>
        <row r="35">
          <cell r="C35" t="str">
            <v>E2.C.Fun.b</v>
          </cell>
          <cell r="D35" t="str">
            <v>Armierungsstahl</v>
          </cell>
          <cell r="F35">
            <v>0</v>
          </cell>
          <cell r="I35" t="str">
            <v>m³</v>
          </cell>
        </row>
        <row r="36">
          <cell r="C36" t="str">
            <v>E2.C.Fun.c</v>
          </cell>
          <cell r="D36" t="str">
            <v>Kies</v>
          </cell>
          <cell r="F36">
            <v>126.62</v>
          </cell>
          <cell r="H36">
            <v>126.62</v>
          </cell>
          <cell r="I36" t="str">
            <v>m³</v>
          </cell>
        </row>
        <row r="37">
          <cell r="C37" t="str">
            <v>E2.D</v>
          </cell>
          <cell r="D37" t="str">
            <v>Horizontale Baukonstruktionen</v>
          </cell>
          <cell r="M37" t="str">
            <v>#SUM</v>
          </cell>
          <cell r="N37">
            <v>0</v>
          </cell>
          <cell r="P37" t="str">
            <v>€</v>
          </cell>
        </row>
        <row r="38">
          <cell r="C38" t="str">
            <v>E2.D.01</v>
          </cell>
          <cell r="D38" t="str">
            <v>Deckenkonstruktionen</v>
          </cell>
          <cell r="M38" t="str">
            <v>#SUM</v>
          </cell>
          <cell r="N38">
            <v>0</v>
          </cell>
          <cell r="P38" t="str">
            <v>€</v>
          </cell>
        </row>
        <row r="39">
          <cell r="C39" t="str">
            <v>E2.D.01.K</v>
          </cell>
          <cell r="D39" t="str">
            <v>Kellerdecke (KD)</v>
          </cell>
          <cell r="F39">
            <v>0</v>
          </cell>
          <cell r="G39">
            <v>0</v>
          </cell>
          <cell r="I39" t="str">
            <v>m²</v>
          </cell>
          <cell r="J39" t="str">
            <v>Stahlbetondecke 20 cm</v>
          </cell>
          <cell r="K39" t="str">
            <v>Stahlbetondecke 20 cm</v>
          </cell>
          <cell r="L39" t="str">
            <v>Bitte auswählen</v>
          </cell>
          <cell r="N39">
            <v>0</v>
          </cell>
        </row>
        <row r="40">
          <cell r="C40" t="str">
            <v>E2.D.01.Ka</v>
          </cell>
          <cell r="D40" t="str">
            <v>Wärmedämmung für KD</v>
          </cell>
          <cell r="F40">
            <v>0</v>
          </cell>
          <cell r="G40">
            <v>0</v>
          </cell>
          <cell r="I40" t="str">
            <v>m²</v>
          </cell>
          <cell r="J40" t="str">
            <v>keine Angabe</v>
          </cell>
          <cell r="K40" t="str">
            <v>keine Angabe</v>
          </cell>
          <cell r="L40" t="str">
            <v>Bitte auswählen</v>
          </cell>
        </row>
        <row r="41">
          <cell r="C41" t="str">
            <v>E2.D.01.Kb</v>
          </cell>
          <cell r="D41" t="str">
            <v>Dämmstärke</v>
          </cell>
          <cell r="F41">
            <v>0</v>
          </cell>
          <cell r="I41" t="str">
            <v>cm</v>
          </cell>
        </row>
        <row r="42">
          <cell r="C42" t="str">
            <v>E2.D.01.Kc</v>
          </cell>
          <cell r="D42" t="str">
            <v>Estrich auf KD</v>
          </cell>
          <cell r="F42">
            <v>0</v>
          </cell>
          <cell r="G42">
            <v>0</v>
          </cell>
          <cell r="I42" t="str">
            <v>m²</v>
          </cell>
          <cell r="J42" t="str">
            <v>keine Angabe</v>
          </cell>
          <cell r="K42" t="str">
            <v>keine Angabe</v>
          </cell>
          <cell r="L42" t="str">
            <v>Bitte auswählen</v>
          </cell>
        </row>
        <row r="43">
          <cell r="C43" t="str">
            <v>E2.D.01.G</v>
          </cell>
          <cell r="D43" t="str">
            <v>Geschoßdecken (GD)</v>
          </cell>
          <cell r="F43">
            <v>0</v>
          </cell>
          <cell r="G43">
            <v>0</v>
          </cell>
          <cell r="I43" t="str">
            <v>m²</v>
          </cell>
          <cell r="J43" t="str">
            <v>Stahlbetondecke 20 cm</v>
          </cell>
          <cell r="K43" t="str">
            <v>Stahlbetondecke 20 cm</v>
          </cell>
          <cell r="L43" t="str">
            <v>Bitte auswählen</v>
          </cell>
          <cell r="N43">
            <v>0</v>
          </cell>
        </row>
        <row r="44">
          <cell r="C44" t="str">
            <v>E2.D.01.Ga</v>
          </cell>
          <cell r="D44" t="str">
            <v>Estrich auf GD</v>
          </cell>
          <cell r="F44">
            <v>0</v>
          </cell>
          <cell r="G44">
            <v>0</v>
          </cell>
          <cell r="I44" t="str">
            <v>m²</v>
          </cell>
          <cell r="J44" t="str">
            <v>keine Angabe</v>
          </cell>
          <cell r="K44" t="str">
            <v>keine Angabe</v>
          </cell>
          <cell r="L44" t="str">
            <v>Bitte auswählen</v>
          </cell>
        </row>
        <row r="45">
          <cell r="C45" t="str">
            <v>E2.D.01.A</v>
          </cell>
          <cell r="D45" t="str">
            <v>Vorkragende Decken (AD)</v>
          </cell>
          <cell r="F45">
            <v>0</v>
          </cell>
          <cell r="G45">
            <v>0</v>
          </cell>
          <cell r="I45" t="str">
            <v>m²</v>
          </cell>
          <cell r="J45" t="str">
            <v>Stahlbetondecke 20 cm</v>
          </cell>
          <cell r="K45" t="str">
            <v>Stahlbetondecke 20 cm</v>
          </cell>
          <cell r="L45" t="str">
            <v>Bitte auswählen</v>
          </cell>
          <cell r="N45">
            <v>0</v>
          </cell>
        </row>
        <row r="46">
          <cell r="C46" t="str">
            <v>E2.D.01.Aa</v>
          </cell>
          <cell r="D46" t="str">
            <v>Wärmedämmung auf AD</v>
          </cell>
          <cell r="F46">
            <v>0</v>
          </cell>
          <cell r="G46">
            <v>0</v>
          </cell>
          <cell r="I46" t="str">
            <v>m²</v>
          </cell>
          <cell r="J46" t="str">
            <v>keine Angabe</v>
          </cell>
          <cell r="K46" t="str">
            <v>keine Angabe</v>
          </cell>
          <cell r="L46" t="str">
            <v>Bitte auswählen</v>
          </cell>
        </row>
        <row r="47">
          <cell r="C47" t="str">
            <v>E2.D.01.Ab</v>
          </cell>
          <cell r="D47" t="str">
            <v>Dämmstärke</v>
          </cell>
          <cell r="F47">
            <v>0</v>
          </cell>
          <cell r="I47" t="str">
            <v>cm</v>
          </cell>
        </row>
        <row r="48">
          <cell r="C48" t="str">
            <v>E2.D.01.Ac</v>
          </cell>
          <cell r="D48" t="str">
            <v>Estrich auf AD</v>
          </cell>
          <cell r="F48">
            <v>0</v>
          </cell>
          <cell r="G48">
            <v>0</v>
          </cell>
          <cell r="I48" t="str">
            <v>m²</v>
          </cell>
          <cell r="J48" t="str">
            <v>keine Angabe</v>
          </cell>
          <cell r="K48" t="str">
            <v>keine Angabe</v>
          </cell>
          <cell r="L48" t="str">
            <v>Bitte auswählen</v>
          </cell>
        </row>
        <row r="49">
          <cell r="C49" t="str">
            <v>E2.D.01.S</v>
          </cell>
          <cell r="D49" t="str">
            <v>Sonstige Deckenkonstruktionen</v>
          </cell>
          <cell r="E49" t="str">
            <v>Nicht weiter spezifizierte Kosten der Kostengruppe können hier eingegeben werden</v>
          </cell>
          <cell r="M49" t="str">
            <v>DECKF*F_DECKFROH/100*K_DECKF</v>
          </cell>
          <cell r="N49">
            <v>0</v>
          </cell>
          <cell r="O49">
            <v>0</v>
          </cell>
        </row>
        <row r="50">
          <cell r="C50" t="str">
            <v>E2.D.02</v>
          </cell>
          <cell r="D50" t="str">
            <v>Treppenkonstruktionen</v>
          </cell>
          <cell r="F50">
            <v>0</v>
          </cell>
          <cell r="G50">
            <v>5.55</v>
          </cell>
          <cell r="H50">
            <v>0</v>
          </cell>
          <cell r="I50" t="str">
            <v>m²</v>
          </cell>
          <cell r="J50" t="str">
            <v>Stahlbetonstiege</v>
          </cell>
          <cell r="K50" t="str">
            <v>Stahlbetonstiege</v>
          </cell>
          <cell r="L50" t="str">
            <v>Bitte auswählen</v>
          </cell>
          <cell r="N50">
            <v>0</v>
          </cell>
        </row>
        <row r="51">
          <cell r="C51" t="str">
            <v>E2.D.03</v>
          </cell>
          <cell r="D51" t="str">
            <v>Dachkonstruktionen</v>
          </cell>
          <cell r="F51">
            <v>633.1</v>
          </cell>
          <cell r="G51">
            <v>633.1</v>
          </cell>
          <cell r="I51" t="str">
            <v>m²</v>
          </cell>
          <cell r="N51">
            <v>0</v>
          </cell>
          <cell r="O51" t="str">
            <v>€</v>
          </cell>
        </row>
        <row r="52">
          <cell r="C52" t="str">
            <v>E2.D.03.a</v>
          </cell>
          <cell r="D52" t="str">
            <v>Dachkonstruktion 1</v>
          </cell>
          <cell r="F52">
            <v>633.1</v>
          </cell>
          <cell r="G52">
            <v>633.1</v>
          </cell>
          <cell r="I52" t="str">
            <v>m²</v>
          </cell>
          <cell r="J52" t="str">
            <v>Holzleichtdach Innenschale + PE-Dampfbremse</v>
          </cell>
          <cell r="K52" t="str">
            <v>keine Angabe</v>
          </cell>
          <cell r="L52" t="str">
            <v>Holzleichtdach Innenschale + PE-Dampfbremse</v>
          </cell>
          <cell r="M52" t="str">
            <v>DACHF*F_DACHFROH/100*K_DACHF</v>
          </cell>
          <cell r="N52">
            <v>0</v>
          </cell>
          <cell r="O52">
            <v>0</v>
          </cell>
        </row>
        <row r="53">
          <cell r="C53" t="str">
            <v>E2.D.03.a1</v>
          </cell>
          <cell r="D53" t="str">
            <v>Dämmung</v>
          </cell>
          <cell r="F53">
            <v>40</v>
          </cell>
          <cell r="H53">
            <v>40</v>
          </cell>
          <cell r="I53" t="str">
            <v>cm</v>
          </cell>
          <cell r="J53" t="str">
            <v>Polystyroldämmung (XPS oder EPS)</v>
          </cell>
          <cell r="K53" t="str">
            <v>keine Angabe</v>
          </cell>
          <cell r="L53" t="str">
            <v>Polystyroldämmung (XPS oder EPS)</v>
          </cell>
        </row>
        <row r="54">
          <cell r="C54" t="str">
            <v>E2.D.03.a2</v>
          </cell>
          <cell r="D54" t="str">
            <v>Unterdach</v>
          </cell>
          <cell r="J54" t="str">
            <v>keine Angabe</v>
          </cell>
          <cell r="K54" t="str">
            <v>keine Angabe</v>
          </cell>
          <cell r="L54" t="str">
            <v>Bitte auswählen</v>
          </cell>
        </row>
        <row r="55">
          <cell r="C55" t="str">
            <v>E2.D.03.a3</v>
          </cell>
          <cell r="D55" t="str">
            <v>Dachabdichtung</v>
          </cell>
          <cell r="J55" t="str">
            <v>Polymerbitumen-Dichtungsbahn + Gummigranulat</v>
          </cell>
          <cell r="K55" t="str">
            <v>keine Angabe</v>
          </cell>
          <cell r="L55" t="str">
            <v>Polymerbitumen-Dichtungsbahn + Gummigranulat</v>
          </cell>
        </row>
        <row r="56">
          <cell r="C56" t="str">
            <v>E2.D.03.b</v>
          </cell>
          <cell r="D56" t="str">
            <v>Dachkonstruktion 2</v>
          </cell>
          <cell r="F56">
            <v>0</v>
          </cell>
          <cell r="G56">
            <v>0</v>
          </cell>
          <cell r="I56" t="str">
            <v>m²</v>
          </cell>
          <cell r="J56" t="str">
            <v>keine Angabe</v>
          </cell>
          <cell r="K56" t="str">
            <v>keine Angabe</v>
          </cell>
          <cell r="L56" t="str">
            <v>Bitte auswählen</v>
          </cell>
          <cell r="N56">
            <v>0</v>
          </cell>
        </row>
        <row r="57">
          <cell r="C57" t="str">
            <v>E2.D.03.b1</v>
          </cell>
          <cell r="D57" t="str">
            <v>Dämmung</v>
          </cell>
          <cell r="F57">
            <v>0</v>
          </cell>
          <cell r="I57" t="str">
            <v>cm</v>
          </cell>
          <cell r="J57" t="str">
            <v>keine Angabe</v>
          </cell>
          <cell r="K57" t="str">
            <v>keine Angabe</v>
          </cell>
          <cell r="L57" t="str">
            <v>Bitte auswählen</v>
          </cell>
        </row>
        <row r="58">
          <cell r="C58" t="str">
            <v>E2.D.03.b2</v>
          </cell>
          <cell r="D58" t="str">
            <v>Unterdach</v>
          </cell>
          <cell r="J58" t="str">
            <v>keine Angabe</v>
          </cell>
          <cell r="K58" t="str">
            <v>keine Angabe</v>
          </cell>
          <cell r="L58" t="str">
            <v>Bitte auswählen</v>
          </cell>
        </row>
        <row r="59">
          <cell r="C59" t="str">
            <v>E2.D.03.b3</v>
          </cell>
          <cell r="D59" t="str">
            <v>Dachabdichtung</v>
          </cell>
          <cell r="J59" t="str">
            <v>keine Angabe</v>
          </cell>
          <cell r="K59" t="str">
            <v>keine Angabe</v>
          </cell>
          <cell r="L59" t="str">
            <v>Bitte auswählen</v>
          </cell>
        </row>
        <row r="60">
          <cell r="C60" t="str">
            <v>E2.D.04</v>
          </cell>
          <cell r="D60" t="str">
            <v>spezielle Konstruktionen</v>
          </cell>
          <cell r="N60">
            <v>0</v>
          </cell>
        </row>
        <row r="61">
          <cell r="C61" t="str">
            <v>E2.D.S</v>
          </cell>
          <cell r="D61" t="str">
            <v>Sonstiges Horizontale Baukonstruktionen</v>
          </cell>
          <cell r="E61" t="str">
            <v>Nicht weiter spezifizierte Kosten der Kostengruppe können hier eingegeben werden</v>
          </cell>
          <cell r="N61">
            <v>0</v>
          </cell>
        </row>
        <row r="62">
          <cell r="C62" t="str">
            <v>E2.E</v>
          </cell>
          <cell r="D62" t="str">
            <v>Vertikale Baukonstruktionen</v>
          </cell>
          <cell r="M62" t="str">
            <v>#SUM</v>
          </cell>
          <cell r="N62">
            <v>0</v>
          </cell>
          <cell r="P62" t="str">
            <v>€</v>
          </cell>
        </row>
        <row r="63">
          <cell r="C63" t="str">
            <v>E2.E.01</v>
          </cell>
          <cell r="D63" t="str">
            <v>Aussenwandkonstruktionen</v>
          </cell>
          <cell r="F63">
            <v>444.53</v>
          </cell>
          <cell r="H63" t="str">
            <v>m²</v>
          </cell>
          <cell r="M63" t="str">
            <v>#SUM</v>
          </cell>
          <cell r="N63">
            <v>0</v>
          </cell>
          <cell r="P63" t="str">
            <v>€</v>
          </cell>
        </row>
        <row r="64">
          <cell r="C64" t="str">
            <v>E2.E.01.a</v>
          </cell>
          <cell r="D64" t="str">
            <v>Aussenwandkonstruktion 1</v>
          </cell>
          <cell r="F64">
            <v>186.27050000000003</v>
          </cell>
          <cell r="G64">
            <v>444.53</v>
          </cell>
          <cell r="H64">
            <v>186.27050000000003</v>
          </cell>
          <cell r="I64" t="str">
            <v>m²</v>
          </cell>
          <cell r="J64" t="str">
            <v>Stahlbetonwand 18 cm (AW)</v>
          </cell>
          <cell r="K64" t="str">
            <v>keine Angabe</v>
          </cell>
          <cell r="L64" t="str">
            <v>Stahlbetonwand 18 cm (AW)</v>
          </cell>
          <cell r="N64">
            <v>0</v>
          </cell>
        </row>
        <row r="65">
          <cell r="C65" t="str">
            <v>E2.E.01.b</v>
          </cell>
          <cell r="D65" t="str">
            <v>Aussenwandkonstruktion 2</v>
          </cell>
          <cell r="F65">
            <v>0</v>
          </cell>
          <cell r="I65" t="str">
            <v>m²</v>
          </cell>
          <cell r="J65" t="str">
            <v>keine Angabe</v>
          </cell>
          <cell r="K65" t="str">
            <v>keine Angabe</v>
          </cell>
          <cell r="L65" t="str">
            <v>Bitte auswählen</v>
          </cell>
          <cell r="M65" t="str">
            <v>AWF*F_AWFROH/100*K_AWF</v>
          </cell>
          <cell r="N65">
            <v>0</v>
          </cell>
          <cell r="O65">
            <v>0</v>
          </cell>
        </row>
        <row r="66">
          <cell r="C66" t="str">
            <v>E2.E.01.d</v>
          </cell>
          <cell r="D66" t="str">
            <v>Aussenwandkonstruktionen Holzleichtbau</v>
          </cell>
          <cell r="F66">
            <v>258.25949999999995</v>
          </cell>
          <cell r="H66">
            <v>258.25949999999995</v>
          </cell>
          <cell r="I66" t="str">
            <v>m²</v>
          </cell>
          <cell r="J66" t="str">
            <v>Beplankung OSB / MDF-Platte + Dampfbremse</v>
          </cell>
          <cell r="K66" t="str">
            <v>keine Angabe</v>
          </cell>
          <cell r="L66" t="str">
            <v>Beplankung OSB / MDF-Platte + Dampfbremse</v>
          </cell>
          <cell r="N66">
            <v>0</v>
          </cell>
        </row>
        <row r="67">
          <cell r="C67" t="str">
            <v>E2.E.01.ds</v>
          </cell>
          <cell r="D67" t="str">
            <v>Dämmstärke Holzleichtbau</v>
          </cell>
          <cell r="F67">
            <v>42</v>
          </cell>
          <cell r="G67">
            <v>0</v>
          </cell>
          <cell r="H67">
            <v>42</v>
          </cell>
          <cell r="I67" t="str">
            <v>cm</v>
          </cell>
          <cell r="J67" t="str">
            <v>Mineralwolle</v>
          </cell>
          <cell r="K67" t="str">
            <v>keine Angabe</v>
          </cell>
          <cell r="L67" t="str">
            <v>Mineralwolle</v>
          </cell>
        </row>
        <row r="68">
          <cell r="C68" t="str">
            <v>E2.E.01.f</v>
          </cell>
          <cell r="D68" t="str">
            <v>Erdberührte Außenwände</v>
          </cell>
          <cell r="F68">
            <v>0</v>
          </cell>
          <cell r="I68" t="str">
            <v>m²</v>
          </cell>
          <cell r="J68" t="str">
            <v>keine Angabe</v>
          </cell>
          <cell r="K68" t="str">
            <v>keine Angabe</v>
          </cell>
          <cell r="L68" t="str">
            <v>Bitte auswählen</v>
          </cell>
          <cell r="N68">
            <v>0</v>
          </cell>
        </row>
        <row r="69">
          <cell r="C69" t="str">
            <v>E2.E.02</v>
          </cell>
          <cell r="D69" t="str">
            <v>Innenwandkonstruktionen</v>
          </cell>
          <cell r="F69">
            <v>470.75</v>
          </cell>
          <cell r="H69" t="str">
            <v>m²</v>
          </cell>
          <cell r="M69" t="str">
            <v>#SUM</v>
          </cell>
          <cell r="N69">
            <v>0</v>
          </cell>
          <cell r="P69" t="str">
            <v>€</v>
          </cell>
        </row>
        <row r="70">
          <cell r="C70" t="str">
            <v>E2.E.02a</v>
          </cell>
          <cell r="D70" t="str">
            <v>Innenwandkonstruktion 1</v>
          </cell>
          <cell r="F70">
            <v>470.75</v>
          </cell>
          <cell r="G70">
            <v>470.75</v>
          </cell>
          <cell r="I70" t="str">
            <v>m²</v>
          </cell>
          <cell r="J70" t="str">
            <v>GK-Holzständer-Trennwand, Glaswolle</v>
          </cell>
          <cell r="K70" t="str">
            <v>keine Angabe</v>
          </cell>
          <cell r="L70" t="str">
            <v>GK-Holzständer-Trennwand, Glaswolle</v>
          </cell>
          <cell r="N70">
            <v>0</v>
          </cell>
        </row>
        <row r="71">
          <cell r="C71" t="str">
            <v>E2.E.02b</v>
          </cell>
          <cell r="D71" t="str">
            <v>Innenwandkonstruktion 2</v>
          </cell>
          <cell r="F71">
            <v>0</v>
          </cell>
          <cell r="G71">
            <v>0</v>
          </cell>
          <cell r="I71" t="str">
            <v>m²</v>
          </cell>
          <cell r="J71" t="str">
            <v>keine Angabe</v>
          </cell>
          <cell r="K71" t="str">
            <v>keine Angabe</v>
          </cell>
          <cell r="L71" t="str">
            <v>Bitte auswählen</v>
          </cell>
          <cell r="N71">
            <v>0</v>
          </cell>
        </row>
        <row r="72">
          <cell r="C72" t="str">
            <v>E2.E.02c</v>
          </cell>
          <cell r="D72" t="str">
            <v>Innenwandkonstruktion 3</v>
          </cell>
          <cell r="F72">
            <v>0</v>
          </cell>
          <cell r="I72" t="str">
            <v>m²</v>
          </cell>
          <cell r="J72" t="str">
            <v>keine Angabe</v>
          </cell>
          <cell r="K72" t="str">
            <v>keine Angabe</v>
          </cell>
          <cell r="L72" t="str">
            <v>Bitte auswählen</v>
          </cell>
          <cell r="N72">
            <v>0</v>
          </cell>
        </row>
        <row r="73">
          <cell r="C73" t="str">
            <v>E2.E.03</v>
          </cell>
          <cell r="D73" t="str">
            <v>Stützenkonstruktionen</v>
          </cell>
          <cell r="F73">
            <v>0</v>
          </cell>
          <cell r="I73" t="str">
            <v>m²</v>
          </cell>
          <cell r="J73" t="str">
            <v>keine Angabe</v>
          </cell>
          <cell r="K73" t="str">
            <v>keine Angabe</v>
          </cell>
          <cell r="L73" t="str">
            <v>Bitte auswählen</v>
          </cell>
          <cell r="M73" t="str">
            <v>AWF*F_AWSTÜTZ/100*K_AWF+INWF*F_INWSTÜTZ/100*K_INWF</v>
          </cell>
          <cell r="N73">
            <v>0</v>
          </cell>
          <cell r="O73">
            <v>0</v>
          </cell>
        </row>
        <row r="74">
          <cell r="C74" t="str">
            <v>E2.E.04</v>
          </cell>
          <cell r="D74" t="str">
            <v>Spezielle Konstruktionen</v>
          </cell>
          <cell r="N74">
            <v>0</v>
          </cell>
        </row>
        <row r="75">
          <cell r="C75" t="str">
            <v>E2.E.S</v>
          </cell>
          <cell r="D75" t="str">
            <v>Sonstiges Vertikale Baukonstruktionen</v>
          </cell>
          <cell r="E75" t="str">
            <v>Nicht weiter spezifizierte Kosten der Kostengruppe können hier eingegeben werden</v>
          </cell>
          <cell r="N75">
            <v>0</v>
          </cell>
        </row>
        <row r="76">
          <cell r="C76" t="str">
            <v>E2.G</v>
          </cell>
          <cell r="D76" t="str">
            <v>Rohbau zu Bauwerk-Technik</v>
          </cell>
          <cell r="N76">
            <v>0</v>
          </cell>
        </row>
        <row r="77">
          <cell r="C77" t="str">
            <v>E2.S</v>
          </cell>
          <cell r="D77" t="str">
            <v>Rohbau Sonstiges</v>
          </cell>
          <cell r="E77" t="str">
            <v>Nicht weiter spezifizierte Kosten der Kostengruppe können hier eingegeben werden</v>
          </cell>
          <cell r="M77" t="str">
            <v>BGF*(K_SBK+K_BKEINB)</v>
          </cell>
          <cell r="N77">
            <v>0</v>
          </cell>
          <cell r="O77">
            <v>0</v>
          </cell>
        </row>
        <row r="78">
          <cell r="C78" t="str">
            <v>E3</v>
          </cell>
          <cell r="D78" t="str">
            <v>Bauwerk - Technik</v>
          </cell>
          <cell r="M78" t="str">
            <v>#SUM</v>
          </cell>
          <cell r="N78">
            <v>233906.14</v>
          </cell>
          <cell r="P78" t="str">
            <v>€</v>
          </cell>
        </row>
        <row r="79">
          <cell r="C79" t="str">
            <v>E3.A</v>
          </cell>
          <cell r="D79" t="str">
            <v>Allgemein</v>
          </cell>
          <cell r="N79">
            <v>0</v>
          </cell>
        </row>
        <row r="80">
          <cell r="C80" t="str">
            <v>E3.B</v>
          </cell>
          <cell r="D80" t="str">
            <v>Förderanlagen</v>
          </cell>
          <cell r="E80" t="str">
            <v>z.B. Aufzugsanlagen</v>
          </cell>
          <cell r="N80">
            <v>0</v>
          </cell>
        </row>
        <row r="81">
          <cell r="C81" t="str">
            <v>E3.C</v>
          </cell>
          <cell r="D81" t="str">
            <v>Wärmeversorgungsanlagen</v>
          </cell>
          <cell r="M81" t="str">
            <v>#SUM</v>
          </cell>
          <cell r="N81">
            <v>50765.98</v>
          </cell>
          <cell r="P81" t="str">
            <v>€</v>
          </cell>
        </row>
        <row r="82">
          <cell r="C82" t="str">
            <v>E3.C.01</v>
          </cell>
          <cell r="D82" t="str">
            <v>Wärmeerzeugungsanlagen</v>
          </cell>
          <cell r="F82">
            <v>0</v>
          </cell>
          <cell r="I82" t="str">
            <v>m²</v>
          </cell>
          <cell r="N82">
            <v>0</v>
          </cell>
        </row>
        <row r="83">
          <cell r="C83" t="str">
            <v>E3.C.01a</v>
          </cell>
          <cell r="D83" t="str">
            <v>Solarthermie Dach</v>
          </cell>
          <cell r="F83" t="str">
            <v>0,00</v>
          </cell>
          <cell r="G83" t="str">
            <v>0,00</v>
          </cell>
          <cell r="I83" t="str">
            <v>m²</v>
          </cell>
          <cell r="J83" t="str">
            <v>keine Angabe</v>
          </cell>
          <cell r="L83" t="str">
            <v>Bitte auswählen</v>
          </cell>
        </row>
        <row r="84">
          <cell r="C84" t="str">
            <v>E3.C.01b</v>
          </cell>
          <cell r="D84" t="str">
            <v>Solarthermie Fassade</v>
          </cell>
          <cell r="F84" t="str">
            <v>0,00</v>
          </cell>
          <cell r="G84" t="str">
            <v>0,00</v>
          </cell>
          <cell r="I84" t="str">
            <v>m²</v>
          </cell>
          <cell r="J84" t="str">
            <v>keine Angabe</v>
          </cell>
          <cell r="L84" t="str">
            <v>Bitte auswählen</v>
          </cell>
        </row>
        <row r="85">
          <cell r="C85" t="str">
            <v>E3.C.02</v>
          </cell>
          <cell r="D85" t="str">
            <v>Wärmeverteilnetze</v>
          </cell>
          <cell r="N85">
            <v>0</v>
          </cell>
        </row>
        <row r="86">
          <cell r="C86" t="str">
            <v>E3.C.03</v>
          </cell>
          <cell r="D86" t="str">
            <v>Raumheizflächen</v>
          </cell>
          <cell r="N86">
            <v>0</v>
          </cell>
        </row>
        <row r="87">
          <cell r="C87" t="str">
            <v>E3.C.S</v>
          </cell>
          <cell r="D87" t="str">
            <v>Sonstige Wärmeversorgungsanlagen</v>
          </cell>
          <cell r="E87" t="str">
            <v>Nicht weiter spezifizierte Kosten der Kostengruppe können hier eingegeben werden</v>
          </cell>
          <cell r="M87" t="str">
            <v>BGF*K_WÄRMEANL</v>
          </cell>
          <cell r="N87">
            <v>50765.98</v>
          </cell>
          <cell r="O87">
            <v>0</v>
          </cell>
          <cell r="P87">
            <v>50765.98</v>
          </cell>
        </row>
        <row r="88">
          <cell r="C88" t="str">
            <v>E3.D</v>
          </cell>
          <cell r="D88" t="str">
            <v>Klima-/Lüftungsanlagen</v>
          </cell>
          <cell r="M88" t="str">
            <v>#SUM</v>
          </cell>
          <cell r="N88">
            <v>30012.82</v>
          </cell>
          <cell r="P88" t="str">
            <v>€</v>
          </cell>
        </row>
        <row r="89">
          <cell r="C89" t="str">
            <v>E3.D.01</v>
          </cell>
          <cell r="D89" t="str">
            <v>Lüftungsanlagen</v>
          </cell>
          <cell r="N89">
            <v>0</v>
          </cell>
        </row>
        <row r="90">
          <cell r="C90" t="str">
            <v>E3.D.02</v>
          </cell>
          <cell r="D90" t="str">
            <v>Teilklimaanlagen</v>
          </cell>
          <cell r="N90">
            <v>0</v>
          </cell>
        </row>
        <row r="91">
          <cell r="C91" t="str">
            <v>E3.D.03</v>
          </cell>
          <cell r="D91" t="str">
            <v>Klimaanlagen</v>
          </cell>
          <cell r="N91">
            <v>0</v>
          </cell>
        </row>
        <row r="92">
          <cell r="C92" t="str">
            <v>E3.D.04</v>
          </cell>
          <cell r="D92" t="str">
            <v>Kälteanlagen</v>
          </cell>
          <cell r="N92">
            <v>0</v>
          </cell>
        </row>
        <row r="93">
          <cell r="C93" t="str">
            <v>E3.D.05</v>
          </cell>
          <cell r="D93" t="str">
            <v>Prozesslufttechnische Anlagen</v>
          </cell>
          <cell r="N93">
            <v>0</v>
          </cell>
        </row>
        <row r="94">
          <cell r="C94" t="str">
            <v>E3.D.S</v>
          </cell>
          <cell r="D94" t="str">
            <v>Sonstige Klima-/Lüftungsanlagen</v>
          </cell>
          <cell r="E94" t="str">
            <v>Nicht weiter spezifizierte Kosten der Kostengruppe können hier eingegeben werden</v>
          </cell>
          <cell r="M94" t="str">
            <v>BGF*K_LUFTANL</v>
          </cell>
          <cell r="N94">
            <v>30012.82</v>
          </cell>
          <cell r="O94">
            <v>0</v>
          </cell>
          <cell r="P94">
            <v>30012.82</v>
          </cell>
        </row>
        <row r="95">
          <cell r="C95" t="str">
            <v>E3.E</v>
          </cell>
          <cell r="D95" t="str">
            <v>Sanitär-/Gasanlagen</v>
          </cell>
          <cell r="M95" t="str">
            <v>#SUM</v>
          </cell>
          <cell r="N95">
            <v>41789.79</v>
          </cell>
          <cell r="P95" t="str">
            <v>€</v>
          </cell>
        </row>
        <row r="96">
          <cell r="C96" t="str">
            <v>E3.E.01</v>
          </cell>
          <cell r="D96" t="str">
            <v>Abwasseranlagen</v>
          </cell>
          <cell r="N96">
            <v>0</v>
          </cell>
        </row>
        <row r="97">
          <cell r="C97" t="str">
            <v>E3.E.02</v>
          </cell>
          <cell r="D97" t="str">
            <v>Wasseranlagen</v>
          </cell>
          <cell r="N97">
            <v>0</v>
          </cell>
        </row>
        <row r="98">
          <cell r="C98" t="str">
            <v>E3.E.03</v>
          </cell>
          <cell r="D98" t="str">
            <v>Gasanlagen</v>
          </cell>
          <cell r="N98">
            <v>0</v>
          </cell>
        </row>
        <row r="99">
          <cell r="C99" t="str">
            <v>E3.E.04</v>
          </cell>
          <cell r="D99" t="str">
            <v>Feuerlöschanlagen</v>
          </cell>
          <cell r="N99">
            <v>0</v>
          </cell>
        </row>
        <row r="100">
          <cell r="C100" t="str">
            <v>E3.E.S</v>
          </cell>
          <cell r="D100" t="str">
            <v>Sonstige Sanitär-/Gasanlagen</v>
          </cell>
          <cell r="E100" t="str">
            <v>Nicht weiter spezifizierte Kosten der Kostengruppe können hier eingegeben werden</v>
          </cell>
          <cell r="M100" t="str">
            <v>BGF*K_WASGAS</v>
          </cell>
          <cell r="N100">
            <v>41789.79</v>
          </cell>
          <cell r="O100">
            <v>0</v>
          </cell>
          <cell r="P100">
            <v>41789.79</v>
          </cell>
        </row>
        <row r="101">
          <cell r="C101" t="str">
            <v>E3.F</v>
          </cell>
          <cell r="D101" t="str">
            <v>Starkstromanlagen</v>
          </cell>
          <cell r="M101" t="str">
            <v>#SUM</v>
          </cell>
          <cell r="N101">
            <v>68272.87</v>
          </cell>
          <cell r="P101" t="str">
            <v>€</v>
          </cell>
        </row>
        <row r="102">
          <cell r="C102" t="str">
            <v>E3.F.01</v>
          </cell>
          <cell r="D102" t="str">
            <v>Hoch-/Mittelspannungsanlage</v>
          </cell>
          <cell r="N102">
            <v>0</v>
          </cell>
        </row>
        <row r="103">
          <cell r="C103" t="str">
            <v>E3.F.02</v>
          </cell>
          <cell r="D103" t="str">
            <v>Eigenstromversorgung</v>
          </cell>
          <cell r="F103">
            <v>0</v>
          </cell>
          <cell r="I103" t="str">
            <v>m² (PV)</v>
          </cell>
          <cell r="M103" t="str">
            <v>#SUM</v>
          </cell>
          <cell r="N103">
            <v>0</v>
          </cell>
        </row>
        <row r="104">
          <cell r="C104" t="str">
            <v>E3.F.02a</v>
          </cell>
          <cell r="D104" t="str">
            <v>PV am Dach</v>
          </cell>
          <cell r="F104" t="str">
            <v>0,00</v>
          </cell>
          <cell r="G104" t="str">
            <v>0,00</v>
          </cell>
          <cell r="I104" t="str">
            <v>m²</v>
          </cell>
          <cell r="J104" t="str">
            <v>keine Angabe</v>
          </cell>
          <cell r="L104" t="str">
            <v>Bitte auswählen</v>
          </cell>
          <cell r="M104" t="str">
            <v>PVDACH*K_PVDACH</v>
          </cell>
          <cell r="N104">
            <v>0</v>
          </cell>
          <cell r="O104">
            <v>0</v>
          </cell>
        </row>
        <row r="105">
          <cell r="C105" t="str">
            <v>E3.F.02b</v>
          </cell>
          <cell r="D105" t="str">
            <v>PV an der Fassade</v>
          </cell>
          <cell r="F105" t="str">
            <v>0,00</v>
          </cell>
          <cell r="G105" t="str">
            <v>0,00</v>
          </cell>
          <cell r="I105" t="str">
            <v>m²</v>
          </cell>
          <cell r="J105" t="str">
            <v>keine Angabe</v>
          </cell>
          <cell r="L105" t="str">
            <v>Bitte auswählen</v>
          </cell>
          <cell r="M105" t="str">
            <v>PVFASS*K_PVFASS</v>
          </cell>
          <cell r="N105">
            <v>0</v>
          </cell>
          <cell r="O105">
            <v>0</v>
          </cell>
        </row>
        <row r="106">
          <cell r="C106" t="str">
            <v>E3.F.02c</v>
          </cell>
          <cell r="D106" t="str">
            <v>sonstige Eigenstromversorgung</v>
          </cell>
          <cell r="N106">
            <v>0</v>
          </cell>
        </row>
        <row r="107">
          <cell r="C107" t="str">
            <v>E3.F.03</v>
          </cell>
          <cell r="D107" t="str">
            <v>Niederspannungsschaltanlagen</v>
          </cell>
          <cell r="N107">
            <v>0</v>
          </cell>
        </row>
        <row r="108">
          <cell r="C108" t="str">
            <v>E3.F.04</v>
          </cell>
          <cell r="D108" t="str">
            <v>Niederspannungsinstallation</v>
          </cell>
          <cell r="N108">
            <v>0</v>
          </cell>
        </row>
        <row r="109">
          <cell r="C109" t="str">
            <v>E3.F.05</v>
          </cell>
          <cell r="D109" t="str">
            <v>Beleuchtungsanlagen</v>
          </cell>
          <cell r="N109">
            <v>0</v>
          </cell>
        </row>
        <row r="110">
          <cell r="C110" t="str">
            <v>E3.F.06</v>
          </cell>
          <cell r="D110" t="str">
            <v>Blitzschutzanlagen</v>
          </cell>
          <cell r="N110">
            <v>0</v>
          </cell>
        </row>
        <row r="111">
          <cell r="C111" t="str">
            <v>E3.F.S</v>
          </cell>
          <cell r="D111" t="str">
            <v>Sonstige Starkstromanlagen</v>
          </cell>
          <cell r="E111" t="str">
            <v>Nicht weiter spezifizierte Kosten der Kostengruppe können hier eingegeben werden</v>
          </cell>
          <cell r="M111" t="str">
            <v>BGF*K_SSANL</v>
          </cell>
          <cell r="N111">
            <v>68272.87</v>
          </cell>
          <cell r="O111">
            <v>0</v>
          </cell>
          <cell r="P111">
            <v>68272.87</v>
          </cell>
        </row>
        <row r="112">
          <cell r="C112" t="str">
            <v>E3.G</v>
          </cell>
          <cell r="D112" t="str">
            <v>Fernmelde- und Informationstechnische Anlagen</v>
          </cell>
          <cell r="M112" t="str">
            <v>#SUM</v>
          </cell>
          <cell r="N112">
            <v>24178.26</v>
          </cell>
          <cell r="P112" t="str">
            <v>€</v>
          </cell>
        </row>
        <row r="113">
          <cell r="C113" t="str">
            <v>E3.G.01</v>
          </cell>
          <cell r="D113" t="str">
            <v>Telekommunikationsanlagen</v>
          </cell>
          <cell r="N113">
            <v>0</v>
          </cell>
        </row>
        <row r="114">
          <cell r="C114" t="str">
            <v>E3.G.02</v>
          </cell>
          <cell r="D114" t="str">
            <v>Such-/Signalanlagen</v>
          </cell>
          <cell r="N114">
            <v>0</v>
          </cell>
        </row>
        <row r="115">
          <cell r="C115" t="str">
            <v>E3.G.03</v>
          </cell>
          <cell r="D115" t="str">
            <v>Zeitdienstanlagen</v>
          </cell>
          <cell r="N115">
            <v>0</v>
          </cell>
        </row>
        <row r="116">
          <cell r="C116" t="str">
            <v>E3.G.04</v>
          </cell>
          <cell r="D116" t="str">
            <v>Elektroakustische Anlagen</v>
          </cell>
          <cell r="N116">
            <v>0</v>
          </cell>
        </row>
        <row r="117">
          <cell r="C117" t="str">
            <v>E3.G.05</v>
          </cell>
          <cell r="D117" t="str">
            <v>Fernseh-/Antennenanlagen</v>
          </cell>
          <cell r="N117">
            <v>0</v>
          </cell>
        </row>
        <row r="118">
          <cell r="C118" t="str">
            <v>E3.G.06</v>
          </cell>
          <cell r="D118" t="str">
            <v>Gefahrenmelde-/Alarmanlagen</v>
          </cell>
          <cell r="N118">
            <v>0</v>
          </cell>
        </row>
        <row r="119">
          <cell r="C119" t="str">
            <v>E3.G.07</v>
          </cell>
          <cell r="D119" t="str">
            <v>Übertragungsnetze</v>
          </cell>
          <cell r="N119">
            <v>0</v>
          </cell>
        </row>
        <row r="120">
          <cell r="C120" t="str">
            <v>E3.G.S</v>
          </cell>
          <cell r="D120" t="str">
            <v>Sonstige Informationstechnische Anlagen</v>
          </cell>
          <cell r="E120" t="str">
            <v>Nicht weiter spezifizierte Kosten der Kostengruppe können hier eingegeben werden</v>
          </cell>
          <cell r="M120" t="str">
            <v>BGF*K_FMANL</v>
          </cell>
          <cell r="N120">
            <v>24178.26</v>
          </cell>
          <cell r="O120">
            <v>0</v>
          </cell>
          <cell r="P120">
            <v>24178.26</v>
          </cell>
        </row>
        <row r="121">
          <cell r="C121" t="str">
            <v>E3.H</v>
          </cell>
          <cell r="D121" t="str">
            <v>Gebäudeautomation</v>
          </cell>
          <cell r="M121" t="str">
            <v>#SUM</v>
          </cell>
          <cell r="N121">
            <v>12523.72</v>
          </cell>
          <cell r="P121" t="str">
            <v>€</v>
          </cell>
        </row>
        <row r="122">
          <cell r="C122" t="str">
            <v>E3.H.01</v>
          </cell>
          <cell r="D122" t="str">
            <v>Mess-, Steuer-, Regel- und Leitanlagen</v>
          </cell>
          <cell r="N122">
            <v>0</v>
          </cell>
        </row>
        <row r="123">
          <cell r="C123" t="str">
            <v>E3.H.S</v>
          </cell>
          <cell r="D123" t="str">
            <v>Sonstiges</v>
          </cell>
          <cell r="E123" t="str">
            <v>Nicht weiter spezifizierte Kosten der Kostengruppe können hier eingegeben werden</v>
          </cell>
          <cell r="M123" t="str">
            <v>BGF*K_GEBAUTOANL</v>
          </cell>
          <cell r="N123">
            <v>12523.72</v>
          </cell>
          <cell r="O123">
            <v>0</v>
          </cell>
          <cell r="P123">
            <v>12523.72</v>
          </cell>
        </row>
        <row r="124">
          <cell r="C124" t="str">
            <v>E3.I</v>
          </cell>
          <cell r="D124" t="str">
            <v>Spezielle Anlagen</v>
          </cell>
          <cell r="M124" t="str">
            <v>#SUM</v>
          </cell>
          <cell r="N124">
            <v>0</v>
          </cell>
          <cell r="P124" t="str">
            <v>€</v>
          </cell>
        </row>
        <row r="125">
          <cell r="C125" t="str">
            <v>E3.I.01</v>
          </cell>
          <cell r="D125" t="str">
            <v>Maschinenanlagen</v>
          </cell>
          <cell r="N125">
            <v>0</v>
          </cell>
        </row>
        <row r="126">
          <cell r="C126" t="str">
            <v>E3.I.02</v>
          </cell>
          <cell r="D126" t="str">
            <v>Mechatronische Anlagen</v>
          </cell>
          <cell r="N126">
            <v>0</v>
          </cell>
        </row>
        <row r="127">
          <cell r="C127" t="str">
            <v>E3.I.S</v>
          </cell>
          <cell r="D127" t="str">
            <v>Sonstiges</v>
          </cell>
          <cell r="E127" t="str">
            <v>Nicht weiter spezifizierte Kosten der Kostengruppe können hier eingegeben werden</v>
          </cell>
          <cell r="N127">
            <v>0</v>
          </cell>
        </row>
        <row r="128">
          <cell r="C128" t="str">
            <v>E3.S</v>
          </cell>
          <cell r="D128" t="str">
            <v>Sonstiges Bauwerk-Technik</v>
          </cell>
          <cell r="M128" t="str">
            <v>#SUM</v>
          </cell>
          <cell r="N128">
            <v>6362.7</v>
          </cell>
          <cell r="P128" t="str">
            <v>€</v>
          </cell>
        </row>
        <row r="129">
          <cell r="C129" t="str">
            <v>E3.S.01</v>
          </cell>
          <cell r="D129" t="str">
            <v>Sonstiges Bauwerk-Technik</v>
          </cell>
          <cell r="E129" t="str">
            <v>Nicht weiter spezifizierte Kosten der Kostengruppe können hier eingegeben werden</v>
          </cell>
          <cell r="M129" t="str">
            <v>BGF*K_STANL</v>
          </cell>
          <cell r="N129">
            <v>6362.7</v>
          </cell>
          <cell r="O129">
            <v>0</v>
          </cell>
          <cell r="P129">
            <v>6362.7</v>
          </cell>
        </row>
        <row r="130">
          <cell r="C130" t="str">
            <v>E4</v>
          </cell>
          <cell r="D130" t="str">
            <v>Bauwerk - Ausbau</v>
          </cell>
          <cell r="M130" t="str">
            <v>#SUM</v>
          </cell>
          <cell r="N130">
            <v>377372.72</v>
          </cell>
          <cell r="P130" t="str">
            <v>€</v>
          </cell>
        </row>
        <row r="131">
          <cell r="C131" t="str">
            <v>E4.A</v>
          </cell>
          <cell r="D131" t="str">
            <v>Allgemein</v>
          </cell>
          <cell r="N131">
            <v>0</v>
          </cell>
        </row>
        <row r="132">
          <cell r="C132" t="str">
            <v>E4.B</v>
          </cell>
          <cell r="D132" t="str">
            <v>Dachverkleidung</v>
          </cell>
          <cell r="M132" t="str">
            <v>#SUM</v>
          </cell>
          <cell r="N132">
            <v>166948.47</v>
          </cell>
          <cell r="P132" t="str">
            <v>€</v>
          </cell>
        </row>
        <row r="133">
          <cell r="C133" t="str">
            <v>E4.B.01</v>
          </cell>
          <cell r="D133" t="str">
            <v>Dachbeläge</v>
          </cell>
          <cell r="F133">
            <v>633.1</v>
          </cell>
          <cell r="G133">
            <v>633.1</v>
          </cell>
          <cell r="I133" t="str">
            <v>m²</v>
          </cell>
          <cell r="M133" t="str">
            <v>#SUM</v>
          </cell>
          <cell r="N133">
            <v>166948.47</v>
          </cell>
          <cell r="P133" t="str">
            <v>€</v>
          </cell>
        </row>
        <row r="134">
          <cell r="C134" t="str">
            <v>E4.B.01.a</v>
          </cell>
          <cell r="D134" t="str">
            <v>Dachbelag 1</v>
          </cell>
          <cell r="F134">
            <v>633.1</v>
          </cell>
          <cell r="G134">
            <v>633.1</v>
          </cell>
          <cell r="I134" t="str">
            <v>m²</v>
          </cell>
          <cell r="J134" t="str">
            <v>Kiesdach</v>
          </cell>
          <cell r="K134" t="str">
            <v>keine Angabe</v>
          </cell>
          <cell r="L134" t="str">
            <v>Kiesdach</v>
          </cell>
          <cell r="N134">
            <v>166948.47</v>
          </cell>
          <cell r="O134">
            <v>0</v>
          </cell>
          <cell r="P134">
            <v>166948.47</v>
          </cell>
        </row>
        <row r="135">
          <cell r="C135" t="str">
            <v>E4.B.01.b</v>
          </cell>
          <cell r="D135" t="str">
            <v>Dachbelag 2</v>
          </cell>
          <cell r="F135">
            <v>0</v>
          </cell>
          <cell r="I135" t="str">
            <v>m²</v>
          </cell>
          <cell r="J135" t="str">
            <v>keine Angabe</v>
          </cell>
          <cell r="K135" t="str">
            <v>keine Angabe</v>
          </cell>
          <cell r="L135" t="str">
            <v>Bitte auswählen</v>
          </cell>
          <cell r="M135" t="str">
            <v>DACHF*F_DACHFAUS/100*K_DACHF</v>
          </cell>
          <cell r="N135">
            <v>0</v>
          </cell>
        </row>
        <row r="136">
          <cell r="D136" t="str">
            <v>Dachintegrierte Photovoltaikmodule</v>
          </cell>
          <cell r="E136" t="str">
            <v>Kosten und Ökokennzahlen bei Eigenstromversorgung</v>
          </cell>
          <cell r="F136" t="str">
            <v>0,00</v>
          </cell>
          <cell r="G136" t="str">
            <v>0,00</v>
          </cell>
          <cell r="I136" t="str">
            <v>m²</v>
          </cell>
        </row>
        <row r="137">
          <cell r="D137" t="str">
            <v>Dachintegrierte Solarkollektoren</v>
          </cell>
          <cell r="E137" t="str">
            <v>Kosten und Ökokennzahlen bei Wärmeerzeugungsanlagen</v>
          </cell>
          <cell r="F137" t="str">
            <v>0,00</v>
          </cell>
          <cell r="G137" t="str">
            <v>0,00</v>
          </cell>
          <cell r="I137" t="str">
            <v>m²</v>
          </cell>
        </row>
        <row r="138">
          <cell r="C138" t="str">
            <v>E4.B.02</v>
          </cell>
          <cell r="D138" t="str">
            <v>Dachfenster/-öffnungen</v>
          </cell>
          <cell r="F138">
            <v>1.1000000000000001</v>
          </cell>
          <cell r="G138">
            <v>1.1000000000000001</v>
          </cell>
          <cell r="I138" t="str">
            <v>m²</v>
          </cell>
          <cell r="N138">
            <v>0</v>
          </cell>
        </row>
        <row r="139">
          <cell r="C139" t="str">
            <v>E4.B.02a</v>
          </cell>
          <cell r="D139" t="str">
            <v>Verglasung</v>
          </cell>
          <cell r="F139">
            <v>0.7</v>
          </cell>
          <cell r="G139">
            <v>0.7</v>
          </cell>
          <cell r="I139" t="str">
            <v>%</v>
          </cell>
          <cell r="J139" t="str">
            <v>Dreifachverglasung Argon</v>
          </cell>
          <cell r="K139" t="str">
            <v>keine Angabe</v>
          </cell>
          <cell r="L139" t="str">
            <v>Dreifachverglasung Argon</v>
          </cell>
        </row>
        <row r="140">
          <cell r="C140" t="str">
            <v>E4.B.02b</v>
          </cell>
          <cell r="D140" t="str">
            <v>Rahmen</v>
          </cell>
          <cell r="F140">
            <v>0.30000000000000004</v>
          </cell>
          <cell r="I140" t="str">
            <v>%</v>
          </cell>
          <cell r="J140" t="str">
            <v>Holz-Alu-Rahmen 110 mm</v>
          </cell>
          <cell r="K140" t="str">
            <v>keine Angabe</v>
          </cell>
          <cell r="L140" t="str">
            <v>Holz-Alu-Rahmen 110 mm</v>
          </cell>
        </row>
        <row r="141">
          <cell r="C141" t="str">
            <v>E4.B.03</v>
          </cell>
          <cell r="D141" t="str">
            <v>Balkon-/Terrassenbeläge</v>
          </cell>
          <cell r="N141">
            <v>0</v>
          </cell>
        </row>
        <row r="142">
          <cell r="C142" t="str">
            <v>E4.B.S</v>
          </cell>
          <cell r="D142" t="str">
            <v>Sonstige Dachverkleidung</v>
          </cell>
          <cell r="E142" t="str">
            <v>Nicht weiter spezifizierte Kosten der Kostengruppe können hier eingegeben werden</v>
          </cell>
          <cell r="N142">
            <v>0</v>
          </cell>
        </row>
        <row r="143">
          <cell r="C143" t="str">
            <v>E4.C</v>
          </cell>
          <cell r="D143" t="str">
            <v>Fassadenhülle</v>
          </cell>
          <cell r="M143" t="str">
            <v>#SUM</v>
          </cell>
          <cell r="N143">
            <v>127713.47</v>
          </cell>
          <cell r="P143" t="str">
            <v>€</v>
          </cell>
        </row>
        <row r="144">
          <cell r="C144" t="str">
            <v>E4.C.01</v>
          </cell>
          <cell r="D144" t="str">
            <v>Fassadenverkleidungen</v>
          </cell>
          <cell r="F144">
            <v>302.88</v>
          </cell>
          <cell r="G144">
            <v>302.88</v>
          </cell>
          <cell r="I144" t="str">
            <v>m²</v>
          </cell>
          <cell r="M144" t="str">
            <v>#SUM</v>
          </cell>
          <cell r="N144">
            <v>127713.47</v>
          </cell>
          <cell r="P144" t="str">
            <v>€</v>
          </cell>
        </row>
        <row r="145">
          <cell r="C145" t="str">
            <v>E4.C.01a</v>
          </cell>
          <cell r="D145" t="str">
            <v>Putzfassade</v>
          </cell>
          <cell r="F145">
            <v>0</v>
          </cell>
          <cell r="G145">
            <v>0</v>
          </cell>
          <cell r="I145" t="str">
            <v>m²</v>
          </cell>
          <cell r="J145" t="str">
            <v>keine Angabe</v>
          </cell>
          <cell r="K145" t="str">
            <v>keine Angabe</v>
          </cell>
          <cell r="L145" t="str">
            <v>Bitte auswählen</v>
          </cell>
          <cell r="N145">
            <v>0</v>
          </cell>
        </row>
        <row r="146">
          <cell r="C146" t="str">
            <v>E4.C.01a1</v>
          </cell>
          <cell r="D146" t="str">
            <v>Putzfassade - Dämmstärke</v>
          </cell>
          <cell r="F146">
            <v>0</v>
          </cell>
          <cell r="G146">
            <v>0</v>
          </cell>
          <cell r="I146" t="str">
            <v>cm</v>
          </cell>
        </row>
        <row r="147">
          <cell r="C147" t="str">
            <v>E4.C.01b</v>
          </cell>
          <cell r="D147" t="str">
            <v>Vorgehängte Fassade</v>
          </cell>
          <cell r="F147">
            <v>302.88</v>
          </cell>
          <cell r="I147" t="str">
            <v>m²</v>
          </cell>
          <cell r="M147" t="str">
            <v>AWF*F_AWFAUS/100*K_AWF</v>
          </cell>
          <cell r="N147">
            <v>127713.47</v>
          </cell>
          <cell r="O147">
            <v>0</v>
          </cell>
          <cell r="P147">
            <v>127713.47</v>
          </cell>
        </row>
        <row r="148">
          <cell r="C148" t="str">
            <v>E4.C.01b1</v>
          </cell>
          <cell r="D148" t="str">
            <v>Vorgehängte Fassade - Verkleidung</v>
          </cell>
          <cell r="J148" t="str">
            <v>Faserzement auf Latten</v>
          </cell>
          <cell r="K148" t="str">
            <v>keine Angabe</v>
          </cell>
          <cell r="L148" t="str">
            <v>Faserzement auf Latten</v>
          </cell>
        </row>
        <row r="149">
          <cell r="C149" t="str">
            <v>E4.C.01b2</v>
          </cell>
          <cell r="D149" t="str">
            <v>Vorgehängte Fassade - Dämmebene</v>
          </cell>
          <cell r="F149">
            <v>0</v>
          </cell>
          <cell r="I149" t="str">
            <v>cm</v>
          </cell>
          <cell r="J149" t="str">
            <v>keine Angabe</v>
          </cell>
          <cell r="K149" t="str">
            <v>keine Angabe</v>
          </cell>
          <cell r="L149" t="str">
            <v>Bitte auswählen</v>
          </cell>
        </row>
        <row r="150">
          <cell r="D150" t="str">
            <v>Fassadenintegrierte Photovoltaikmodule</v>
          </cell>
          <cell r="E150" t="str">
            <v>Kosten und Ökokennzahlen bei Eigenstromversorgung</v>
          </cell>
          <cell r="F150" t="str">
            <v>0,00</v>
          </cell>
          <cell r="G150" t="str">
            <v>0,00</v>
          </cell>
          <cell r="I150" t="str">
            <v>m²</v>
          </cell>
        </row>
        <row r="151">
          <cell r="D151" t="str">
            <v>Fassadenintegrierte Solarkollektoren</v>
          </cell>
          <cell r="E151" t="str">
            <v>Kosten und Ökokennzahlen bei Wärmeerzeugungsanlagen</v>
          </cell>
          <cell r="F151" t="str">
            <v>0,00</v>
          </cell>
          <cell r="G151" t="str">
            <v>0,00</v>
          </cell>
          <cell r="I151" t="str">
            <v>m²</v>
          </cell>
        </row>
        <row r="152">
          <cell r="C152" t="str">
            <v>E4.C.02</v>
          </cell>
          <cell r="D152" t="str">
            <v>Fassadenöffnungen</v>
          </cell>
          <cell r="M152" t="str">
            <v>#SUM</v>
          </cell>
          <cell r="N152">
            <v>0</v>
          </cell>
          <cell r="P152" t="str">
            <v>€</v>
          </cell>
        </row>
        <row r="153">
          <cell r="C153" t="str">
            <v>E4.C.02a</v>
          </cell>
          <cell r="D153" t="str">
            <v>Fenster</v>
          </cell>
          <cell r="F153">
            <v>42.45</v>
          </cell>
          <cell r="G153">
            <v>42.45</v>
          </cell>
          <cell r="I153" t="str">
            <v>m²</v>
          </cell>
          <cell r="N153">
            <v>0</v>
          </cell>
        </row>
        <row r="154">
          <cell r="C154" t="str">
            <v>E4.C.02a1</v>
          </cell>
          <cell r="D154" t="str">
            <v>Verglasung</v>
          </cell>
          <cell r="F154">
            <v>0.7</v>
          </cell>
          <cell r="G154">
            <v>0.7</v>
          </cell>
          <cell r="I154" t="str">
            <v>%</v>
          </cell>
          <cell r="J154" t="str">
            <v>Dreifachverglasung Argon</v>
          </cell>
          <cell r="K154" t="str">
            <v>keine Angabe</v>
          </cell>
          <cell r="L154" t="str">
            <v>Dreifachverglasung Argon</v>
          </cell>
        </row>
        <row r="155">
          <cell r="C155" t="str">
            <v>E4.C.02a2</v>
          </cell>
          <cell r="D155" t="str">
            <v>Rahmen</v>
          </cell>
          <cell r="F155">
            <v>0.30000000000000004</v>
          </cell>
          <cell r="I155" t="str">
            <v>%</v>
          </cell>
          <cell r="J155" t="str">
            <v>Holz-Alu-Rahmen 110 mm</v>
          </cell>
          <cell r="K155" t="str">
            <v>keine Angabe</v>
          </cell>
          <cell r="L155" t="str">
            <v>Holz-Alu-Rahmen 110 mm</v>
          </cell>
        </row>
        <row r="156">
          <cell r="C156" t="str">
            <v>E4.C.02b</v>
          </cell>
          <cell r="D156" t="str">
            <v>Türen</v>
          </cell>
          <cell r="J156" t="str">
            <v>keine Angabe</v>
          </cell>
          <cell r="K156" t="str">
            <v>keine Angabe</v>
          </cell>
          <cell r="N156">
            <v>0</v>
          </cell>
        </row>
        <row r="157">
          <cell r="C157" t="str">
            <v>E4.C.02c</v>
          </cell>
          <cell r="D157" t="str">
            <v>Glasfassade</v>
          </cell>
          <cell r="F157">
            <v>99.2</v>
          </cell>
          <cell r="G157">
            <v>99.2</v>
          </cell>
          <cell r="I157" t="str">
            <v>m²</v>
          </cell>
          <cell r="N157">
            <v>0</v>
          </cell>
        </row>
        <row r="158">
          <cell r="C158" t="str">
            <v>E4.C.02c1</v>
          </cell>
          <cell r="D158" t="str">
            <v>Verglasung</v>
          </cell>
          <cell r="F158">
            <v>0.9</v>
          </cell>
          <cell r="G158">
            <v>0.7</v>
          </cell>
          <cell r="H158">
            <v>0.9</v>
          </cell>
          <cell r="I158" t="str">
            <v>%</v>
          </cell>
          <cell r="J158" t="str">
            <v>Dreifachverglasung Argon</v>
          </cell>
          <cell r="K158" t="str">
            <v>keine Angabe</v>
          </cell>
          <cell r="L158" t="str">
            <v>Dreifachverglasung Argon</v>
          </cell>
        </row>
        <row r="159">
          <cell r="C159" t="str">
            <v>E4.C.02c2</v>
          </cell>
          <cell r="D159" t="str">
            <v>Rahmen</v>
          </cell>
          <cell r="F159">
            <v>9.9999999999999978E-2</v>
          </cell>
          <cell r="I159" t="str">
            <v>%</v>
          </cell>
          <cell r="J159" t="str">
            <v>Holz-Alu-Rahmen 110 mm</v>
          </cell>
          <cell r="K159" t="str">
            <v>keine Angabe</v>
          </cell>
          <cell r="L159" t="str">
            <v>Holz-Alu-Rahmen 110 mm</v>
          </cell>
        </row>
        <row r="160">
          <cell r="C160" t="str">
            <v>E4.C.02s</v>
          </cell>
          <cell r="D160" t="str">
            <v>Sonstige Fassadenöffnungen</v>
          </cell>
          <cell r="E160" t="str">
            <v>Nicht weiter spezifizierte Kosten der Kostengruppe können hier eingegeben werden</v>
          </cell>
          <cell r="N160">
            <v>0</v>
          </cell>
        </row>
        <row r="161">
          <cell r="C161" t="str">
            <v>E4.C.03</v>
          </cell>
          <cell r="D161" t="str">
            <v>Sonnenschutz</v>
          </cell>
          <cell r="N161">
            <v>0</v>
          </cell>
        </row>
        <row r="162">
          <cell r="C162" t="str">
            <v>E4.C.04</v>
          </cell>
          <cell r="D162" t="str">
            <v>Außenhülle erdberührt</v>
          </cell>
          <cell r="F162">
            <v>0</v>
          </cell>
          <cell r="G162">
            <v>0</v>
          </cell>
          <cell r="H162">
            <v>0</v>
          </cell>
          <cell r="I162" t="str">
            <v>m²</v>
          </cell>
          <cell r="N162">
            <v>0</v>
          </cell>
        </row>
        <row r="163">
          <cell r="C163" t="str">
            <v>E4.C.04a</v>
          </cell>
          <cell r="D163" t="str">
            <v>Sockeldämmung</v>
          </cell>
          <cell r="F163">
            <v>20</v>
          </cell>
          <cell r="H163">
            <v>20</v>
          </cell>
          <cell r="I163" t="str">
            <v>cm</v>
          </cell>
          <cell r="J163" t="str">
            <v>XPS-Sockeldämmung</v>
          </cell>
          <cell r="K163" t="str">
            <v>keine Angabe</v>
          </cell>
          <cell r="L163" t="str">
            <v>XPS-Sockeldämmung</v>
          </cell>
        </row>
        <row r="164">
          <cell r="C164" t="str">
            <v>E4.C.04b</v>
          </cell>
          <cell r="D164" t="str">
            <v>Perimeterdämmung</v>
          </cell>
          <cell r="F164">
            <v>0</v>
          </cell>
          <cell r="I164" t="str">
            <v>cm</v>
          </cell>
          <cell r="J164" t="str">
            <v>XPS-Perimeterdämmung</v>
          </cell>
          <cell r="K164" t="str">
            <v>keine Angabe</v>
          </cell>
          <cell r="L164" t="str">
            <v>XPS-Perimeterdämmung</v>
          </cell>
        </row>
        <row r="165">
          <cell r="C165" t="str">
            <v>E4.C.S</v>
          </cell>
          <cell r="D165" t="str">
            <v>Sonstige Fassadenhülle</v>
          </cell>
          <cell r="E165" t="str">
            <v>Nicht weiter spezifizierte Kosten der Kostengruppe können hier eingegeben werden</v>
          </cell>
          <cell r="N165">
            <v>0</v>
          </cell>
        </row>
        <row r="166">
          <cell r="C166" t="str">
            <v>E4.D</v>
          </cell>
          <cell r="D166" t="str">
            <v>Innenausbau</v>
          </cell>
          <cell r="M166" t="str">
            <v>#SUM</v>
          </cell>
          <cell r="N166">
            <v>82710.78</v>
          </cell>
          <cell r="P166" t="str">
            <v>€</v>
          </cell>
        </row>
        <row r="167">
          <cell r="C167" t="str">
            <v>E4.D.01</v>
          </cell>
          <cell r="D167" t="str">
            <v>Bodenbeläge</v>
          </cell>
          <cell r="F167">
            <v>560.9</v>
          </cell>
          <cell r="G167">
            <v>560.9</v>
          </cell>
          <cell r="I167" t="str">
            <v>m²</v>
          </cell>
          <cell r="M167" t="str">
            <v>DECKF*F_DECKFAUS/100*K_DECKF</v>
          </cell>
          <cell r="N167">
            <v>0</v>
          </cell>
          <cell r="O167">
            <v>0</v>
          </cell>
        </row>
        <row r="168">
          <cell r="C168" t="str">
            <v>E4.D.01a</v>
          </cell>
          <cell r="D168" t="str">
            <v>Bodenbelag 1</v>
          </cell>
          <cell r="F168">
            <v>58.199999999999996</v>
          </cell>
          <cell r="G168">
            <v>560.9</v>
          </cell>
          <cell r="H168">
            <v>58.199999999999996</v>
          </cell>
          <cell r="I168" t="str">
            <v>m²</v>
          </cell>
          <cell r="J168" t="str">
            <v>Linoleum verklebt</v>
          </cell>
          <cell r="K168" t="str">
            <v>keine Angabe</v>
          </cell>
          <cell r="L168" t="str">
            <v>Linoleum verklebt</v>
          </cell>
        </row>
        <row r="169">
          <cell r="C169" t="str">
            <v>E4.D.01b</v>
          </cell>
          <cell r="D169" t="str">
            <v>Bodenbelag 2</v>
          </cell>
          <cell r="F169">
            <v>82.649999999999991</v>
          </cell>
          <cell r="G169">
            <v>502.7</v>
          </cell>
          <cell r="H169">
            <v>82.649999999999991</v>
          </cell>
          <cell r="I169" t="str">
            <v>m²</v>
          </cell>
          <cell r="J169" t="str">
            <v>Fliesen verklebt</v>
          </cell>
          <cell r="K169" t="str">
            <v>keine Angabe</v>
          </cell>
          <cell r="L169" t="str">
            <v>Fliesen verklebt</v>
          </cell>
        </row>
        <row r="170">
          <cell r="C170" t="str">
            <v>E4.D.01c</v>
          </cell>
          <cell r="D170" t="str">
            <v>Bodenbelag 3</v>
          </cell>
          <cell r="F170">
            <v>420.05</v>
          </cell>
          <cell r="J170" t="str">
            <v>Massivparkett verklebt</v>
          </cell>
          <cell r="K170" t="str">
            <v>keine Angabe</v>
          </cell>
          <cell r="L170" t="str">
            <v>Massivparkett verklebt</v>
          </cell>
        </row>
        <row r="171">
          <cell r="C171" t="str">
            <v>E4.D.02</v>
          </cell>
          <cell r="D171" t="str">
            <v>Wandverkleidungen</v>
          </cell>
          <cell r="M171" t="str">
            <v>INWF*F_INWFAUS/100*K_INWF</v>
          </cell>
          <cell r="N171">
            <v>82710.78</v>
          </cell>
          <cell r="O171">
            <v>0</v>
          </cell>
          <cell r="P171">
            <v>82710.78</v>
          </cell>
        </row>
        <row r="172">
          <cell r="C172" t="str">
            <v>E4.D.02a</v>
          </cell>
          <cell r="D172" t="str">
            <v>Wandverkleidung 1</v>
          </cell>
          <cell r="F172">
            <v>444.53</v>
          </cell>
          <cell r="H172">
            <v>444.53</v>
          </cell>
          <cell r="I172" t="str">
            <v>m²</v>
          </cell>
          <cell r="J172" t="str">
            <v>Gipskarton mit Lattung Steinwolle (WV)</v>
          </cell>
          <cell r="K172" t="str">
            <v>keine Angabe</v>
          </cell>
          <cell r="L172" t="str">
            <v>Gipskarton mit Lattung Steinwolle (WV)</v>
          </cell>
        </row>
        <row r="173">
          <cell r="C173" t="str">
            <v>E4.D.02b</v>
          </cell>
          <cell r="D173" t="str">
            <v>Wandverkleidung 2</v>
          </cell>
          <cell r="F173">
            <v>0</v>
          </cell>
          <cell r="I173" t="str">
            <v>m²</v>
          </cell>
          <cell r="J173" t="str">
            <v>keine Angabe</v>
          </cell>
          <cell r="K173" t="str">
            <v>keine Angabe</v>
          </cell>
          <cell r="L173" t="str">
            <v>Bitte auswählen</v>
          </cell>
        </row>
        <row r="174">
          <cell r="C174" t="str">
            <v>E4.D.03</v>
          </cell>
          <cell r="D174" t="str">
            <v>Deckenverkleidungen</v>
          </cell>
          <cell r="M174" t="str">
            <v>DECKF*F_DECKFAUS/100*K_DECKF</v>
          </cell>
          <cell r="N174">
            <v>0</v>
          </cell>
          <cell r="O174">
            <v>0</v>
          </cell>
        </row>
        <row r="175">
          <cell r="C175" t="str">
            <v>E4.D.03a</v>
          </cell>
          <cell r="D175" t="str">
            <v>Kellerdeckenverkleidungen</v>
          </cell>
          <cell r="F175">
            <v>0</v>
          </cell>
          <cell r="I175" t="str">
            <v>m²</v>
          </cell>
          <cell r="J175" t="str">
            <v>keine Angabe</v>
          </cell>
          <cell r="K175" t="str">
            <v>keine Angabe</v>
          </cell>
          <cell r="L175" t="str">
            <v>Bitte auswählen</v>
          </cell>
        </row>
        <row r="176">
          <cell r="C176" t="str">
            <v>E4.D.03b</v>
          </cell>
          <cell r="D176" t="str">
            <v>Geschoßdeckenverkleidungen</v>
          </cell>
          <cell r="F176">
            <v>443.17</v>
          </cell>
          <cell r="H176">
            <v>443.17</v>
          </cell>
          <cell r="I176" t="str">
            <v>m²</v>
          </cell>
          <cell r="J176" t="str">
            <v>Holzwolleleichtbauplatte</v>
          </cell>
          <cell r="K176" t="str">
            <v>keine Angabe</v>
          </cell>
          <cell r="L176" t="str">
            <v>Holzwolleleichtbauplatte</v>
          </cell>
        </row>
        <row r="177">
          <cell r="C177" t="str">
            <v>E4.D.03c</v>
          </cell>
          <cell r="D177" t="str">
            <v>Dachverkleidungen</v>
          </cell>
          <cell r="F177">
            <v>189.93</v>
          </cell>
          <cell r="H177">
            <v>189.93</v>
          </cell>
          <cell r="I177" t="str">
            <v>m²</v>
          </cell>
          <cell r="J177" t="str">
            <v>Gipskarton mit Lattung Steinwolle (DV)</v>
          </cell>
          <cell r="K177" t="str">
            <v>keine Angabe</v>
          </cell>
          <cell r="L177" t="str">
            <v>Gipskarton mit Lattung Steinwolle (DV)</v>
          </cell>
        </row>
        <row r="178">
          <cell r="C178" t="str">
            <v>E4.D.04</v>
          </cell>
          <cell r="D178" t="str">
            <v>Innentüren, Innenfenster</v>
          </cell>
          <cell r="F178">
            <v>0</v>
          </cell>
          <cell r="I178" t="str">
            <v>m²</v>
          </cell>
          <cell r="N178">
            <v>0</v>
          </cell>
        </row>
        <row r="179">
          <cell r="C179" t="str">
            <v>E4.D.05</v>
          </cell>
          <cell r="D179" t="str">
            <v>Innenwandelemente</v>
          </cell>
          <cell r="F179">
            <v>0</v>
          </cell>
          <cell r="I179" t="str">
            <v>m²</v>
          </cell>
          <cell r="J179" t="str">
            <v>keine Angabe</v>
          </cell>
          <cell r="K179" t="str">
            <v>keine Angabe</v>
          </cell>
          <cell r="L179" t="str">
            <v>Bitte auswählen</v>
          </cell>
          <cell r="N179">
            <v>0</v>
          </cell>
        </row>
        <row r="180">
          <cell r="C180" t="str">
            <v>E4.D.S</v>
          </cell>
          <cell r="D180" t="str">
            <v>Sonstiger Innenausbau</v>
          </cell>
          <cell r="E180" t="str">
            <v>Nicht weiter spezifizierte Kosten der Kostengruppe können hier eingegeben werden</v>
          </cell>
          <cell r="N180">
            <v>0</v>
          </cell>
        </row>
        <row r="181">
          <cell r="C181" t="str">
            <v>E5</v>
          </cell>
          <cell r="D181" t="str">
            <v>Einrichtung</v>
          </cell>
          <cell r="M181" t="str">
            <v>#SUM</v>
          </cell>
          <cell r="N181">
            <v>45545.7</v>
          </cell>
          <cell r="P181" t="str">
            <v>€</v>
          </cell>
        </row>
        <row r="182">
          <cell r="C182" t="str">
            <v>E5.A</v>
          </cell>
          <cell r="D182" t="str">
            <v>Allgemein</v>
          </cell>
          <cell r="N182">
            <v>0</v>
          </cell>
        </row>
        <row r="183">
          <cell r="C183" t="str">
            <v>E5.B</v>
          </cell>
          <cell r="D183" t="str">
            <v>Betriebseinrichtungen</v>
          </cell>
          <cell r="N183">
            <v>0</v>
          </cell>
        </row>
        <row r="184">
          <cell r="C184" t="str">
            <v>E5.C</v>
          </cell>
          <cell r="D184" t="str">
            <v>Ausstattungen, Kunstwerke</v>
          </cell>
          <cell r="N184">
            <v>0</v>
          </cell>
        </row>
        <row r="185">
          <cell r="C185" t="str">
            <v>E5.S</v>
          </cell>
          <cell r="D185" t="str">
            <v>Sonstige Einrichtung</v>
          </cell>
          <cell r="E185" t="str">
            <v>Nicht weiter spezifizierte Kosten der Kostengruppe können hier eingegeben werden</v>
          </cell>
          <cell r="M185" t="str">
            <v>BWK*F_EINR/100</v>
          </cell>
          <cell r="N185">
            <v>45545.7</v>
          </cell>
          <cell r="O185">
            <v>0</v>
          </cell>
          <cell r="P185">
            <v>45545.7</v>
          </cell>
        </row>
        <row r="186">
          <cell r="C186" t="str">
            <v>E6</v>
          </cell>
          <cell r="D186" t="str">
            <v>Außenanlagen</v>
          </cell>
          <cell r="M186" t="str">
            <v>#SUM</v>
          </cell>
          <cell r="N186">
            <v>47413.41</v>
          </cell>
          <cell r="P186" t="str">
            <v>€</v>
          </cell>
        </row>
        <row r="187">
          <cell r="C187" t="str">
            <v>E6.A</v>
          </cell>
          <cell r="D187" t="str">
            <v>Allgemein</v>
          </cell>
          <cell r="N187">
            <v>0</v>
          </cell>
        </row>
        <row r="188">
          <cell r="C188" t="str">
            <v>E6.B</v>
          </cell>
          <cell r="D188" t="str">
            <v>Geländeflächen</v>
          </cell>
          <cell r="N188">
            <v>0</v>
          </cell>
        </row>
        <row r="189">
          <cell r="C189" t="str">
            <v>E6.C</v>
          </cell>
          <cell r="D189" t="str">
            <v>Befestigte Flächen</v>
          </cell>
          <cell r="N189">
            <v>0</v>
          </cell>
        </row>
        <row r="190">
          <cell r="C190" t="str">
            <v>E6.D</v>
          </cell>
          <cell r="D190" t="str">
            <v xml:space="preserve">Bauteile Außenanlagen </v>
          </cell>
          <cell r="N190">
            <v>0</v>
          </cell>
        </row>
        <row r="191">
          <cell r="C191" t="str">
            <v>E6.S</v>
          </cell>
          <cell r="D191" t="str">
            <v>Sonstige Außenanlagen</v>
          </cell>
          <cell r="E191" t="str">
            <v>Nicht weiter spezifizierte Kosten der Kostengruppe können hier eingegeben werden</v>
          </cell>
          <cell r="M191" t="str">
            <v>BWK*F_AUSSENAN/100</v>
          </cell>
          <cell r="N191">
            <v>47413.41</v>
          </cell>
          <cell r="O191">
            <v>0</v>
          </cell>
          <cell r="P191">
            <v>47413.41</v>
          </cell>
        </row>
        <row r="192">
          <cell r="C192" t="str">
            <v>E7</v>
          </cell>
          <cell r="D192" t="str">
            <v>Planungsleistungen</v>
          </cell>
          <cell r="M192" t="str">
            <v>#SUM</v>
          </cell>
          <cell r="N192">
            <v>138302</v>
          </cell>
          <cell r="P192" t="str">
            <v>€</v>
          </cell>
        </row>
        <row r="193">
          <cell r="C193" t="str">
            <v>E7.C</v>
          </cell>
          <cell r="D193" t="str">
            <v>Planungsleistung</v>
          </cell>
          <cell r="N193">
            <v>0</v>
          </cell>
        </row>
        <row r="194">
          <cell r="C194" t="str">
            <v xml:space="preserve">E7.S </v>
          </cell>
          <cell r="D194" t="str">
            <v>Sonstige Planungsleistungen</v>
          </cell>
          <cell r="E194" t="str">
            <v>Nicht weiter spezifizierte Kosten der Kostengruppe können hier eingegeben werden</v>
          </cell>
          <cell r="M194" t="str">
            <v>BWK*F_PLAN*/100</v>
          </cell>
          <cell r="N194">
            <v>138302</v>
          </cell>
          <cell r="O194">
            <v>0</v>
          </cell>
          <cell r="P194">
            <v>138302</v>
          </cell>
        </row>
        <row r="195">
          <cell r="C195" t="str">
            <v>E8</v>
          </cell>
          <cell r="D195" t="str">
            <v>Nebenleistungen</v>
          </cell>
          <cell r="M195" t="str">
            <v>#SUM</v>
          </cell>
          <cell r="N195">
            <v>20657.560000000001</v>
          </cell>
          <cell r="P195" t="str">
            <v>€</v>
          </cell>
        </row>
        <row r="196">
          <cell r="C196" t="str">
            <v>E8.B</v>
          </cell>
          <cell r="D196" t="str">
            <v>Baunebenleistungen</v>
          </cell>
          <cell r="N196">
            <v>0</v>
          </cell>
        </row>
        <row r="197">
          <cell r="C197" t="str">
            <v>E8.S</v>
          </cell>
          <cell r="D197" t="str">
            <v>Sonstige Nebenleistungen</v>
          </cell>
          <cell r="E197" t="str">
            <v>Nicht weiter spezifizierte Kosten der Kostengruppe können hier eingegeben werden</v>
          </cell>
          <cell r="M197" t="str">
            <v>BWK*F_NEBEN/100</v>
          </cell>
          <cell r="N197">
            <v>20657.560000000001</v>
          </cell>
          <cell r="O197">
            <v>0</v>
          </cell>
          <cell r="P197">
            <v>20657.560000000001</v>
          </cell>
        </row>
        <row r="198">
          <cell r="C198" t="str">
            <v>E9</v>
          </cell>
          <cell r="D198" t="str">
            <v>Reserven</v>
          </cell>
          <cell r="M198" t="str">
            <v>#SUM</v>
          </cell>
          <cell r="N198">
            <v>134274.14000000001</v>
          </cell>
          <cell r="P198" t="str">
            <v>€</v>
          </cell>
        </row>
        <row r="199">
          <cell r="C199" t="str">
            <v>E9.A</v>
          </cell>
          <cell r="D199" t="str">
            <v>Allgemein</v>
          </cell>
          <cell r="N199">
            <v>0</v>
          </cell>
        </row>
        <row r="200">
          <cell r="C200" t="str">
            <v>E9.B</v>
          </cell>
          <cell r="D200" t="str">
            <v>Reservemittel Budget</v>
          </cell>
          <cell r="N200">
            <v>0</v>
          </cell>
        </row>
        <row r="201">
          <cell r="C201" t="str">
            <v>E9.S</v>
          </cell>
          <cell r="D201" t="str">
            <v>Sonstige Reservemittel</v>
          </cell>
          <cell r="E201" t="str">
            <v>Nicht weiter spezifizierte Kosten der Kostengruppe können hier eingegeben werden</v>
          </cell>
          <cell r="M201" t="str">
            <v>BWK*F_RESERVE/100</v>
          </cell>
          <cell r="N201">
            <v>134274.14000000001</v>
          </cell>
          <cell r="O201">
            <v>0</v>
          </cell>
          <cell r="P201">
            <v>134274.14000000001</v>
          </cell>
        </row>
        <row r="202">
          <cell r="D202" t="str">
            <v>Kostenkennwerte</v>
          </cell>
        </row>
        <row r="203">
          <cell r="C203" t="str">
            <v>BWK</v>
          </cell>
          <cell r="D203" t="str">
            <v>Bauwerkskosten  [E2-E4]</v>
          </cell>
          <cell r="M203" t="str">
            <v>E2+E3+E4</v>
          </cell>
          <cell r="N203">
            <v>1069301.4099999999</v>
          </cell>
          <cell r="P203" t="str">
            <v>€</v>
          </cell>
        </row>
        <row r="204">
          <cell r="C204" t="str">
            <v>BK</v>
          </cell>
          <cell r="D204" t="str">
            <v>Baukosten  [E1-E6]</v>
          </cell>
          <cell r="M204" t="str">
            <v>E1+BWK+E5+E6</v>
          </cell>
          <cell r="N204">
            <v>1169115.2299999997</v>
          </cell>
          <cell r="P204" t="str">
            <v>€</v>
          </cell>
        </row>
        <row r="205">
          <cell r="C205" t="str">
            <v>EK</v>
          </cell>
          <cell r="D205" t="str">
            <v>Errichtungskosten [E1-E9]</v>
          </cell>
          <cell r="M205" t="str">
            <v>BK+E7+E8+E9</v>
          </cell>
          <cell r="N205">
            <v>1462348.9299999997</v>
          </cell>
          <cell r="P205" t="str">
            <v>€</v>
          </cell>
        </row>
        <row r="206">
          <cell r="C206" t="str">
            <v>GK</v>
          </cell>
          <cell r="D206" t="str">
            <v>Gesamtkosten Errichtung [E0-E9]</v>
          </cell>
          <cell r="M206" t="str">
            <v>E0+EK</v>
          </cell>
          <cell r="N206">
            <v>1853848.9299999997</v>
          </cell>
          <cell r="P206" t="str">
            <v>€</v>
          </cell>
        </row>
      </sheetData>
      <sheetData sheetId="4">
        <row r="2">
          <cell r="C2" t="str">
            <v>Variable</v>
          </cell>
          <cell r="D2" t="str">
            <v>Bezeichnung</v>
          </cell>
          <cell r="E2" t="str">
            <v>Anmerkung</v>
          </cell>
          <cell r="F2" t="str">
            <v>Formel</v>
          </cell>
          <cell r="G2" t="str">
            <v>Anteil in %</v>
          </cell>
          <cell r="H2" t="str">
            <v>Default %</v>
          </cell>
          <cell r="I2" t="str">
            <v>Eingabe %</v>
          </cell>
          <cell r="J2" t="str">
            <v>Rechenwert</v>
          </cell>
        </row>
        <row r="3">
          <cell r="D3" t="str">
            <v>Heizung</v>
          </cell>
        </row>
        <row r="4">
          <cell r="D4" t="str">
            <v>Nutzenergie Heizung</v>
          </cell>
        </row>
        <row r="5">
          <cell r="D5" t="str">
            <v>Heizwärmebedarf HWB Einstufung</v>
          </cell>
          <cell r="J5" t="str">
            <v>sehr niedrig</v>
          </cell>
        </row>
        <row r="6">
          <cell r="C6" t="str">
            <v>HWB</v>
          </cell>
          <cell r="D6" t="str">
            <v>Heizwärmebedarf</v>
          </cell>
          <cell r="J6">
            <v>13</v>
          </cell>
        </row>
        <row r="7">
          <cell r="D7" t="str">
            <v>Faktor Wärmeverteilverluste</v>
          </cell>
          <cell r="J7">
            <v>1.1100000000000001</v>
          </cell>
        </row>
        <row r="8">
          <cell r="D8" t="str">
            <v>HWB (inkl. Verteilverluste), exkl. Verluste Wärmeversorgung/-speicherung</v>
          </cell>
          <cell r="J8">
            <v>14.430000000000001</v>
          </cell>
        </row>
        <row r="9">
          <cell r="D9" t="str">
            <v>Solarthermie</v>
          </cell>
        </row>
        <row r="10">
          <cell r="D10" t="str">
            <v>Ertrag aus Solarthermie (abgegebene Energie an Kollektorkreis)</v>
          </cell>
          <cell r="E10" t="str">
            <v>Defaultwert je nach Eingabe in "Allgemeine Angaben"*Fläche</v>
          </cell>
          <cell r="J10">
            <v>0</v>
          </cell>
        </row>
        <row r="11">
          <cell r="D11" t="str">
            <v>Energielieferung Warmwassererwärmung</v>
          </cell>
          <cell r="J11">
            <v>0</v>
          </cell>
        </row>
        <row r="12">
          <cell r="D12" t="str">
            <v>Energielieferung Heizwärme</v>
          </cell>
          <cell r="J12">
            <v>0</v>
          </cell>
        </row>
        <row r="13">
          <cell r="C13" t="str">
            <v>SOLDGWW</v>
          </cell>
          <cell r="D13" t="str">
            <v>Solarer Jahresdeckungsgrad Warmwasser</v>
          </cell>
          <cell r="J13">
            <v>0</v>
          </cell>
        </row>
        <row r="14">
          <cell r="C14" t="str">
            <v>SOLDGHW</v>
          </cell>
          <cell r="D14" t="str">
            <v>Solarer Jahresdeckungsgrad Heizwärme</v>
          </cell>
          <cell r="J14">
            <v>0</v>
          </cell>
        </row>
        <row r="15">
          <cell r="D15" t="str">
            <v>Energieträger Heizung</v>
          </cell>
          <cell r="E15" t="str">
            <v>Kombinationen von bis zu 3 Energieträgern können eingegeben werden</v>
          </cell>
        </row>
        <row r="16">
          <cell r="C16" t="str">
            <v>HEIZE1</v>
          </cell>
          <cell r="D16" t="str">
            <v>Energieträger 1</v>
          </cell>
          <cell r="G16">
            <v>1</v>
          </cell>
          <cell r="H16">
            <v>1</v>
          </cell>
          <cell r="J16" t="str">
            <v>Wärmepumpe (JAZ = 3,5)</v>
          </cell>
        </row>
        <row r="17">
          <cell r="C17" t="str">
            <v>HEIZE2</v>
          </cell>
          <cell r="D17" t="str">
            <v>Energieträger 2</v>
          </cell>
          <cell r="G17">
            <v>0</v>
          </cell>
          <cell r="H17">
            <v>0</v>
          </cell>
          <cell r="J17" t="str">
            <v>keine Angabe</v>
          </cell>
        </row>
        <row r="18">
          <cell r="C18" t="str">
            <v>HEIZE3</v>
          </cell>
          <cell r="D18" t="str">
            <v>Energieträger 3</v>
          </cell>
          <cell r="G18">
            <v>0</v>
          </cell>
          <cell r="J18" t="str">
            <v>keine Angabe</v>
          </cell>
        </row>
        <row r="19">
          <cell r="D19" t="str">
            <v>Endenergie Heizung</v>
          </cell>
        </row>
        <row r="20">
          <cell r="D20" t="str">
            <v>Einstufung Energiebedarf Hilfsstrom für Raumwärmeversorgung</v>
          </cell>
          <cell r="J20" t="str">
            <v>sehr niedrig</v>
          </cell>
        </row>
        <row r="21">
          <cell r="C21" t="str">
            <v>HEBRW</v>
          </cell>
          <cell r="D21" t="str">
            <v>Heizenergiebedarf Raumwärme HEB-RH (inkl. Hilfsstrom), exkl. Berücksichtigung solarer Gewinne</v>
          </cell>
          <cell r="F21" t="str">
            <v>HWB*(%-Anteil Energieträger 1*Faktor*Nutzungsgrad+….)</v>
          </cell>
          <cell r="J21">
            <v>4.1228571428571428</v>
          </cell>
        </row>
        <row r="22">
          <cell r="D22" t="str">
            <v>Heizenergiebedarf Raumwärme HEB-RH (inkl. Hilfsstrom), inkl. Berücksichtigung solarer Gewinne</v>
          </cell>
          <cell r="F22" t="str">
            <v>HWB*(%-Anteil Energieträger 1*Faktor*Nutzungsgrad+….)</v>
          </cell>
          <cell r="J22">
            <v>4.1228571428571428</v>
          </cell>
        </row>
        <row r="23">
          <cell r="C23" t="str">
            <v>HILFHEIZ</v>
          </cell>
          <cell r="D23" t="str">
            <v>Anteil Hilfsstrom</v>
          </cell>
          <cell r="J23">
            <v>0.24737142857142855</v>
          </cell>
        </row>
        <row r="24">
          <cell r="C24" t="str">
            <v>HEIZkWh</v>
          </cell>
          <cell r="D24" t="str">
            <v>Heizenergiebedarf Raumwärme HEB-RH (exkl. Hilfsstrom)</v>
          </cell>
          <cell r="J24">
            <v>3.8754857142857144</v>
          </cell>
        </row>
        <row r="25">
          <cell r="D25" t="str">
            <v>Durchschnittliche Aufwände Heizung</v>
          </cell>
          <cell r="J25" t="str">
            <v>Zu den Tarifen (Tabellenblatt "Ver- und Entsorgung")</v>
          </cell>
        </row>
        <row r="26">
          <cell r="C26" t="str">
            <v>KOHEIZ</v>
          </cell>
          <cell r="D26" t="str">
            <v>Kosten für Heizen</v>
          </cell>
          <cell r="F26" t="str">
            <v>HEIZE1*XY +HEIZE2*XY+ HEIZE3*XY</v>
          </cell>
          <cell r="J26">
            <v>0.18</v>
          </cell>
        </row>
        <row r="27">
          <cell r="C27" t="str">
            <v>GWPHEIZ</v>
          </cell>
          <cell r="D27" t="str">
            <v>GWP für Heizung/kWh</v>
          </cell>
          <cell r="F27" t="str">
            <v>(GWP1+GWP2+GWP3)*3,6 (MJ vs. kWh)</v>
          </cell>
          <cell r="J27">
            <v>0.39600000000000002</v>
          </cell>
        </row>
        <row r="28">
          <cell r="C28" t="str">
            <v>PEHEIZ</v>
          </cell>
          <cell r="D28" t="str">
            <v>PE n.e. für Heizung/kWh</v>
          </cell>
          <cell r="J28">
            <v>5.3639999999999999</v>
          </cell>
        </row>
        <row r="30">
          <cell r="D30" t="str">
            <v>Warmwasser</v>
          </cell>
        </row>
        <row r="31">
          <cell r="D31" t="str">
            <v>Nutzenergie Warmwasser</v>
          </cell>
        </row>
        <row r="32">
          <cell r="D32" t="str">
            <v>Warmwasserwärmebedarf Einstufung</v>
          </cell>
          <cell r="J32" t="str">
            <v>sehr niedrig</v>
          </cell>
        </row>
        <row r="33">
          <cell r="C33" t="str">
            <v>WWWB</v>
          </cell>
          <cell r="D33" t="str">
            <v>Warmwasserwärmebedarf  WWWB</v>
          </cell>
          <cell r="J33">
            <v>4</v>
          </cell>
        </row>
        <row r="34">
          <cell r="D34" t="str">
            <v>mit/ohne Zirkulation</v>
          </cell>
          <cell r="J34">
            <v>0</v>
          </cell>
        </row>
        <row r="35">
          <cell r="D35" t="str">
            <v>Faktor Verteilverluste WW</v>
          </cell>
          <cell r="E35" t="str">
            <v>Defaultwert mit bzw. ohne Zirkulation</v>
          </cell>
          <cell r="J35">
            <v>1.5</v>
          </cell>
        </row>
        <row r="36">
          <cell r="D36" t="str">
            <v>WWWB (inkl. Verteilverluste)</v>
          </cell>
          <cell r="J36">
            <v>6</v>
          </cell>
        </row>
        <row r="37">
          <cell r="D37" t="str">
            <v>Energieträger Warmwasser</v>
          </cell>
          <cell r="E37" t="str">
            <v>Kombinationen von bis zu 3 Energieträgern können eingegeben werden</v>
          </cell>
        </row>
        <row r="38">
          <cell r="C38" t="str">
            <v>WWE1</v>
          </cell>
          <cell r="D38" t="str">
            <v>Energieträger 1</v>
          </cell>
          <cell r="G38">
            <v>1</v>
          </cell>
          <cell r="H38">
            <v>1</v>
          </cell>
          <cell r="J38" t="str">
            <v xml:space="preserve">Warmwasserbereitung mit der Heizung </v>
          </cell>
        </row>
        <row r="39">
          <cell r="C39" t="str">
            <v>WWE2</v>
          </cell>
          <cell r="D39" t="str">
            <v>Energieträger 2</v>
          </cell>
          <cell r="G39">
            <v>0</v>
          </cell>
          <cell r="H39">
            <v>0</v>
          </cell>
          <cell r="J39" t="str">
            <v>keine Angabe</v>
          </cell>
        </row>
        <row r="40">
          <cell r="C40" t="str">
            <v>WWE3</v>
          </cell>
          <cell r="D40" t="str">
            <v>Energieträger 3</v>
          </cell>
          <cell r="G40">
            <v>0</v>
          </cell>
          <cell r="J40" t="str">
            <v>keine Angabe</v>
          </cell>
        </row>
        <row r="41">
          <cell r="D41" t="str">
            <v>Endenergie Warmwasser</v>
          </cell>
        </row>
        <row r="42">
          <cell r="D42" t="str">
            <v>Einstufung Energiebedarf Hilfsstrom für Warmwasser</v>
          </cell>
          <cell r="J42" t="str">
            <v>sehr niedrig</v>
          </cell>
        </row>
        <row r="43">
          <cell r="C43" t="str">
            <v>HEBWW</v>
          </cell>
          <cell r="D43" t="str">
            <v>Heizenergiebedarf Warmwasser HEB-WW (inkl. Hilfsstrom), exkl. Berücksichtigung solarer Gewinne</v>
          </cell>
          <cell r="J43">
            <v>1.7142857142857142</v>
          </cell>
        </row>
        <row r="44">
          <cell r="D44" t="str">
            <v>Heizenergiebedarf Warmwasser HEB-WW (inkl. Hilfsstrom), inkl. Berücksichtigung solarer Gewinne</v>
          </cell>
          <cell r="J44">
            <v>1.7142857142857142</v>
          </cell>
        </row>
        <row r="45">
          <cell r="C45" t="str">
            <v>HILFWW</v>
          </cell>
          <cell r="D45" t="str">
            <v>Anteil Hilfsstrom</v>
          </cell>
          <cell r="J45">
            <v>0.10285714285714284</v>
          </cell>
        </row>
        <row r="46">
          <cell r="C46" t="str">
            <v>WWkWh</v>
          </cell>
          <cell r="D46" t="str">
            <v>Heizenergiebedarf Warmwasser HEB-WW (exkl. Hilfsstrom)</v>
          </cell>
          <cell r="J46">
            <v>1.6114285714285714</v>
          </cell>
        </row>
        <row r="47">
          <cell r="D47" t="str">
            <v>Durchschnittliche Aufwände Warmwasser</v>
          </cell>
          <cell r="J47" t="str">
            <v>Zu den Tarifen (Tabellenblatt "Ver- und Entsorgung")</v>
          </cell>
        </row>
        <row r="48">
          <cell r="C48" t="str">
            <v>KOWW</v>
          </cell>
          <cell r="D48" t="str">
            <v>Kosten für Warmwasser</v>
          </cell>
          <cell r="F48" t="str">
            <v>WWE1*…</v>
          </cell>
          <cell r="J48">
            <v>0.18</v>
          </cell>
        </row>
        <row r="49">
          <cell r="C49" t="str">
            <v>GWPWW</v>
          </cell>
          <cell r="D49" t="str">
            <v>GWP für Warmwasser/kWh</v>
          </cell>
          <cell r="J49">
            <v>0.39600000000000002</v>
          </cell>
        </row>
        <row r="50">
          <cell r="C50" t="str">
            <v>PEWW</v>
          </cell>
          <cell r="D50" t="str">
            <v>PEI für Warmwasser/kWh</v>
          </cell>
          <cell r="J50">
            <v>5.3639999999999999</v>
          </cell>
        </row>
        <row r="52">
          <cell r="D52" t="str">
            <v>Kühlung</v>
          </cell>
        </row>
        <row r="53">
          <cell r="D53" t="str">
            <v>Nutzenergie Kühlung</v>
          </cell>
        </row>
        <row r="54">
          <cell r="D54" t="str">
            <v>Nutzenergie Kühlung Einstufung</v>
          </cell>
          <cell r="J54" t="str">
            <v>sehr niedrig</v>
          </cell>
        </row>
        <row r="55">
          <cell r="D55" t="str">
            <v>Nutzenergie Kühlung</v>
          </cell>
          <cell r="J55">
            <v>3.1</v>
          </cell>
        </row>
        <row r="56">
          <cell r="D56" t="str">
            <v>Faktor Verteilverluste</v>
          </cell>
          <cell r="J56">
            <v>1.1111111111111112</v>
          </cell>
        </row>
        <row r="57">
          <cell r="J57">
            <v>3.4444444444444446</v>
          </cell>
        </row>
        <row r="58">
          <cell r="D58" t="str">
            <v>Energieträger Kühlung</v>
          </cell>
          <cell r="E58" t="str">
            <v>Kombinationen von bis zu 3 Energieträgern können eingegeben werden</v>
          </cell>
        </row>
        <row r="59">
          <cell r="C59" t="str">
            <v>KÜHLE1</v>
          </cell>
          <cell r="D59" t="str">
            <v>Energieträger 1</v>
          </cell>
          <cell r="G59">
            <v>1</v>
          </cell>
          <cell r="H59">
            <v>1</v>
          </cell>
          <cell r="J59" t="str">
            <v>Free Cooling (Lüftungsanlage)</v>
          </cell>
        </row>
        <row r="60">
          <cell r="C60" t="str">
            <v>KÜHLE2</v>
          </cell>
          <cell r="D60" t="str">
            <v>Energieträger 2</v>
          </cell>
          <cell r="G60">
            <v>0</v>
          </cell>
          <cell r="H60">
            <v>0</v>
          </cell>
          <cell r="J60" t="str">
            <v>keine Angabe</v>
          </cell>
        </row>
        <row r="61">
          <cell r="C61" t="str">
            <v>KÜHLE3</v>
          </cell>
          <cell r="D61" t="str">
            <v>Energieträger 3</v>
          </cell>
          <cell r="G61">
            <v>0</v>
          </cell>
          <cell r="J61" t="str">
            <v>keine Angabe</v>
          </cell>
        </row>
        <row r="62">
          <cell r="D62" t="str">
            <v>Endenergie Kühlung</v>
          </cell>
        </row>
        <row r="63">
          <cell r="D63" t="str">
            <v>Endenergiebedarf Kühlung KEB (inkl. Hilfsstrom)</v>
          </cell>
          <cell r="J63">
            <v>0.24111111111111114</v>
          </cell>
        </row>
        <row r="64">
          <cell r="C64" t="str">
            <v>HILFKÜHL</v>
          </cell>
          <cell r="D64" t="str">
            <v>Anteil Hilfsstrom</v>
          </cell>
          <cell r="J64">
            <v>0</v>
          </cell>
        </row>
        <row r="65">
          <cell r="D65" t="str">
            <v>Anteil durch solare Energie zur Verfügung gestellte Kühlenergie</v>
          </cell>
        </row>
        <row r="66">
          <cell r="D66" t="str">
            <v>Endenergiebedarf Kühlung KEB (inkl. Hilfsstrom) abzüglich freier Anteile</v>
          </cell>
        </row>
        <row r="67">
          <cell r="C67" t="str">
            <v>KÜHLkWh</v>
          </cell>
          <cell r="D67" t="str">
            <v>Endenergiebedarf Kühlung KEB (exkl. Hilfsstrom)</v>
          </cell>
          <cell r="J67">
            <v>0.24111111111111114</v>
          </cell>
        </row>
        <row r="68">
          <cell r="D68" t="str">
            <v>Durchschnittliche Aufwände Kühlung</v>
          </cell>
          <cell r="J68" t="str">
            <v>Zu den Tarifen (Tabellenblatt "Ver- und Entsorgung")</v>
          </cell>
        </row>
        <row r="69">
          <cell r="C69" t="str">
            <v>KOKÜHL</v>
          </cell>
          <cell r="D69" t="str">
            <v>Kosten für Kühlen</v>
          </cell>
          <cell r="F69" t="str">
            <v>KÜHLE1*…</v>
          </cell>
          <cell r="J69">
            <v>0.18</v>
          </cell>
        </row>
        <row r="70">
          <cell r="C70" t="str">
            <v>GWPKÜHL</v>
          </cell>
          <cell r="D70" t="str">
            <v>GWP für Kühlung/kWh</v>
          </cell>
          <cell r="J70">
            <v>0.39600000000000002</v>
          </cell>
        </row>
        <row r="71">
          <cell r="C71" t="str">
            <v>PEKÜHL</v>
          </cell>
          <cell r="D71" t="str">
            <v>PEI für Kühlung/kWh</v>
          </cell>
          <cell r="J71">
            <v>5.3639999999999999</v>
          </cell>
        </row>
        <row r="73">
          <cell r="D73" t="str">
            <v>Strom</v>
          </cell>
        </row>
        <row r="74">
          <cell r="D74" t="str">
            <v>Lüftungsart</v>
          </cell>
          <cell r="J74" t="str">
            <v xml:space="preserve">mechanische Lüftung mit/ohne Wärmerückgewinnung </v>
          </cell>
        </row>
        <row r="75">
          <cell r="D75" t="str">
            <v>Energiebedarf</v>
          </cell>
        </row>
        <row r="76">
          <cell r="D76" t="str">
            <v>Energiebedarf Einstufung</v>
          </cell>
          <cell r="J76" t="str">
            <v>sehr niedrig</v>
          </cell>
        </row>
        <row r="77">
          <cell r="C77" t="str">
            <v>STTkWh</v>
          </cell>
          <cell r="D77" t="str">
            <v>Strom Gebäudetechnik allgemeine Teile des Hauses (ohne Aufzüge)</v>
          </cell>
          <cell r="J77">
            <v>0.25</v>
          </cell>
        </row>
        <row r="78">
          <cell r="C78" t="str">
            <v>AUFZkWh</v>
          </cell>
          <cell r="D78" t="str">
            <v>Strom Aufzüge (allgemeine Teile des Hauses)</v>
          </cell>
          <cell r="J78">
            <v>0</v>
          </cell>
        </row>
        <row r="79">
          <cell r="C79" t="str">
            <v>IKTkWh</v>
          </cell>
          <cell r="D79" t="str">
            <v>Betriebsstrom Nutzungseinheiten (inkl. IKT)</v>
          </cell>
          <cell r="J79">
            <v>2</v>
          </cell>
        </row>
        <row r="80">
          <cell r="C80" t="str">
            <v>BELkWh</v>
          </cell>
          <cell r="D80" t="str">
            <v>Strom Beleuchtung Nutzungseinheiten</v>
          </cell>
          <cell r="J80">
            <v>4.5889362220058425</v>
          </cell>
        </row>
        <row r="81">
          <cell r="C81" t="str">
            <v>HAUSHkWh</v>
          </cell>
          <cell r="D81" t="str">
            <v>Haushaltstrombedarf Nutzungseinheiten</v>
          </cell>
          <cell r="J81">
            <v>0</v>
          </cell>
        </row>
        <row r="82">
          <cell r="C82" t="str">
            <v>LUFTkWh</v>
          </cell>
          <cell r="D82" t="str">
            <v>Hilfsstrom Luftförderung (ohne Heizen/Kühlen)</v>
          </cell>
          <cell r="J82">
            <v>2</v>
          </cell>
        </row>
        <row r="83">
          <cell r="C83" t="str">
            <v>BEFkWH</v>
          </cell>
          <cell r="D83" t="str">
            <v>Energiebedarf Befeuchten</v>
          </cell>
          <cell r="J83">
            <v>0</v>
          </cell>
        </row>
        <row r="84">
          <cell r="C84" t="str">
            <v>ENTFkWH</v>
          </cell>
          <cell r="D84" t="str">
            <v>Energiebedarf Entfeuchten</v>
          </cell>
          <cell r="J84">
            <v>0</v>
          </cell>
        </row>
        <row r="85">
          <cell r="C85" t="str">
            <v>PVGEWINN</v>
          </cell>
          <cell r="D85" t="str">
            <v>Energiegewinnung aus PV</v>
          </cell>
          <cell r="E85" t="str">
            <v>Defaultwert je nach Eingabe in "Allgemeine Angaben"*Fläche</v>
          </cell>
          <cell r="J85">
            <v>0</v>
          </cell>
        </row>
        <row r="86">
          <cell r="C86" t="str">
            <v>EIGENkWh</v>
          </cell>
          <cell r="D86" t="str">
            <v>Eigenbedarf (Gesamtstrombedarf) inkl. Haushaltsstrom/Betriebsstrom</v>
          </cell>
          <cell r="J86">
            <v>4529.8906765714282</v>
          </cell>
        </row>
        <row r="87">
          <cell r="C87" t="str">
            <v>EIGENkWhex</v>
          </cell>
          <cell r="D87" t="str">
            <v>Eigenbedarf (Gesamtstrombedarf) exkl. Haushaltsstrom/Betriebsstrom</v>
          </cell>
          <cell r="J87">
            <v>3543.9706765714286</v>
          </cell>
        </row>
        <row r="88">
          <cell r="C88" t="str">
            <v>PVDIREKT</v>
          </cell>
          <cell r="D88" t="str">
            <v>Direktverbrauch aus PV in % der Erzeugung</v>
          </cell>
          <cell r="F88" t="str">
            <v>Default?</v>
          </cell>
          <cell r="J88">
            <v>0.3</v>
          </cell>
        </row>
        <row r="89">
          <cell r="C89" t="str">
            <v>PVEINSP</v>
          </cell>
          <cell r="D89" t="str">
            <v>Eingespeister Strom aus PV nach Deckung Eigenbedarf</v>
          </cell>
          <cell r="F89" t="str">
            <v>PVGEWINN*(1-PVDIREKT)</v>
          </cell>
          <cell r="J89">
            <v>0</v>
          </cell>
        </row>
        <row r="90">
          <cell r="D90" t="str">
            <v>Anteil PV-Deckung an Gesamtstrombedarf (inkl. Haushaltstrom bzw. Betriebsstrom)</v>
          </cell>
          <cell r="E90" t="str">
            <v>Darf nicht mehr als 100% sein!</v>
          </cell>
          <cell r="F90" t="str">
            <v>PVGEWINN*PVDIREKT/EIGENkWh</v>
          </cell>
          <cell r="J90">
            <v>0</v>
          </cell>
        </row>
        <row r="91">
          <cell r="D91" t="str">
            <v>Anteil PV-Deckung an Gesamtstrombedarf (exkl. Haushaltstrom bzw. Betriebsstrom)</v>
          </cell>
          <cell r="F91" t="str">
            <v>PVGEWINN*PVDIREKT/EIGENkWhex</v>
          </cell>
          <cell r="J91">
            <v>0</v>
          </cell>
        </row>
        <row r="92">
          <cell r="D92" t="str">
            <v>Energieträger Strom</v>
          </cell>
          <cell r="E92" t="str">
            <v>Kombinationen von bis zu 3 Energieträgern können eingegeben werden</v>
          </cell>
        </row>
        <row r="93">
          <cell r="C93" t="str">
            <v>STE1</v>
          </cell>
          <cell r="D93" t="str">
            <v>Energieträger 1</v>
          </cell>
          <cell r="G93">
            <v>1</v>
          </cell>
          <cell r="H93">
            <v>1</v>
          </cell>
          <cell r="J93" t="str">
            <v>AT Mix</v>
          </cell>
        </row>
        <row r="94">
          <cell r="C94" t="str">
            <v>STE2</v>
          </cell>
          <cell r="D94" t="str">
            <v>Energieträger 2</v>
          </cell>
          <cell r="G94">
            <v>0</v>
          </cell>
          <cell r="H94">
            <v>0</v>
          </cell>
          <cell r="J94" t="str">
            <v>keine Angabe</v>
          </cell>
        </row>
        <row r="95">
          <cell r="C95" t="str">
            <v>STE3</v>
          </cell>
          <cell r="D95" t="str">
            <v>Energieträger 3</v>
          </cell>
          <cell r="G95">
            <v>0</v>
          </cell>
          <cell r="J95" t="str">
            <v>keine Angabe</v>
          </cell>
        </row>
        <row r="96">
          <cell r="D96" t="str">
            <v>Durchschnittliche Aufwände Strom</v>
          </cell>
          <cell r="J96" t="str">
            <v>Zu den Tarifen (Tabellenblatt "Ver- und Entsorgung")</v>
          </cell>
        </row>
        <row r="97">
          <cell r="C97" t="str">
            <v>KOSTROM</v>
          </cell>
          <cell r="D97" t="str">
            <v>Kosten für Strom</v>
          </cell>
          <cell r="F97" t="str">
            <v>STE1*XY+STE2*XY*STE3*XY</v>
          </cell>
          <cell r="J97">
            <v>0.18</v>
          </cell>
        </row>
        <row r="98">
          <cell r="C98" t="str">
            <v>GWPSTROM</v>
          </cell>
          <cell r="D98" t="str">
            <v>GWP für Strom/kWh</v>
          </cell>
          <cell r="J98">
            <v>0.39600000000000002</v>
          </cell>
        </row>
        <row r="99">
          <cell r="C99" t="str">
            <v>PESTROM</v>
          </cell>
          <cell r="D99" t="str">
            <v>PEI für Strom/kWh</v>
          </cell>
          <cell r="J99">
            <v>5.3639999999999999</v>
          </cell>
        </row>
      </sheetData>
      <sheetData sheetId="5" refreshError="1"/>
      <sheetData sheetId="6">
        <row r="3">
          <cell r="C3" t="str">
            <v>E0</v>
          </cell>
          <cell r="D3" t="str">
            <v>Grund</v>
          </cell>
          <cell r="G3">
            <v>391500</v>
          </cell>
          <cell r="H3" t="str">
            <v>€</v>
          </cell>
        </row>
        <row r="4">
          <cell r="C4" t="str">
            <v>E0.A</v>
          </cell>
          <cell r="D4" t="str">
            <v>Allgemein</v>
          </cell>
          <cell r="G4">
            <v>0</v>
          </cell>
          <cell r="H4" t="str">
            <v>€</v>
          </cell>
        </row>
        <row r="5">
          <cell r="C5" t="str">
            <v>E0.B</v>
          </cell>
          <cell r="D5" t="str">
            <v>Grunderwerb</v>
          </cell>
          <cell r="G5">
            <v>0</v>
          </cell>
          <cell r="H5" t="str">
            <v>€</v>
          </cell>
        </row>
        <row r="6">
          <cell r="C6" t="str">
            <v>E0.S</v>
          </cell>
          <cell r="D6" t="str">
            <v>Sonstiges für Grund</v>
          </cell>
          <cell r="G6">
            <v>391500</v>
          </cell>
          <cell r="H6" t="str">
            <v>€</v>
          </cell>
        </row>
        <row r="7">
          <cell r="C7" t="str">
            <v>E1</v>
          </cell>
          <cell r="D7" t="str">
            <v>Aufschließung</v>
          </cell>
          <cell r="G7">
            <v>6854.71</v>
          </cell>
          <cell r="H7" t="str">
            <v>€</v>
          </cell>
          <cell r="I7">
            <v>0</v>
          </cell>
          <cell r="J7" t="str">
            <v>kg CO2 eq.</v>
          </cell>
          <cell r="K7">
            <v>0</v>
          </cell>
          <cell r="L7" t="str">
            <v>kg CO2 eq.</v>
          </cell>
          <cell r="M7">
            <v>0</v>
          </cell>
          <cell r="N7" t="str">
            <v>kg CO2 eq.</v>
          </cell>
          <cell r="O7">
            <v>0</v>
          </cell>
          <cell r="P7" t="str">
            <v>MJ</v>
          </cell>
        </row>
        <row r="8">
          <cell r="C8" t="str">
            <v>E1.A</v>
          </cell>
          <cell r="D8" t="str">
            <v>Allgemein</v>
          </cell>
          <cell r="G8">
            <v>0</v>
          </cell>
          <cell r="H8" t="str">
            <v>€</v>
          </cell>
        </row>
        <row r="9">
          <cell r="C9" t="str">
            <v>E1.B</v>
          </cell>
          <cell r="D9" t="str">
            <v>Baureifmachung</v>
          </cell>
          <cell r="G9">
            <v>0</v>
          </cell>
          <cell r="H9" t="str">
            <v>€</v>
          </cell>
        </row>
        <row r="10">
          <cell r="C10" t="str">
            <v>E1.C</v>
          </cell>
          <cell r="D10" t="str">
            <v>Erschließung</v>
          </cell>
          <cell r="G10">
            <v>0</v>
          </cell>
          <cell r="H10" t="str">
            <v>€</v>
          </cell>
        </row>
        <row r="11">
          <cell r="C11" t="str">
            <v>E1.D</v>
          </cell>
          <cell r="D11" t="str">
            <v>Abbruch, Rückbau</v>
          </cell>
          <cell r="G11">
            <v>0</v>
          </cell>
          <cell r="H11" t="str">
            <v>€</v>
          </cell>
          <cell r="I11">
            <v>0</v>
          </cell>
          <cell r="J11" t="str">
            <v>kg CO2 eq.</v>
          </cell>
          <cell r="K11">
            <v>0</v>
          </cell>
          <cell r="L11" t="str">
            <v>kg CO2 eq.</v>
          </cell>
          <cell r="M11">
            <v>0</v>
          </cell>
          <cell r="N11" t="str">
            <v>kg CO2 eq.</v>
          </cell>
          <cell r="O11">
            <v>0</v>
          </cell>
          <cell r="P11" t="str">
            <v>MJ</v>
          </cell>
        </row>
        <row r="12">
          <cell r="C12" t="str">
            <v>E1.E</v>
          </cell>
          <cell r="D12" t="str">
            <v>Provisorien</v>
          </cell>
          <cell r="G12">
            <v>0</v>
          </cell>
          <cell r="H12" t="str">
            <v>€</v>
          </cell>
        </row>
        <row r="13">
          <cell r="C13" t="str">
            <v>E1.S</v>
          </cell>
          <cell r="D13" t="str">
            <v>Sonstiges für Aufschließung</v>
          </cell>
          <cell r="G13">
            <v>6854.71</v>
          </cell>
          <cell r="H13" t="str">
            <v>€</v>
          </cell>
        </row>
        <row r="14">
          <cell r="C14" t="str">
            <v>E2</v>
          </cell>
          <cell r="D14" t="str">
            <v>Bauwerk - Rohbau</v>
          </cell>
          <cell r="G14">
            <v>458022.55</v>
          </cell>
          <cell r="H14" t="str">
            <v>€</v>
          </cell>
          <cell r="I14">
            <v>157035.94239928341</v>
          </cell>
          <cell r="J14" t="str">
            <v>kg CO2 eq.</v>
          </cell>
          <cell r="K14">
            <v>-34456.819551686436</v>
          </cell>
          <cell r="L14" t="str">
            <v>kg CO2 eq.</v>
          </cell>
          <cell r="M14">
            <v>191492.76195096981</v>
          </cell>
          <cell r="N14" t="str">
            <v>kg CO2 eq.</v>
          </cell>
          <cell r="O14">
            <v>3320739.9631077056</v>
          </cell>
          <cell r="P14" t="str">
            <v>MJ</v>
          </cell>
        </row>
        <row r="15">
          <cell r="C15" t="str">
            <v>E2.A</v>
          </cell>
          <cell r="D15" t="str">
            <v>Allgemein</v>
          </cell>
          <cell r="G15">
            <v>458022.55</v>
          </cell>
          <cell r="H15" t="str">
            <v>€</v>
          </cell>
        </row>
        <row r="16">
          <cell r="C16" t="str">
            <v>E2.B</v>
          </cell>
          <cell r="D16" t="str">
            <v>Erdarbeiten, Baugrube</v>
          </cell>
          <cell r="G16">
            <v>0</v>
          </cell>
          <cell r="H16" t="str">
            <v>€</v>
          </cell>
          <cell r="I16">
            <v>8156.31391050205</v>
          </cell>
          <cell r="J16" t="str">
            <v>kg CO2 eq.</v>
          </cell>
          <cell r="K16">
            <v>-3.3804214919991038</v>
          </cell>
          <cell r="L16" t="str">
            <v>kg CO2 eq.</v>
          </cell>
          <cell r="M16">
            <v>8159.6943319940492</v>
          </cell>
          <cell r="N16" t="str">
            <v>kg CO2 eq.</v>
          </cell>
          <cell r="O16">
            <v>132713.0418102183</v>
          </cell>
          <cell r="P16" t="str">
            <v>MJ</v>
          </cell>
        </row>
        <row r="17">
          <cell r="C17" t="str">
            <v>E2.C</v>
          </cell>
          <cell r="D17" t="str">
            <v>Gründungen, Bodenkonstruktionen</v>
          </cell>
          <cell r="G17">
            <v>0</v>
          </cell>
          <cell r="H17" t="str">
            <v>€</v>
          </cell>
          <cell r="I17">
            <v>95963.57988676746</v>
          </cell>
          <cell r="J17" t="str">
            <v>kg CO2 eq.</v>
          </cell>
          <cell r="K17">
            <v>-92.658743339131519</v>
          </cell>
          <cell r="L17" t="str">
            <v>kg CO2 eq.</v>
          </cell>
          <cell r="M17">
            <v>96056.2386301066</v>
          </cell>
          <cell r="N17" t="str">
            <v>kg CO2 eq.</v>
          </cell>
          <cell r="O17">
            <v>1192799.4044987005</v>
          </cell>
          <cell r="P17" t="str">
            <v>MJ</v>
          </cell>
        </row>
        <row r="18">
          <cell r="C18" t="str">
            <v>E2.C.02</v>
          </cell>
          <cell r="D18" t="str">
            <v xml:space="preserve">Tiefengründungen </v>
          </cell>
          <cell r="G18">
            <v>0</v>
          </cell>
          <cell r="H18" t="str">
            <v>€</v>
          </cell>
        </row>
        <row r="19">
          <cell r="C19" t="str">
            <v>E2.C.03</v>
          </cell>
          <cell r="D19" t="str">
            <v>Flachgründungen</v>
          </cell>
          <cell r="G19">
            <v>0</v>
          </cell>
          <cell r="H19" t="str">
            <v>€</v>
          </cell>
          <cell r="I19">
            <v>5057.6756306844163</v>
          </cell>
          <cell r="J19" t="str">
            <v>kg CO2 eq.</v>
          </cell>
          <cell r="K19">
            <v>0</v>
          </cell>
          <cell r="L19" t="str">
            <v>kg CO2 eq.</v>
          </cell>
          <cell r="M19">
            <v>5057.6756306844163</v>
          </cell>
          <cell r="N19" t="str">
            <v>kg CO2 eq.</v>
          </cell>
          <cell r="O19">
            <v>112547.82675171785</v>
          </cell>
          <cell r="P19" t="str">
            <v>MJ</v>
          </cell>
        </row>
        <row r="20">
          <cell r="C20" t="str">
            <v>E2.C.03a</v>
          </cell>
          <cell r="D20" t="str">
            <v>Fundamentplatte inkl. Rollierung</v>
          </cell>
          <cell r="I20">
            <v>0</v>
          </cell>
          <cell r="J20" t="str">
            <v>kg CO2 eq.</v>
          </cell>
          <cell r="K20">
            <v>0</v>
          </cell>
          <cell r="L20" t="str">
            <v>kg CO2 eq.</v>
          </cell>
          <cell r="M20">
            <v>0</v>
          </cell>
          <cell r="N20" t="str">
            <v>kg CO2 eq.</v>
          </cell>
          <cell r="O20">
            <v>0</v>
          </cell>
          <cell r="P20" t="str">
            <v>MJ</v>
          </cell>
        </row>
        <row r="21">
          <cell r="C21" t="str">
            <v>E2.C.03b</v>
          </cell>
          <cell r="D21" t="str">
            <v>Wärmedämmung</v>
          </cell>
          <cell r="I21">
            <v>5057.6756306844163</v>
          </cell>
          <cell r="J21" t="str">
            <v>kg CO2 eq.</v>
          </cell>
          <cell r="K21">
            <v>0</v>
          </cell>
          <cell r="L21" t="str">
            <v>kg CO2 eq.</v>
          </cell>
          <cell r="M21">
            <v>5057.6756306844163</v>
          </cell>
          <cell r="N21" t="str">
            <v>kg CO2 eq.</v>
          </cell>
          <cell r="O21">
            <v>112547.82675171785</v>
          </cell>
          <cell r="P21" t="str">
            <v>MJ</v>
          </cell>
        </row>
        <row r="22">
          <cell r="C22" t="str">
            <v>E2.C.03c</v>
          </cell>
          <cell r="D22" t="str">
            <v>Bodenaufbau (Estrich)</v>
          </cell>
          <cell r="I22">
            <v>0</v>
          </cell>
          <cell r="J22" t="str">
            <v>kg CO2 eq.</v>
          </cell>
          <cell r="K22">
            <v>0</v>
          </cell>
          <cell r="L22" t="str">
            <v>kg CO2 eq.</v>
          </cell>
          <cell r="M22">
            <v>0</v>
          </cell>
          <cell r="N22" t="str">
            <v>kg CO2 eq.</v>
          </cell>
          <cell r="O22">
            <v>0</v>
          </cell>
          <cell r="P22" t="str">
            <v>MJ</v>
          </cell>
        </row>
        <row r="23">
          <cell r="C23" t="str">
            <v>E2.C.04</v>
          </cell>
          <cell r="D23" t="str">
            <v>Bodenkonstruktionen</v>
          </cell>
          <cell r="G23">
            <v>0</v>
          </cell>
          <cell r="H23" t="str">
            <v>€</v>
          </cell>
          <cell r="I23">
            <v>89893.865569515416</v>
          </cell>
          <cell r="J23" t="str">
            <v>kg CO2 eq.</v>
          </cell>
          <cell r="K23">
            <v>-92.658743339131519</v>
          </cell>
          <cell r="L23" t="str">
            <v>kg CO2 eq.</v>
          </cell>
          <cell r="M23">
            <v>89986.524312854555</v>
          </cell>
          <cell r="N23" t="str">
            <v>kg CO2 eq.</v>
          </cell>
          <cell r="O23">
            <v>1062648.7500059654</v>
          </cell>
          <cell r="P23" t="str">
            <v>MJ</v>
          </cell>
        </row>
        <row r="24">
          <cell r="C24" t="str">
            <v>E2.C.04a</v>
          </cell>
          <cell r="D24" t="str">
            <v>Bodenplatte inkl. Rollierung</v>
          </cell>
          <cell r="I24">
            <v>59125.217184713001</v>
          </cell>
          <cell r="J24" t="str">
            <v>kg CO2 eq.</v>
          </cell>
          <cell r="K24">
            <v>-60.192771209205134</v>
          </cell>
          <cell r="L24" t="str">
            <v>kg CO2 eq.</v>
          </cell>
          <cell r="M24">
            <v>59185.409955922209</v>
          </cell>
          <cell r="N24" t="str">
            <v>kg CO2 eq.</v>
          </cell>
          <cell r="O24">
            <v>509864.41003735369</v>
          </cell>
          <cell r="P24" t="str">
            <v>MJ</v>
          </cell>
        </row>
        <row r="25">
          <cell r="C25" t="str">
            <v>E2.C.04b</v>
          </cell>
          <cell r="D25" t="str">
            <v>Wärmedämmung</v>
          </cell>
          <cell r="I25">
            <v>13197.650457343316</v>
          </cell>
          <cell r="J25" t="str">
            <v>kg CO2 eq.</v>
          </cell>
          <cell r="K25">
            <v>0</v>
          </cell>
          <cell r="L25" t="str">
            <v>kg CO2 eq.</v>
          </cell>
          <cell r="M25">
            <v>13197.650457343316</v>
          </cell>
          <cell r="N25" t="str">
            <v>kg CO2 eq.</v>
          </cell>
          <cell r="O25">
            <v>313053.76955080149</v>
          </cell>
          <cell r="P25" t="str">
            <v>MJ</v>
          </cell>
        </row>
        <row r="26">
          <cell r="C26" t="str">
            <v>E2.C.04c</v>
          </cell>
          <cell r="D26" t="str">
            <v>Bodenaufbau (Estrich)</v>
          </cell>
          <cell r="I26">
            <v>17570.99792745911</v>
          </cell>
          <cell r="J26" t="str">
            <v>kg CO2 eq.</v>
          </cell>
          <cell r="K26">
            <v>-32.465972129926392</v>
          </cell>
          <cell r="L26" t="str">
            <v>kg CO2 eq.</v>
          </cell>
          <cell r="M26">
            <v>17603.463899589024</v>
          </cell>
          <cell r="N26" t="str">
            <v>kg CO2 eq.</v>
          </cell>
          <cell r="O26">
            <v>239730.57041781026</v>
          </cell>
          <cell r="P26" t="str">
            <v>MJ</v>
          </cell>
        </row>
        <row r="27">
          <cell r="C27" t="str">
            <v>E2.C.05</v>
          </cell>
          <cell r="D27" t="str">
            <v xml:space="preserve">Bauwerksabdichtungen </v>
          </cell>
          <cell r="G27">
            <v>0</v>
          </cell>
          <cell r="H27" t="str">
            <v>€</v>
          </cell>
          <cell r="I27">
            <v>0</v>
          </cell>
          <cell r="J27" t="str">
            <v>kg CO2 eq.</v>
          </cell>
          <cell r="K27">
            <v>0</v>
          </cell>
          <cell r="L27" t="str">
            <v>kg CO2 eq.</v>
          </cell>
          <cell r="M27">
            <v>0</v>
          </cell>
          <cell r="N27" t="str">
            <v>kg CO2 eq.</v>
          </cell>
          <cell r="O27">
            <v>0</v>
          </cell>
          <cell r="P27" t="str">
            <v>MJ</v>
          </cell>
        </row>
        <row r="28">
          <cell r="C28" t="str">
            <v>E2.C.S</v>
          </cell>
          <cell r="D28" t="str">
            <v>Sonstige Gründungen, Bodenkonstruktionen</v>
          </cell>
          <cell r="G28">
            <v>0</v>
          </cell>
          <cell r="H28" t="str">
            <v>€</v>
          </cell>
        </row>
        <row r="29">
          <cell r="C29" t="str">
            <v>E2.C.Fun</v>
          </cell>
          <cell r="D29" t="str">
            <v>Beton und Stahl für Fundament</v>
          </cell>
          <cell r="I29">
            <v>1012.0386865676335</v>
          </cell>
          <cell r="J29" t="str">
            <v>kg CO2 eq.</v>
          </cell>
          <cell r="K29">
            <v>0</v>
          </cell>
          <cell r="L29" t="str">
            <v>kg CO2 eq.</v>
          </cell>
          <cell r="M29">
            <v>1012.0386865676335</v>
          </cell>
          <cell r="N29" t="str">
            <v>kg CO2 eq.</v>
          </cell>
          <cell r="O29">
            <v>17602.827741017332</v>
          </cell>
          <cell r="P29" t="str">
            <v>MJ</v>
          </cell>
        </row>
        <row r="30">
          <cell r="C30" t="str">
            <v>E2.C.Fun.a</v>
          </cell>
          <cell r="D30" t="str">
            <v>Normalbeton</v>
          </cell>
          <cell r="I30">
            <v>0</v>
          </cell>
          <cell r="J30" t="str">
            <v>kg CO2 eq.</v>
          </cell>
          <cell r="K30">
            <v>0</v>
          </cell>
          <cell r="L30" t="str">
            <v>kg CO2 eq.</v>
          </cell>
          <cell r="M30">
            <v>0</v>
          </cell>
          <cell r="N30" t="str">
            <v>kg CO2 eq.</v>
          </cell>
          <cell r="O30">
            <v>0</v>
          </cell>
          <cell r="P30" t="str">
            <v>MJ</v>
          </cell>
        </row>
        <row r="31">
          <cell r="C31" t="str">
            <v>E2.C.Fun.b</v>
          </cell>
          <cell r="D31" t="str">
            <v>Armierungsstahl</v>
          </cell>
          <cell r="I31">
            <v>0</v>
          </cell>
          <cell r="J31" t="str">
            <v>kg CO2 eq.</v>
          </cell>
          <cell r="K31">
            <v>0</v>
          </cell>
          <cell r="L31" t="str">
            <v>kg CO2 eq.</v>
          </cell>
          <cell r="M31">
            <v>0</v>
          </cell>
          <cell r="N31" t="str">
            <v>kg CO2 eq.</v>
          </cell>
          <cell r="O31">
            <v>0</v>
          </cell>
          <cell r="P31" t="str">
            <v>MJ</v>
          </cell>
        </row>
        <row r="32">
          <cell r="C32" t="str">
            <v>E2.C.Fun.c</v>
          </cell>
          <cell r="D32" t="str">
            <v>Kies</v>
          </cell>
          <cell r="I32">
            <v>1012.0386865676335</v>
          </cell>
          <cell r="J32" t="str">
            <v>kg CO2 eq.</v>
          </cell>
          <cell r="K32">
            <v>0</v>
          </cell>
          <cell r="L32" t="str">
            <v>kg CO2 eq.</v>
          </cell>
          <cell r="M32">
            <v>1012.0386865676335</v>
          </cell>
          <cell r="N32" t="str">
            <v>kg CO2 eq.</v>
          </cell>
          <cell r="O32">
            <v>17602.827741017332</v>
          </cell>
          <cell r="P32" t="str">
            <v>MJ</v>
          </cell>
        </row>
        <row r="33">
          <cell r="C33" t="str">
            <v>E2.D</v>
          </cell>
          <cell r="D33" t="str">
            <v>Horizontale Baukonstruktionen</v>
          </cell>
          <cell r="G33">
            <v>0</v>
          </cell>
          <cell r="H33" t="str">
            <v>€</v>
          </cell>
          <cell r="I33">
            <v>29090.770449560343</v>
          </cell>
          <cell r="J33" t="str">
            <v>kg CO2 eq.</v>
          </cell>
          <cell r="K33">
            <v>-16502.753582239391</v>
          </cell>
          <cell r="L33" t="str">
            <v>kg CO2 eq.</v>
          </cell>
          <cell r="M33">
            <v>45593.52403179973</v>
          </cell>
          <cell r="N33" t="str">
            <v>kg CO2 eq.</v>
          </cell>
          <cell r="O33">
            <v>1349762.2997784035</v>
          </cell>
          <cell r="P33" t="str">
            <v>MJ</v>
          </cell>
        </row>
        <row r="34">
          <cell r="C34" t="str">
            <v>E2.D.01</v>
          </cell>
          <cell r="D34" t="str">
            <v>Deckenkonstruktionen</v>
          </cell>
          <cell r="G34">
            <v>0</v>
          </cell>
          <cell r="H34" t="str">
            <v>€</v>
          </cell>
          <cell r="I34">
            <v>0</v>
          </cell>
          <cell r="J34" t="str">
            <v>kg CO2 eq.</v>
          </cell>
          <cell r="K34">
            <v>0</v>
          </cell>
          <cell r="L34" t="str">
            <v>kg CO2 eq.</v>
          </cell>
          <cell r="M34">
            <v>0</v>
          </cell>
          <cell r="N34" t="str">
            <v>kg CO2 eq.</v>
          </cell>
          <cell r="O34">
            <v>0</v>
          </cell>
          <cell r="P34" t="str">
            <v>MJ</v>
          </cell>
        </row>
        <row r="35">
          <cell r="D35" t="str">
            <v>Kellerdecke gesamt</v>
          </cell>
          <cell r="G35">
            <v>0</v>
          </cell>
          <cell r="H35" t="str">
            <v>€</v>
          </cell>
          <cell r="I35">
            <v>0</v>
          </cell>
          <cell r="J35" t="str">
            <v>kg CO2 eq.</v>
          </cell>
          <cell r="K35">
            <v>0</v>
          </cell>
          <cell r="L35" t="str">
            <v>kg CO2 eq.</v>
          </cell>
          <cell r="M35">
            <v>0</v>
          </cell>
          <cell r="N35" t="str">
            <v>kg CO2 eq.</v>
          </cell>
          <cell r="O35">
            <v>0</v>
          </cell>
          <cell r="P35" t="str">
            <v>MJ</v>
          </cell>
        </row>
        <row r="36">
          <cell r="C36" t="str">
            <v>E2.D.01.K</v>
          </cell>
          <cell r="D36" t="str">
            <v>Kellerdecke (KD)</v>
          </cell>
          <cell r="I36">
            <v>0</v>
          </cell>
          <cell r="J36" t="str">
            <v>kg CO2 eq.</v>
          </cell>
          <cell r="K36">
            <v>0</v>
          </cell>
          <cell r="L36" t="str">
            <v>kg CO2 eq.</v>
          </cell>
          <cell r="M36">
            <v>0</v>
          </cell>
          <cell r="N36" t="str">
            <v>kg CO2 eq.</v>
          </cell>
          <cell r="O36">
            <v>0</v>
          </cell>
          <cell r="P36" t="str">
            <v>MJ</v>
          </cell>
        </row>
        <row r="37">
          <cell r="C37" t="str">
            <v>E2.D.01.Ka</v>
          </cell>
          <cell r="D37" t="str">
            <v>Wärmedämmung für KD</v>
          </cell>
          <cell r="I37">
            <v>0</v>
          </cell>
          <cell r="J37" t="str">
            <v>kg CO2 eq.</v>
          </cell>
          <cell r="K37">
            <v>0</v>
          </cell>
          <cell r="L37" t="str">
            <v>kg CO2 eq.</v>
          </cell>
          <cell r="M37">
            <v>0</v>
          </cell>
          <cell r="N37" t="str">
            <v>kg CO2 eq.</v>
          </cell>
          <cell r="O37">
            <v>0</v>
          </cell>
          <cell r="P37" t="str">
            <v>MJ</v>
          </cell>
        </row>
        <row r="38">
          <cell r="C38" t="str">
            <v>E2.D.01.Kc</v>
          </cell>
          <cell r="D38" t="str">
            <v>Estrich auf KD</v>
          </cell>
          <cell r="I38">
            <v>0</v>
          </cell>
          <cell r="J38" t="str">
            <v>kg CO2 eq.</v>
          </cell>
          <cell r="K38">
            <v>0</v>
          </cell>
          <cell r="L38" t="str">
            <v>kg CO2 eq.</v>
          </cell>
          <cell r="M38">
            <v>0</v>
          </cell>
          <cell r="N38" t="str">
            <v>kg CO2 eq.</v>
          </cell>
          <cell r="O38">
            <v>0</v>
          </cell>
          <cell r="P38" t="str">
            <v>MJ</v>
          </cell>
        </row>
        <row r="39">
          <cell r="D39" t="str">
            <v>Geschoßdecken gesamt</v>
          </cell>
          <cell r="G39">
            <v>0</v>
          </cell>
          <cell r="H39" t="str">
            <v>€</v>
          </cell>
          <cell r="I39">
            <v>0</v>
          </cell>
          <cell r="J39" t="str">
            <v>kg CO2 eq.</v>
          </cell>
          <cell r="K39">
            <v>0</v>
          </cell>
          <cell r="L39" t="str">
            <v>kg CO2 eq.</v>
          </cell>
          <cell r="M39">
            <v>0</v>
          </cell>
          <cell r="N39" t="str">
            <v>kg CO2 eq.</v>
          </cell>
          <cell r="O39">
            <v>0</v>
          </cell>
          <cell r="P39" t="str">
            <v>MJ</v>
          </cell>
        </row>
        <row r="40">
          <cell r="C40" t="str">
            <v>E2.D.01.G</v>
          </cell>
          <cell r="D40" t="str">
            <v>Geschoßdecken (GD)</v>
          </cell>
          <cell r="I40">
            <v>0</v>
          </cell>
          <cell r="J40" t="str">
            <v>kg CO2 eq.</v>
          </cell>
          <cell r="K40">
            <v>0</v>
          </cell>
          <cell r="L40" t="str">
            <v>kg CO2 eq.</v>
          </cell>
          <cell r="M40">
            <v>0</v>
          </cell>
          <cell r="N40" t="str">
            <v>kg CO2 eq.</v>
          </cell>
          <cell r="O40">
            <v>0</v>
          </cell>
          <cell r="P40" t="str">
            <v>MJ</v>
          </cell>
        </row>
        <row r="41">
          <cell r="C41" t="str">
            <v>E2.D.01.Ga</v>
          </cell>
          <cell r="D41" t="str">
            <v>Estrich auf GD</v>
          </cell>
          <cell r="I41">
            <v>0</v>
          </cell>
          <cell r="J41" t="str">
            <v>kg CO2 eq.</v>
          </cell>
          <cell r="K41">
            <v>0</v>
          </cell>
          <cell r="L41" t="str">
            <v>kg CO2 eq.</v>
          </cell>
          <cell r="M41">
            <v>0</v>
          </cell>
          <cell r="N41" t="str">
            <v>kg CO2 eq.</v>
          </cell>
          <cell r="O41">
            <v>0</v>
          </cell>
          <cell r="P41" t="str">
            <v>MJ</v>
          </cell>
        </row>
        <row r="42">
          <cell r="D42" t="str">
            <v>Vorkragende Decken gesamt</v>
          </cell>
          <cell r="G42">
            <v>0</v>
          </cell>
          <cell r="H42" t="str">
            <v>€</v>
          </cell>
          <cell r="I42">
            <v>0</v>
          </cell>
          <cell r="J42" t="str">
            <v>kg CO2 eq.</v>
          </cell>
          <cell r="K42">
            <v>0</v>
          </cell>
          <cell r="L42" t="str">
            <v>kg CO2 eq.</v>
          </cell>
          <cell r="M42">
            <v>0</v>
          </cell>
          <cell r="N42" t="str">
            <v>kg CO2 eq.</v>
          </cell>
          <cell r="O42">
            <v>0</v>
          </cell>
          <cell r="P42" t="str">
            <v>MJ</v>
          </cell>
        </row>
        <row r="43">
          <cell r="C43" t="str">
            <v>E2.D.01.A</v>
          </cell>
          <cell r="D43" t="str">
            <v>Vorkragende Decken (AD)</v>
          </cell>
          <cell r="I43">
            <v>0</v>
          </cell>
          <cell r="J43" t="str">
            <v>kg CO2 eq.</v>
          </cell>
          <cell r="K43">
            <v>0</v>
          </cell>
          <cell r="L43" t="str">
            <v>kg CO2 eq.</v>
          </cell>
          <cell r="M43">
            <v>0</v>
          </cell>
          <cell r="N43" t="str">
            <v>kg CO2 eq.</v>
          </cell>
          <cell r="O43">
            <v>0</v>
          </cell>
          <cell r="P43" t="str">
            <v>MJ</v>
          </cell>
        </row>
        <row r="44">
          <cell r="C44" t="str">
            <v>E2.D.01.Aa</v>
          </cell>
          <cell r="D44" t="str">
            <v>Wärmedämmung auf AD</v>
          </cell>
          <cell r="I44">
            <v>0</v>
          </cell>
          <cell r="J44" t="str">
            <v>kg CO2 eq.</v>
          </cell>
          <cell r="K44">
            <v>0</v>
          </cell>
          <cell r="L44" t="str">
            <v>kg CO2 eq.</v>
          </cell>
          <cell r="M44">
            <v>0</v>
          </cell>
          <cell r="N44" t="str">
            <v>kg CO2 eq.</v>
          </cell>
          <cell r="O44">
            <v>0</v>
          </cell>
          <cell r="P44" t="str">
            <v>MJ</v>
          </cell>
        </row>
        <row r="45">
          <cell r="C45" t="str">
            <v>E2.D.01.Ac</v>
          </cell>
          <cell r="D45" t="str">
            <v>Estrich auf AD</v>
          </cell>
          <cell r="I45">
            <v>0</v>
          </cell>
          <cell r="J45" t="str">
            <v>kg CO2 eq.</v>
          </cell>
          <cell r="K45">
            <v>0</v>
          </cell>
          <cell r="L45" t="str">
            <v>kg CO2 eq.</v>
          </cell>
          <cell r="M45">
            <v>0</v>
          </cell>
          <cell r="N45" t="str">
            <v>kg CO2 eq.</v>
          </cell>
          <cell r="O45">
            <v>0</v>
          </cell>
          <cell r="P45" t="str">
            <v>MJ</v>
          </cell>
        </row>
        <row r="46">
          <cell r="C46" t="str">
            <v>E2.D.01.S</v>
          </cell>
          <cell r="D46" t="str">
            <v>Sonstige Deckenkonstruktionen</v>
          </cell>
          <cell r="G46">
            <v>0</v>
          </cell>
          <cell r="H46" t="str">
            <v>€</v>
          </cell>
        </row>
        <row r="47">
          <cell r="C47" t="str">
            <v>E2.D.02</v>
          </cell>
          <cell r="D47" t="str">
            <v>Treppenkonstruktionen</v>
          </cell>
          <cell r="G47">
            <v>0</v>
          </cell>
          <cell r="H47" t="str">
            <v>€</v>
          </cell>
          <cell r="I47">
            <v>0</v>
          </cell>
          <cell r="J47" t="str">
            <v>kg CO2 eq.</v>
          </cell>
          <cell r="K47">
            <v>0</v>
          </cell>
          <cell r="L47" t="str">
            <v>kg CO2 eq.</v>
          </cell>
          <cell r="M47">
            <v>0</v>
          </cell>
          <cell r="N47" t="str">
            <v>kg CO2 eq.</v>
          </cell>
          <cell r="O47">
            <v>0</v>
          </cell>
          <cell r="P47" t="str">
            <v>MJ</v>
          </cell>
        </row>
        <row r="48">
          <cell r="C48" t="str">
            <v>E2.D.03</v>
          </cell>
          <cell r="D48" t="str">
            <v>Dachkonstruktionen</v>
          </cell>
          <cell r="G48">
            <v>0</v>
          </cell>
          <cell r="H48" t="str">
            <v>€</v>
          </cell>
          <cell r="I48">
            <v>29090.770449560343</v>
          </cell>
          <cell r="J48" t="str">
            <v>kg CO2 eq.</v>
          </cell>
          <cell r="K48">
            <v>-16502.753582239391</v>
          </cell>
          <cell r="L48" t="str">
            <v>kg CO2 eq.</v>
          </cell>
          <cell r="M48">
            <v>45593.52403179973</v>
          </cell>
          <cell r="N48" t="str">
            <v>kg CO2 eq.</v>
          </cell>
          <cell r="O48">
            <v>1349762.2997784035</v>
          </cell>
          <cell r="P48" t="str">
            <v>MJ</v>
          </cell>
        </row>
        <row r="49">
          <cell r="C49" t="str">
            <v>E2.D.03.as</v>
          </cell>
          <cell r="D49" t="str">
            <v>Dachkonstruktion 1 gesamt</v>
          </cell>
          <cell r="G49">
            <v>0</v>
          </cell>
          <cell r="H49" t="str">
            <v>€</v>
          </cell>
          <cell r="I49">
            <v>29090.770449560343</v>
          </cell>
          <cell r="J49" t="str">
            <v>kg CO2 eq.</v>
          </cell>
          <cell r="K49">
            <v>-16502.753582239391</v>
          </cell>
          <cell r="L49" t="str">
            <v>kg CO2 eq.</v>
          </cell>
          <cell r="M49">
            <v>45593.52403179973</v>
          </cell>
          <cell r="N49" t="str">
            <v>kg CO2 eq.</v>
          </cell>
          <cell r="O49">
            <v>1349762.2997784035</v>
          </cell>
          <cell r="P49" t="str">
            <v>MJ</v>
          </cell>
        </row>
        <row r="50">
          <cell r="C50" t="str">
            <v>E2.D.03.a</v>
          </cell>
          <cell r="D50" t="str">
            <v>Dach</v>
          </cell>
          <cell r="E50" t="str">
            <v>Dachfläche * %-Anteil Dachfläche * Ökodaten/m²</v>
          </cell>
          <cell r="I50">
            <v>-11590.862459977618</v>
          </cell>
          <cell r="J50" t="str">
            <v>kg CO2 eq.</v>
          </cell>
          <cell r="K50">
            <v>-16483.123263514233</v>
          </cell>
          <cell r="L50" t="str">
            <v>kg CO2 eq.</v>
          </cell>
          <cell r="M50">
            <v>4892.2608035366111</v>
          </cell>
          <cell r="N50" t="str">
            <v>kg CO2 eq.</v>
          </cell>
          <cell r="O50">
            <v>126984.41677877717</v>
          </cell>
          <cell r="P50" t="str">
            <v>MJ</v>
          </cell>
        </row>
        <row r="51">
          <cell r="C51" t="str">
            <v>E2.D.03.a1</v>
          </cell>
          <cell r="D51" t="str">
            <v>Dämmung</v>
          </cell>
          <cell r="E51" t="str">
            <v>Dachfläche * %-Anteil Dachfläche *0,01*Dämmstärke* Ökodaten/m²</v>
          </cell>
          <cell r="I51">
            <v>35525.161590535099</v>
          </cell>
          <cell r="J51" t="str">
            <v>kg CO2 eq.</v>
          </cell>
          <cell r="K51">
            <v>-10.707446577359875</v>
          </cell>
          <cell r="L51" t="str">
            <v>kg CO2 eq.</v>
          </cell>
          <cell r="M51">
            <v>35535.869037112454</v>
          </cell>
          <cell r="N51" t="str">
            <v>kg CO2 eq.</v>
          </cell>
          <cell r="O51">
            <v>958393.19864830386</v>
          </cell>
          <cell r="P51" t="str">
            <v>MJ</v>
          </cell>
        </row>
        <row r="52">
          <cell r="C52" t="str">
            <v>E2.D.03.a2</v>
          </cell>
          <cell r="D52" t="str">
            <v>Unterdach</v>
          </cell>
          <cell r="I52">
            <v>0</v>
          </cell>
          <cell r="J52" t="str">
            <v>kg CO2 eq.</v>
          </cell>
          <cell r="K52">
            <v>0</v>
          </cell>
          <cell r="L52" t="str">
            <v>kg CO2 eq.</v>
          </cell>
          <cell r="M52">
            <v>0</v>
          </cell>
          <cell r="N52" t="str">
            <v>kg CO2 eq.</v>
          </cell>
          <cell r="O52">
            <v>0</v>
          </cell>
          <cell r="P52" t="str">
            <v>MJ</v>
          </cell>
        </row>
        <row r="53">
          <cell r="C53" t="str">
            <v>E2.D.03.a3</v>
          </cell>
          <cell r="D53" t="str">
            <v>Dachabdichtung</v>
          </cell>
          <cell r="I53">
            <v>5156.4713190028606</v>
          </cell>
          <cell r="J53" t="str">
            <v>kg CO2 eq.</v>
          </cell>
          <cell r="K53">
            <v>-8.9228721477998736</v>
          </cell>
          <cell r="L53" t="str">
            <v>kg CO2 eq.</v>
          </cell>
          <cell r="M53">
            <v>5165.3941911506599</v>
          </cell>
          <cell r="N53" t="str">
            <v>kg CO2 eq.</v>
          </cell>
          <cell r="O53">
            <v>264384.68435132253</v>
          </cell>
          <cell r="P53" t="str">
            <v>MJ</v>
          </cell>
        </row>
        <row r="54">
          <cell r="C54" t="str">
            <v>E2.D.03.bs</v>
          </cell>
          <cell r="D54" t="str">
            <v>Dachkonstruktion 2 gesamt</v>
          </cell>
          <cell r="G54">
            <v>0</v>
          </cell>
          <cell r="H54" t="str">
            <v>€</v>
          </cell>
          <cell r="I54">
            <v>0</v>
          </cell>
          <cell r="J54" t="str">
            <v>kg CO2 eq.</v>
          </cell>
          <cell r="K54">
            <v>0</v>
          </cell>
          <cell r="L54" t="str">
            <v>kg CO2 eq.</v>
          </cell>
          <cell r="M54">
            <v>0</v>
          </cell>
          <cell r="N54" t="str">
            <v>kg CO2 eq.</v>
          </cell>
          <cell r="O54">
            <v>0</v>
          </cell>
          <cell r="P54" t="str">
            <v>MJ</v>
          </cell>
        </row>
        <row r="55">
          <cell r="C55" t="str">
            <v>E2.D.03.b</v>
          </cell>
          <cell r="D55" t="str">
            <v>Dach</v>
          </cell>
          <cell r="I55">
            <v>0</v>
          </cell>
          <cell r="J55" t="str">
            <v>kg CO2 eq.</v>
          </cell>
          <cell r="K55">
            <v>0</v>
          </cell>
          <cell r="L55" t="str">
            <v>kg CO2 eq.</v>
          </cell>
          <cell r="M55">
            <v>0</v>
          </cell>
          <cell r="N55" t="str">
            <v>kg CO2 eq.</v>
          </cell>
          <cell r="O55">
            <v>0</v>
          </cell>
          <cell r="P55" t="str">
            <v>MJ</v>
          </cell>
        </row>
        <row r="56">
          <cell r="C56" t="str">
            <v>E2.D.03.b1</v>
          </cell>
          <cell r="D56" t="str">
            <v>Dämmung</v>
          </cell>
          <cell r="I56">
            <v>0</v>
          </cell>
          <cell r="J56" t="str">
            <v>kg CO2 eq.</v>
          </cell>
          <cell r="K56">
            <v>0</v>
          </cell>
          <cell r="L56" t="str">
            <v>kg CO2 eq.</v>
          </cell>
          <cell r="M56">
            <v>0</v>
          </cell>
          <cell r="N56" t="str">
            <v>kg CO2 eq.</v>
          </cell>
          <cell r="O56">
            <v>0</v>
          </cell>
          <cell r="P56" t="str">
            <v>MJ</v>
          </cell>
        </row>
        <row r="57">
          <cell r="C57" t="str">
            <v>E2.D.03.b2</v>
          </cell>
          <cell r="D57" t="str">
            <v>Unterdach</v>
          </cell>
          <cell r="I57">
            <v>0</v>
          </cell>
          <cell r="J57" t="str">
            <v>kg CO2 eq.</v>
          </cell>
          <cell r="K57">
            <v>0</v>
          </cell>
          <cell r="L57" t="str">
            <v>kg CO2 eq.</v>
          </cell>
          <cell r="M57">
            <v>0</v>
          </cell>
          <cell r="N57" t="str">
            <v>kg CO2 eq.</v>
          </cell>
          <cell r="O57">
            <v>0</v>
          </cell>
          <cell r="P57" t="str">
            <v>MJ</v>
          </cell>
        </row>
        <row r="58">
          <cell r="C58" t="str">
            <v>E2.D.03.b3</v>
          </cell>
          <cell r="D58" t="str">
            <v>Dachabdichtung</v>
          </cell>
          <cell r="I58">
            <v>0</v>
          </cell>
          <cell r="J58" t="str">
            <v>kg CO2 eq.</v>
          </cell>
          <cell r="K58">
            <v>0</v>
          </cell>
          <cell r="L58" t="str">
            <v>kg CO2 eq.</v>
          </cell>
          <cell r="M58">
            <v>0</v>
          </cell>
          <cell r="N58" t="str">
            <v>kg CO2 eq.</v>
          </cell>
          <cell r="O58">
            <v>0</v>
          </cell>
          <cell r="P58" t="str">
            <v>MJ</v>
          </cell>
        </row>
        <row r="59">
          <cell r="C59" t="str">
            <v>E2.D.04</v>
          </cell>
          <cell r="D59" t="str">
            <v>spezielle Konstruktionen</v>
          </cell>
          <cell r="G59">
            <v>0</v>
          </cell>
          <cell r="H59" t="str">
            <v>€</v>
          </cell>
        </row>
        <row r="60">
          <cell r="C60" t="str">
            <v>E2.D.S</v>
          </cell>
          <cell r="D60" t="str">
            <v>Sonstiges Horizontale Baukonstruktionen</v>
          </cell>
          <cell r="G60">
            <v>0</v>
          </cell>
          <cell r="H60" t="str">
            <v>€</v>
          </cell>
        </row>
        <row r="61">
          <cell r="C61" t="str">
            <v>E2.E</v>
          </cell>
          <cell r="D61" t="str">
            <v>Vertikale Baukonstruktionen</v>
          </cell>
          <cell r="G61">
            <v>0</v>
          </cell>
          <cell r="H61" t="str">
            <v>€</v>
          </cell>
          <cell r="I61">
            <v>13812.684363509114</v>
          </cell>
          <cell r="J61" t="str">
            <v>kg CO2 eq.</v>
          </cell>
          <cell r="K61">
            <v>-17853.877039463889</v>
          </cell>
          <cell r="L61" t="str">
            <v>kg CO2 eq.</v>
          </cell>
          <cell r="M61">
            <v>31666.561402973002</v>
          </cell>
          <cell r="N61" t="str">
            <v>kg CO2 eq.</v>
          </cell>
          <cell r="O61">
            <v>482548.26792773639</v>
          </cell>
          <cell r="P61" t="str">
            <v>MJ</v>
          </cell>
        </row>
        <row r="62">
          <cell r="C62" t="str">
            <v>E2.E.01</v>
          </cell>
          <cell r="D62" t="str">
            <v>Aussenwandkonstruktionen</v>
          </cell>
          <cell r="G62">
            <v>0</v>
          </cell>
          <cell r="H62" t="str">
            <v>€</v>
          </cell>
          <cell r="I62">
            <v>6596.3223565416265</v>
          </cell>
          <cell r="J62" t="str">
            <v>kg CO2 eq.</v>
          </cell>
          <cell r="K62">
            <v>-8715.740264188029</v>
          </cell>
          <cell r="L62" t="str">
            <v>kg CO2 eq.</v>
          </cell>
          <cell r="M62">
            <v>15312.062620729654</v>
          </cell>
          <cell r="N62" t="str">
            <v>kg CO2 eq.</v>
          </cell>
          <cell r="O62">
            <v>177860.97207922107</v>
          </cell>
          <cell r="P62" t="str">
            <v>MJ</v>
          </cell>
        </row>
        <row r="63">
          <cell r="C63" t="str">
            <v>E2.E.01.a</v>
          </cell>
          <cell r="D63" t="str">
            <v>Aussenwandkonstruktion 1</v>
          </cell>
          <cell r="G63">
            <v>0</v>
          </cell>
          <cell r="H63" t="str">
            <v>€</v>
          </cell>
          <cell r="I63">
            <v>12340.003184214589</v>
          </cell>
          <cell r="J63" t="str">
            <v>kg CO2 eq.</v>
          </cell>
          <cell r="K63">
            <v>-22.626590737925582</v>
          </cell>
          <cell r="L63" t="str">
            <v>kg CO2 eq.</v>
          </cell>
          <cell r="M63">
            <v>12362.629774952511</v>
          </cell>
          <cell r="N63" t="str">
            <v>kg CO2 eq.</v>
          </cell>
          <cell r="O63">
            <v>121735.08964613421</v>
          </cell>
          <cell r="P63" t="str">
            <v>MJ</v>
          </cell>
        </row>
        <row r="64">
          <cell r="C64" t="str">
            <v>E2.E.01.b</v>
          </cell>
          <cell r="D64" t="str">
            <v>Aussenwandkonstruktion 2</v>
          </cell>
          <cell r="G64">
            <v>0</v>
          </cell>
          <cell r="H64" t="str">
            <v>€</v>
          </cell>
          <cell r="I64">
            <v>0</v>
          </cell>
          <cell r="J64" t="str">
            <v>kg CO2 eq.</v>
          </cell>
          <cell r="K64">
            <v>0</v>
          </cell>
          <cell r="L64" t="str">
            <v>kg CO2 eq.</v>
          </cell>
          <cell r="M64">
            <v>0</v>
          </cell>
          <cell r="N64" t="str">
            <v>kg CO2 eq.</v>
          </cell>
          <cell r="O64">
            <v>0</v>
          </cell>
          <cell r="P64" t="str">
            <v>MJ</v>
          </cell>
        </row>
        <row r="65">
          <cell r="C65" t="str">
            <v>E2.E.01.d</v>
          </cell>
          <cell r="D65" t="str">
            <v>Aussenwandkonstruktionen Holzleichtbau</v>
          </cell>
          <cell r="G65">
            <v>0</v>
          </cell>
          <cell r="H65" t="str">
            <v>€</v>
          </cell>
          <cell r="I65">
            <v>-5743.6808276729626</v>
          </cell>
          <cell r="J65" t="str">
            <v>kg CO2 eq.</v>
          </cell>
          <cell r="K65">
            <v>-8693.1136734501033</v>
          </cell>
          <cell r="L65" t="str">
            <v>kg CO2 eq.</v>
          </cell>
          <cell r="M65">
            <v>2949.4328457771426</v>
          </cell>
          <cell r="N65" t="str">
            <v>kg CO2 eq.</v>
          </cell>
          <cell r="O65">
            <v>56125.882433086867</v>
          </cell>
          <cell r="P65" t="str">
            <v>MJ</v>
          </cell>
        </row>
        <row r="66">
          <cell r="C66" t="str">
            <v>E2.E.01.f</v>
          </cell>
          <cell r="D66" t="str">
            <v>Erdberührte Außenwände</v>
          </cell>
          <cell r="G66">
            <v>0</v>
          </cell>
          <cell r="H66" t="str">
            <v>€</v>
          </cell>
          <cell r="I66">
            <v>0</v>
          </cell>
          <cell r="J66" t="str">
            <v>kg CO2 eq.</v>
          </cell>
          <cell r="K66">
            <v>0</v>
          </cell>
          <cell r="L66" t="str">
            <v>kg CO2 eq.</v>
          </cell>
          <cell r="M66">
            <v>0</v>
          </cell>
          <cell r="N66" t="str">
            <v>kg CO2 eq.</v>
          </cell>
          <cell r="O66">
            <v>0</v>
          </cell>
          <cell r="P66" t="str">
            <v>MJ</v>
          </cell>
        </row>
        <row r="67">
          <cell r="C67" t="str">
            <v>E2.E.02</v>
          </cell>
          <cell r="D67" t="str">
            <v>Innenwandkonstruktionen</v>
          </cell>
          <cell r="G67">
            <v>0</v>
          </cell>
          <cell r="H67" t="str">
            <v>€</v>
          </cell>
          <cell r="I67">
            <v>7216.3620069674871</v>
          </cell>
          <cell r="J67" t="str">
            <v>kg CO2 eq.</v>
          </cell>
          <cell r="K67">
            <v>-9138.1367752758597</v>
          </cell>
          <cell r="L67" t="str">
            <v>kg CO2 eq.</v>
          </cell>
          <cell r="M67">
            <v>16354.498782243349</v>
          </cell>
          <cell r="N67" t="str">
            <v>kg CO2 eq.</v>
          </cell>
          <cell r="O67">
            <v>304687.29584851529</v>
          </cell>
          <cell r="P67" t="str">
            <v>MJ</v>
          </cell>
        </row>
        <row r="68">
          <cell r="C68" t="str">
            <v>E2.E.02a</v>
          </cell>
          <cell r="D68" t="str">
            <v>Innenwandkonstruktion 1</v>
          </cell>
          <cell r="G68">
            <v>0</v>
          </cell>
          <cell r="H68" t="str">
            <v>€</v>
          </cell>
          <cell r="I68">
            <v>7216.3620069674871</v>
          </cell>
          <cell r="J68" t="str">
            <v>kg CO2 eq.</v>
          </cell>
          <cell r="K68">
            <v>-9138.1367752758597</v>
          </cell>
          <cell r="L68" t="str">
            <v>kg CO2 eq.</v>
          </cell>
          <cell r="M68">
            <v>16354.498782243349</v>
          </cell>
          <cell r="N68" t="str">
            <v>kg CO2 eq.</v>
          </cell>
          <cell r="O68">
            <v>304687.29584851529</v>
          </cell>
          <cell r="P68" t="str">
            <v>MJ</v>
          </cell>
        </row>
        <row r="69">
          <cell r="C69" t="str">
            <v>E2.E.02b</v>
          </cell>
          <cell r="D69" t="str">
            <v>Innenwandkonstruktion 2</v>
          </cell>
          <cell r="G69">
            <v>0</v>
          </cell>
          <cell r="H69" t="str">
            <v>€</v>
          </cell>
          <cell r="I69">
            <v>0</v>
          </cell>
          <cell r="J69" t="str">
            <v>kg CO2 eq.</v>
          </cell>
          <cell r="K69">
            <v>0</v>
          </cell>
          <cell r="L69" t="str">
            <v>kg CO2 eq.</v>
          </cell>
          <cell r="M69">
            <v>0</v>
          </cell>
          <cell r="N69" t="str">
            <v>kg CO2 eq.</v>
          </cell>
          <cell r="O69">
            <v>0</v>
          </cell>
          <cell r="P69" t="str">
            <v>MJ</v>
          </cell>
        </row>
        <row r="70">
          <cell r="C70" t="str">
            <v>E2.E.02c</v>
          </cell>
          <cell r="D70" t="str">
            <v>Innenwandkonstruktion 3</v>
          </cell>
          <cell r="G70">
            <v>0</v>
          </cell>
          <cell r="H70" t="str">
            <v>€</v>
          </cell>
          <cell r="I70">
            <v>0</v>
          </cell>
          <cell r="J70" t="str">
            <v>kg CO2 eq.</v>
          </cell>
          <cell r="K70">
            <v>0</v>
          </cell>
          <cell r="L70" t="str">
            <v>kg CO2 eq.</v>
          </cell>
          <cell r="M70">
            <v>0</v>
          </cell>
          <cell r="N70" t="str">
            <v>kg CO2 eq.</v>
          </cell>
          <cell r="O70">
            <v>0</v>
          </cell>
          <cell r="P70" t="str">
            <v>MJ</v>
          </cell>
        </row>
        <row r="71">
          <cell r="C71" t="str">
            <v>E2.E.03</v>
          </cell>
          <cell r="D71" t="str">
            <v>Stützenkonstruktionen</v>
          </cell>
          <cell r="G71">
            <v>0</v>
          </cell>
          <cell r="H71" t="str">
            <v>€</v>
          </cell>
          <cell r="I71">
            <v>0</v>
          </cell>
          <cell r="J71" t="str">
            <v>kg CO2 eq.</v>
          </cell>
          <cell r="K71">
            <v>0</v>
          </cell>
          <cell r="L71" t="str">
            <v>kg CO2 eq.</v>
          </cell>
          <cell r="M71">
            <v>0</v>
          </cell>
          <cell r="N71" t="str">
            <v>kg CO2 eq.</v>
          </cell>
          <cell r="O71">
            <v>0</v>
          </cell>
          <cell r="P71" t="str">
            <v>MJ</v>
          </cell>
        </row>
        <row r="72">
          <cell r="C72" t="str">
            <v>E2.E.04</v>
          </cell>
          <cell r="D72" t="str">
            <v>Spezielle Konstruktionen</v>
          </cell>
          <cell r="G72">
            <v>0</v>
          </cell>
          <cell r="H72" t="str">
            <v>€</v>
          </cell>
        </row>
        <row r="73">
          <cell r="C73" t="str">
            <v>E2.E.S</v>
          </cell>
          <cell r="D73" t="str">
            <v>Sonstiges Vertikale Baukonstruktionen</v>
          </cell>
          <cell r="G73">
            <v>0</v>
          </cell>
          <cell r="H73" t="str">
            <v>€</v>
          </cell>
        </row>
        <row r="74">
          <cell r="C74" t="str">
            <v>E2.F</v>
          </cell>
          <cell r="D74" t="str">
            <v>Spezielle Baukonstruktionen</v>
          </cell>
          <cell r="G74" t="e">
            <v>#N/A</v>
          </cell>
          <cell r="H74" t="str">
            <v>€</v>
          </cell>
        </row>
        <row r="75">
          <cell r="C75" t="str">
            <v>E2.G</v>
          </cell>
          <cell r="D75" t="str">
            <v>Rohbau zu Bauwerk-Technik</v>
          </cell>
          <cell r="G75">
            <v>0</v>
          </cell>
          <cell r="H75" t="str">
            <v>€</v>
          </cell>
        </row>
        <row r="76">
          <cell r="C76" t="str">
            <v>E2.S</v>
          </cell>
          <cell r="D76" t="str">
            <v>Rohbau Sonstiges</v>
          </cell>
          <cell r="G76">
            <v>0</v>
          </cell>
          <cell r="H76" t="str">
            <v>€</v>
          </cell>
        </row>
        <row r="77">
          <cell r="D77" t="str">
            <v>Transporte</v>
          </cell>
          <cell r="I77">
            <v>10012.593788944409</v>
          </cell>
          <cell r="J77" t="str">
            <v>kg CO2 eq.</v>
          </cell>
          <cell r="K77">
            <v>-4.1497651520282188</v>
          </cell>
          <cell r="L77" t="str">
            <v>kg CO2 eq.</v>
          </cell>
          <cell r="M77">
            <v>10016.743554096436</v>
          </cell>
          <cell r="N77" t="str">
            <v>kg CO2 eq.</v>
          </cell>
          <cell r="O77">
            <v>162916.94909264703</v>
          </cell>
          <cell r="P77" t="str">
            <v>MJ</v>
          </cell>
        </row>
        <row r="78">
          <cell r="C78" t="str">
            <v>E3</v>
          </cell>
          <cell r="D78" t="str">
            <v>Bauwerk - Technik</v>
          </cell>
          <cell r="G78">
            <v>233906.14</v>
          </cell>
          <cell r="H78" t="str">
            <v>€</v>
          </cell>
          <cell r="I78">
            <v>0</v>
          </cell>
          <cell r="J78" t="str">
            <v>kg CO2 eq.</v>
          </cell>
          <cell r="K78">
            <v>0</v>
          </cell>
          <cell r="L78" t="str">
            <v>kg CO2 eq.</v>
          </cell>
          <cell r="M78">
            <v>0</v>
          </cell>
          <cell r="N78" t="str">
            <v>kg CO2 eq.</v>
          </cell>
          <cell r="O78">
            <v>0</v>
          </cell>
          <cell r="P78" t="str">
            <v>MJ</v>
          </cell>
        </row>
        <row r="79">
          <cell r="C79" t="str">
            <v>E3.A</v>
          </cell>
          <cell r="D79" t="str">
            <v>Allgemein</v>
          </cell>
          <cell r="G79">
            <v>0</v>
          </cell>
          <cell r="H79" t="str">
            <v>€</v>
          </cell>
        </row>
        <row r="80">
          <cell r="C80" t="str">
            <v>E3.B</v>
          </cell>
          <cell r="D80" t="str">
            <v>Förderanlagen</v>
          </cell>
          <cell r="G80">
            <v>0</v>
          </cell>
          <cell r="H80" t="str">
            <v>€</v>
          </cell>
        </row>
        <row r="81">
          <cell r="C81" t="str">
            <v>E3.C</v>
          </cell>
          <cell r="D81" t="str">
            <v>Wärmeversorgungsanlagen</v>
          </cell>
          <cell r="G81">
            <v>50765.98</v>
          </cell>
          <cell r="H81" t="str">
            <v>€</v>
          </cell>
          <cell r="I81">
            <v>0</v>
          </cell>
          <cell r="J81" t="str">
            <v>kg CO2 eq.</v>
          </cell>
          <cell r="K81">
            <v>0</v>
          </cell>
          <cell r="L81" t="str">
            <v>kg CO2 eq.</v>
          </cell>
          <cell r="M81">
            <v>0</v>
          </cell>
          <cell r="N81" t="str">
            <v>kg CO2 eq.</v>
          </cell>
          <cell r="O81">
            <v>0</v>
          </cell>
          <cell r="P81" t="str">
            <v>MJ</v>
          </cell>
        </row>
        <row r="82">
          <cell r="C82" t="str">
            <v>E3.C.01</v>
          </cell>
          <cell r="D82" t="str">
            <v>Wärmeerzeugungsanlagen</v>
          </cell>
          <cell r="G82">
            <v>0</v>
          </cell>
          <cell r="H82" t="str">
            <v>€</v>
          </cell>
          <cell r="I82">
            <v>0</v>
          </cell>
          <cell r="J82" t="str">
            <v>kg CO2 eq.</v>
          </cell>
          <cell r="K82">
            <v>0</v>
          </cell>
          <cell r="L82" t="str">
            <v>kg CO2 eq.</v>
          </cell>
          <cell r="M82">
            <v>0</v>
          </cell>
          <cell r="N82" t="str">
            <v>kg CO2 eq.</v>
          </cell>
          <cell r="O82">
            <v>0</v>
          </cell>
          <cell r="P82" t="str">
            <v>MJ</v>
          </cell>
        </row>
        <row r="83">
          <cell r="C83" t="str">
            <v>E3.C.01a</v>
          </cell>
          <cell r="D83" t="str">
            <v>Solarthermie Dach</v>
          </cell>
          <cell r="I83">
            <v>0</v>
          </cell>
          <cell r="J83" t="str">
            <v>kg CO2 eq.</v>
          </cell>
          <cell r="K83">
            <v>0</v>
          </cell>
          <cell r="L83" t="str">
            <v>kg CO2 eq.</v>
          </cell>
          <cell r="M83">
            <v>0</v>
          </cell>
          <cell r="N83" t="str">
            <v>kg CO2 eq.</v>
          </cell>
          <cell r="O83">
            <v>0</v>
          </cell>
          <cell r="P83" t="str">
            <v>MJ</v>
          </cell>
        </row>
        <row r="84">
          <cell r="C84" t="str">
            <v>E3.C.01b</v>
          </cell>
          <cell r="D84" t="str">
            <v>Solarthermie Fassade</v>
          </cell>
          <cell r="I84">
            <v>0</v>
          </cell>
          <cell r="J84" t="str">
            <v>kg CO2 eq.</v>
          </cell>
          <cell r="K84">
            <v>0</v>
          </cell>
          <cell r="L84" t="str">
            <v>kg CO2 eq.</v>
          </cell>
          <cell r="M84">
            <v>0</v>
          </cell>
          <cell r="N84" t="str">
            <v>kg CO2 eq.</v>
          </cell>
          <cell r="O84">
            <v>0</v>
          </cell>
          <cell r="P84" t="str">
            <v>MJ</v>
          </cell>
        </row>
        <row r="85">
          <cell r="C85" t="str">
            <v>E3.C.02</v>
          </cell>
          <cell r="D85" t="str">
            <v>Wärmeverteilnetze</v>
          </cell>
          <cell r="G85">
            <v>0</v>
          </cell>
          <cell r="H85" t="str">
            <v>€</v>
          </cell>
        </row>
        <row r="86">
          <cell r="C86" t="str">
            <v>E3.C.03</v>
          </cell>
          <cell r="D86" t="str">
            <v>Raumheizflächen</v>
          </cell>
          <cell r="G86">
            <v>0</v>
          </cell>
          <cell r="H86" t="str">
            <v>€</v>
          </cell>
        </row>
        <row r="87">
          <cell r="C87" t="str">
            <v>E3.C.S</v>
          </cell>
          <cell r="D87" t="str">
            <v>Sonstige Wärmeversorgungsanlagen</v>
          </cell>
          <cell r="G87">
            <v>50765.98</v>
          </cell>
          <cell r="H87" t="str">
            <v>€</v>
          </cell>
        </row>
        <row r="88">
          <cell r="C88" t="str">
            <v>E3.D</v>
          </cell>
          <cell r="D88" t="str">
            <v>Klima-/Lüftungsanlagen</v>
          </cell>
          <cell r="G88">
            <v>30012.82</v>
          </cell>
          <cell r="H88" t="str">
            <v>€</v>
          </cell>
        </row>
        <row r="89">
          <cell r="C89" t="str">
            <v>E3.D.01</v>
          </cell>
          <cell r="D89" t="str">
            <v>Lüftungsanlagen</v>
          </cell>
          <cell r="G89">
            <v>0</v>
          </cell>
          <cell r="H89" t="str">
            <v>€</v>
          </cell>
        </row>
        <row r="90">
          <cell r="C90" t="str">
            <v>E3.D.02</v>
          </cell>
          <cell r="D90" t="str">
            <v>Teilklimaanlagen</v>
          </cell>
          <cell r="G90">
            <v>0</v>
          </cell>
          <cell r="H90" t="str">
            <v>€</v>
          </cell>
        </row>
        <row r="91">
          <cell r="C91" t="str">
            <v>E3.D.03</v>
          </cell>
          <cell r="D91" t="str">
            <v>Klimaanlagen</v>
          </cell>
          <cell r="G91">
            <v>0</v>
          </cell>
          <cell r="H91" t="str">
            <v>€</v>
          </cell>
        </row>
        <row r="92">
          <cell r="C92" t="str">
            <v>E3.D.04</v>
          </cell>
          <cell r="D92" t="str">
            <v>Kälteanlagen</v>
          </cell>
          <cell r="G92">
            <v>0</v>
          </cell>
          <cell r="H92" t="str">
            <v>€</v>
          </cell>
        </row>
        <row r="93">
          <cell r="C93" t="str">
            <v>E3.D.05</v>
          </cell>
          <cell r="D93" t="str">
            <v>Prozesslufttechnische Anlagen</v>
          </cell>
          <cell r="G93">
            <v>0</v>
          </cell>
          <cell r="H93" t="str">
            <v>€</v>
          </cell>
        </row>
        <row r="94">
          <cell r="C94" t="str">
            <v>E3.D.S</v>
          </cell>
          <cell r="D94" t="str">
            <v>Sonstige Klima-/Lüftungsanlagen</v>
          </cell>
          <cell r="G94">
            <v>30012.82</v>
          </cell>
          <cell r="H94" t="str">
            <v>€</v>
          </cell>
        </row>
        <row r="95">
          <cell r="C95" t="str">
            <v>E3.E</v>
          </cell>
          <cell r="D95" t="str">
            <v>Sanitär-/Gasanlagen</v>
          </cell>
          <cell r="G95">
            <v>41789.79</v>
          </cell>
          <cell r="H95" t="str">
            <v>€</v>
          </cell>
        </row>
        <row r="96">
          <cell r="C96" t="str">
            <v>E3.E.01</v>
          </cell>
          <cell r="D96" t="str">
            <v>Abwasseranlagen</v>
          </cell>
          <cell r="G96">
            <v>0</v>
          </cell>
          <cell r="H96" t="str">
            <v>€</v>
          </cell>
        </row>
        <row r="97">
          <cell r="C97" t="str">
            <v>E3.E.02</v>
          </cell>
          <cell r="D97" t="str">
            <v>Wasseranlagen</v>
          </cell>
          <cell r="G97">
            <v>0</v>
          </cell>
          <cell r="H97" t="str">
            <v>€</v>
          </cell>
        </row>
        <row r="98">
          <cell r="C98" t="str">
            <v>E3.E.03</v>
          </cell>
          <cell r="D98" t="str">
            <v>Gasanlagen</v>
          </cell>
          <cell r="G98">
            <v>0</v>
          </cell>
          <cell r="H98" t="str">
            <v>€</v>
          </cell>
        </row>
        <row r="99">
          <cell r="C99" t="str">
            <v>E3.E.04</v>
          </cell>
          <cell r="D99" t="str">
            <v>Feuerlöschanlagen</v>
          </cell>
          <cell r="G99">
            <v>0</v>
          </cell>
          <cell r="H99" t="str">
            <v>€</v>
          </cell>
        </row>
        <row r="100">
          <cell r="C100" t="str">
            <v>E3.E.S</v>
          </cell>
          <cell r="D100" t="str">
            <v>Sonstige Sanitär-/Gasanlagen</v>
          </cell>
          <cell r="G100">
            <v>41789.79</v>
          </cell>
          <cell r="H100" t="str">
            <v>€</v>
          </cell>
        </row>
        <row r="101">
          <cell r="C101" t="str">
            <v>E3.F</v>
          </cell>
          <cell r="D101" t="str">
            <v>Starkstromanlagen</v>
          </cell>
          <cell r="G101">
            <v>68272.87</v>
          </cell>
          <cell r="H101" t="str">
            <v>€</v>
          </cell>
          <cell r="I101">
            <v>0</v>
          </cell>
          <cell r="J101" t="str">
            <v>kg CO2 eq.</v>
          </cell>
          <cell r="K101">
            <v>0</v>
          </cell>
          <cell r="L101" t="str">
            <v>kg CO2 eq.</v>
          </cell>
          <cell r="M101">
            <v>0</v>
          </cell>
          <cell r="N101" t="str">
            <v>kg CO2 eq.</v>
          </cell>
          <cell r="O101">
            <v>0</v>
          </cell>
          <cell r="P101" t="str">
            <v>MJ</v>
          </cell>
        </row>
        <row r="102">
          <cell r="C102" t="str">
            <v>E3.F.01</v>
          </cell>
          <cell r="D102" t="str">
            <v>Hoch-/Mittelspannungsanlage</v>
          </cell>
          <cell r="G102">
            <v>0</v>
          </cell>
          <cell r="H102" t="str">
            <v>€</v>
          </cell>
        </row>
        <row r="103">
          <cell r="C103" t="str">
            <v>E3.F.02</v>
          </cell>
          <cell r="D103" t="str">
            <v>Eigenstromversorgung</v>
          </cell>
          <cell r="G103">
            <v>0</v>
          </cell>
          <cell r="H103" t="str">
            <v>€</v>
          </cell>
          <cell r="I103">
            <v>0</v>
          </cell>
          <cell r="J103" t="str">
            <v>kg CO2 eq.</v>
          </cell>
          <cell r="K103">
            <v>0</v>
          </cell>
          <cell r="L103" t="str">
            <v>kg CO2 eq.</v>
          </cell>
          <cell r="M103">
            <v>0</v>
          </cell>
          <cell r="N103" t="str">
            <v>kg CO2 eq.</v>
          </cell>
          <cell r="O103">
            <v>0</v>
          </cell>
          <cell r="P103" t="str">
            <v>MJ</v>
          </cell>
        </row>
        <row r="104">
          <cell r="C104" t="str">
            <v>E3.F.02a</v>
          </cell>
          <cell r="D104" t="str">
            <v>PV am Dach</v>
          </cell>
          <cell r="G104">
            <v>0</v>
          </cell>
          <cell r="H104" t="str">
            <v>€</v>
          </cell>
          <cell r="I104">
            <v>0</v>
          </cell>
          <cell r="J104" t="str">
            <v>kg CO2 eq.</v>
          </cell>
          <cell r="K104">
            <v>0</v>
          </cell>
          <cell r="L104" t="str">
            <v>kg CO2 eq.</v>
          </cell>
          <cell r="M104">
            <v>0</v>
          </cell>
          <cell r="N104" t="str">
            <v>kg CO2 eq.</v>
          </cell>
          <cell r="O104">
            <v>0</v>
          </cell>
          <cell r="P104" t="str">
            <v>MJ</v>
          </cell>
        </row>
        <row r="105">
          <cell r="C105" t="str">
            <v>E3.F.02b</v>
          </cell>
          <cell r="D105" t="str">
            <v>PV an der Fassade</v>
          </cell>
          <cell r="G105">
            <v>0</v>
          </cell>
          <cell r="H105" t="str">
            <v>€</v>
          </cell>
          <cell r="I105">
            <v>0</v>
          </cell>
          <cell r="J105" t="str">
            <v>kg CO2 eq.</v>
          </cell>
          <cell r="K105">
            <v>0</v>
          </cell>
          <cell r="L105" t="str">
            <v>kg CO2 eq.</v>
          </cell>
          <cell r="M105">
            <v>0</v>
          </cell>
          <cell r="N105" t="str">
            <v>kg CO2 eq.</v>
          </cell>
          <cell r="O105">
            <v>0</v>
          </cell>
          <cell r="P105" t="str">
            <v>MJ</v>
          </cell>
        </row>
        <row r="106">
          <cell r="C106" t="str">
            <v>E3.F.02c</v>
          </cell>
          <cell r="D106" t="str">
            <v>sonstige Eigenstromversorgung</v>
          </cell>
          <cell r="G106">
            <v>0</v>
          </cell>
          <cell r="H106" t="str">
            <v>€</v>
          </cell>
        </row>
        <row r="107">
          <cell r="C107" t="str">
            <v>E3.F.03</v>
          </cell>
          <cell r="D107" t="str">
            <v>Niederspannungsschaltanlagen</v>
          </cell>
          <cell r="G107">
            <v>0</v>
          </cell>
          <cell r="H107" t="str">
            <v>€</v>
          </cell>
        </row>
        <row r="108">
          <cell r="C108" t="str">
            <v>E3.F.04</v>
          </cell>
          <cell r="D108" t="str">
            <v>Niederspannungsinstallation</v>
          </cell>
          <cell r="G108">
            <v>0</v>
          </cell>
          <cell r="H108" t="str">
            <v>€</v>
          </cell>
        </row>
        <row r="109">
          <cell r="C109" t="str">
            <v>E3.F.05</v>
          </cell>
          <cell r="D109" t="str">
            <v>Beleuchtungsanlagen</v>
          </cell>
          <cell r="G109">
            <v>0</v>
          </cell>
          <cell r="H109" t="str">
            <v>€</v>
          </cell>
        </row>
        <row r="110">
          <cell r="C110" t="str">
            <v>E3.F.06</v>
          </cell>
          <cell r="D110" t="str">
            <v>Blitzschutzanlagen</v>
          </cell>
          <cell r="G110">
            <v>0</v>
          </cell>
          <cell r="H110" t="str">
            <v>€</v>
          </cell>
        </row>
        <row r="111">
          <cell r="C111" t="str">
            <v>E3.F.S</v>
          </cell>
          <cell r="D111" t="str">
            <v>Sonstige Starkstromanlagen</v>
          </cell>
          <cell r="G111">
            <v>68272.87</v>
          </cell>
          <cell r="H111" t="str">
            <v>€</v>
          </cell>
        </row>
        <row r="112">
          <cell r="C112" t="str">
            <v>E3.G</v>
          </cell>
          <cell r="D112" t="str">
            <v>Fernmelde- und Informationstechnische Anlagen</v>
          </cell>
          <cell r="G112">
            <v>24178.26</v>
          </cell>
          <cell r="H112" t="str">
            <v>€</v>
          </cell>
        </row>
        <row r="113">
          <cell r="C113" t="str">
            <v>E3.G.01</v>
          </cell>
          <cell r="D113" t="str">
            <v>Telekommunikationsanlagen</v>
          </cell>
          <cell r="G113">
            <v>0</v>
          </cell>
          <cell r="H113" t="str">
            <v>€</v>
          </cell>
        </row>
        <row r="114">
          <cell r="C114" t="str">
            <v>E3.G.02</v>
          </cell>
          <cell r="D114" t="str">
            <v>Such-/Signalanlagen</v>
          </cell>
          <cell r="G114">
            <v>0</v>
          </cell>
          <cell r="H114" t="str">
            <v>€</v>
          </cell>
        </row>
        <row r="115">
          <cell r="C115" t="str">
            <v>E3.G.03</v>
          </cell>
          <cell r="D115" t="str">
            <v>Zeitdienstanlagen</v>
          </cell>
          <cell r="G115">
            <v>0</v>
          </cell>
          <cell r="H115" t="str">
            <v>€</v>
          </cell>
        </row>
        <row r="116">
          <cell r="C116" t="str">
            <v>E3.G.04</v>
          </cell>
          <cell r="D116" t="str">
            <v>Elektroakustische Anlagen</v>
          </cell>
          <cell r="G116">
            <v>0</v>
          </cell>
          <cell r="H116" t="str">
            <v>€</v>
          </cell>
        </row>
        <row r="117">
          <cell r="C117" t="str">
            <v>E3.G.05</v>
          </cell>
          <cell r="D117" t="str">
            <v>Fernseh-/Antennenanlagen</v>
          </cell>
          <cell r="G117">
            <v>0</v>
          </cell>
          <cell r="H117" t="str">
            <v>€</v>
          </cell>
        </row>
        <row r="118">
          <cell r="C118" t="str">
            <v>E3.G.06</v>
          </cell>
          <cell r="D118" t="str">
            <v>Gefahrenmelde-/Alarmanlagen</v>
          </cell>
          <cell r="G118">
            <v>0</v>
          </cell>
          <cell r="H118" t="str">
            <v>€</v>
          </cell>
        </row>
        <row r="119">
          <cell r="C119" t="str">
            <v>E3.G.07</v>
          </cell>
          <cell r="D119" t="str">
            <v>Übertragungsnetze</v>
          </cell>
          <cell r="G119">
            <v>0</v>
          </cell>
          <cell r="H119" t="str">
            <v>€</v>
          </cell>
        </row>
        <row r="120">
          <cell r="C120" t="str">
            <v>E3.G.S</v>
          </cell>
          <cell r="D120" t="str">
            <v>Sonstige Informationstechnische Anlagen</v>
          </cell>
          <cell r="G120">
            <v>24178.26</v>
          </cell>
          <cell r="H120" t="str">
            <v>€</v>
          </cell>
        </row>
        <row r="121">
          <cell r="C121" t="str">
            <v>E3.H</v>
          </cell>
          <cell r="D121" t="str">
            <v>Gebäudeautomation</v>
          </cell>
          <cell r="G121">
            <v>12523.72</v>
          </cell>
          <cell r="H121" t="str">
            <v>€</v>
          </cell>
        </row>
        <row r="122">
          <cell r="C122" t="str">
            <v>E3.H.01</v>
          </cell>
          <cell r="D122" t="str">
            <v>Mess-, Steuer-, Regel- und Leitanlagen</v>
          </cell>
          <cell r="G122">
            <v>0</v>
          </cell>
          <cell r="H122" t="str">
            <v>€</v>
          </cell>
        </row>
        <row r="123">
          <cell r="C123" t="str">
            <v>E3.H.S</v>
          </cell>
          <cell r="D123" t="str">
            <v>Sonstiges</v>
          </cell>
          <cell r="G123">
            <v>12523.72</v>
          </cell>
          <cell r="H123" t="str">
            <v>€</v>
          </cell>
        </row>
        <row r="124">
          <cell r="C124" t="str">
            <v>E3.I</v>
          </cell>
          <cell r="D124" t="str">
            <v>Spezielle Anlagen</v>
          </cell>
          <cell r="G124">
            <v>0</v>
          </cell>
          <cell r="H124" t="str">
            <v>€</v>
          </cell>
        </row>
        <row r="125">
          <cell r="C125" t="str">
            <v>E3.I.01</v>
          </cell>
          <cell r="D125" t="str">
            <v>Maschinenanlagen</v>
          </cell>
          <cell r="G125">
            <v>0</v>
          </cell>
          <cell r="H125" t="str">
            <v>€</v>
          </cell>
        </row>
        <row r="126">
          <cell r="C126" t="str">
            <v>E3.I.02</v>
          </cell>
          <cell r="D126" t="str">
            <v>Mechatronische Anlagen</v>
          </cell>
          <cell r="G126">
            <v>0</v>
          </cell>
          <cell r="H126" t="str">
            <v>€</v>
          </cell>
        </row>
        <row r="127">
          <cell r="C127" t="str">
            <v>E3.I.S</v>
          </cell>
          <cell r="D127" t="str">
            <v>Sonstiges</v>
          </cell>
          <cell r="G127">
            <v>0</v>
          </cell>
          <cell r="H127" t="str">
            <v>€</v>
          </cell>
        </row>
        <row r="128">
          <cell r="C128" t="str">
            <v>E3.S</v>
          </cell>
          <cell r="D128" t="str">
            <v>Sonstiges Bauwerk-Technik</v>
          </cell>
          <cell r="G128">
            <v>6362.7</v>
          </cell>
          <cell r="H128" t="str">
            <v>€</v>
          </cell>
        </row>
        <row r="129">
          <cell r="C129" t="str">
            <v>E3.S.01</v>
          </cell>
          <cell r="D129" t="str">
            <v>Sonstiges Bauwerk-Technik</v>
          </cell>
          <cell r="G129">
            <v>6362.7</v>
          </cell>
          <cell r="H129" t="str">
            <v>€</v>
          </cell>
        </row>
        <row r="130">
          <cell r="C130" t="str">
            <v>E4</v>
          </cell>
          <cell r="D130" t="str">
            <v>Bauwerk - Ausbau</v>
          </cell>
          <cell r="G130">
            <v>377372.72</v>
          </cell>
          <cell r="H130" t="str">
            <v>€</v>
          </cell>
          <cell r="I130">
            <v>15889.358322495329</v>
          </cell>
          <cell r="J130" t="str">
            <v>kg CO2 eq.</v>
          </cell>
          <cell r="K130">
            <v>-13280.660645855178</v>
          </cell>
          <cell r="L130" t="str">
            <v>kg CO2 eq.</v>
          </cell>
          <cell r="M130">
            <v>29170.018968350509</v>
          </cell>
          <cell r="N130" t="str">
            <v>kg CO2 eq.</v>
          </cell>
          <cell r="O130">
            <v>444213.53032054752</v>
          </cell>
          <cell r="P130" t="str">
            <v>MJ</v>
          </cell>
        </row>
        <row r="131">
          <cell r="C131" t="str">
            <v>E4.A</v>
          </cell>
          <cell r="D131" t="str">
            <v>Allgemein</v>
          </cell>
          <cell r="G131">
            <v>0</v>
          </cell>
          <cell r="H131" t="str">
            <v>€</v>
          </cell>
        </row>
        <row r="132">
          <cell r="C132" t="str">
            <v>E4.B</v>
          </cell>
          <cell r="D132" t="str">
            <v>Dachverkleidung</v>
          </cell>
          <cell r="G132">
            <v>166948.47</v>
          </cell>
          <cell r="H132" t="str">
            <v>€</v>
          </cell>
          <cell r="I132">
            <v>582.16946257359973</v>
          </cell>
          <cell r="J132" t="str">
            <v>kg CO2 eq.</v>
          </cell>
          <cell r="K132">
            <v>-41.288572682395603</v>
          </cell>
          <cell r="L132" t="str">
            <v>kg CO2 eq.</v>
          </cell>
          <cell r="M132">
            <v>623.45803525599524</v>
          </cell>
          <cell r="N132" t="str">
            <v>kg CO2 eq.</v>
          </cell>
          <cell r="O132">
            <v>13496.73529679286</v>
          </cell>
          <cell r="P132" t="str">
            <v>MJ</v>
          </cell>
        </row>
        <row r="133">
          <cell r="C133" t="str">
            <v>E4.B.01</v>
          </cell>
          <cell r="D133" t="str">
            <v>Dachbeläge</v>
          </cell>
          <cell r="G133">
            <v>166948.47</v>
          </cell>
          <cell r="H133" t="str">
            <v>€</v>
          </cell>
          <cell r="I133">
            <v>554.03870949275552</v>
          </cell>
          <cell r="J133" t="str">
            <v>kg CO2 eq.</v>
          </cell>
          <cell r="K133">
            <v>-1.8756945562810254</v>
          </cell>
          <cell r="L133" t="str">
            <v>kg CO2 eq.</v>
          </cell>
          <cell r="M133">
            <v>555.91440404903653</v>
          </cell>
          <cell r="N133" t="str">
            <v>kg CO2 eq.</v>
          </cell>
          <cell r="O133">
            <v>12510.76375618465</v>
          </cell>
          <cell r="P133" t="str">
            <v>MJ</v>
          </cell>
        </row>
        <row r="134">
          <cell r="C134" t="str">
            <v>E4.B.01.a</v>
          </cell>
          <cell r="D134" t="str">
            <v>Dachbelag 1</v>
          </cell>
          <cell r="G134">
            <v>166948.47</v>
          </cell>
          <cell r="H134" t="str">
            <v>€</v>
          </cell>
          <cell r="I134">
            <v>554.03870949275552</v>
          </cell>
          <cell r="J134" t="str">
            <v>kg CO2 eq.</v>
          </cell>
          <cell r="K134">
            <v>-1.8756945562810254</v>
          </cell>
          <cell r="L134" t="str">
            <v>kg CO2 eq.</v>
          </cell>
          <cell r="M134">
            <v>555.91440404903653</v>
          </cell>
          <cell r="N134" t="str">
            <v>kg CO2 eq.</v>
          </cell>
          <cell r="O134">
            <v>12510.76375618465</v>
          </cell>
          <cell r="P134" t="str">
            <v>MJ</v>
          </cell>
        </row>
        <row r="135">
          <cell r="C135" t="str">
            <v>E4.B.01.b</v>
          </cell>
          <cell r="D135" t="str">
            <v>Dachbelag 2</v>
          </cell>
          <cell r="G135">
            <v>0</v>
          </cell>
          <cell r="H135" t="str">
            <v>€</v>
          </cell>
          <cell r="I135">
            <v>0</v>
          </cell>
          <cell r="J135" t="str">
            <v>kg CO2 eq.</v>
          </cell>
          <cell r="K135">
            <v>0</v>
          </cell>
          <cell r="L135" t="str">
            <v>kg CO2 eq.</v>
          </cell>
          <cell r="M135">
            <v>0</v>
          </cell>
          <cell r="N135" t="str">
            <v>kg CO2 eq.</v>
          </cell>
          <cell r="O135">
            <v>0</v>
          </cell>
          <cell r="P135" t="str">
            <v>MJ</v>
          </cell>
        </row>
        <row r="136">
          <cell r="C136" t="str">
            <v>E4.B.01.c</v>
          </cell>
          <cell r="D136" t="str">
            <v>Dachintegrierte Photovoltaikmodule</v>
          </cell>
        </row>
        <row r="137">
          <cell r="C137" t="str">
            <v>E4.B.01.d</v>
          </cell>
          <cell r="D137" t="str">
            <v>Dachintegrierte Solarkollektoren</v>
          </cell>
        </row>
        <row r="138">
          <cell r="C138" t="str">
            <v>E4.B.02</v>
          </cell>
          <cell r="D138" t="str">
            <v>Dachfenster/-öffnungen</v>
          </cell>
          <cell r="G138">
            <v>0</v>
          </cell>
          <cell r="H138" t="str">
            <v>€</v>
          </cell>
          <cell r="I138">
            <v>28.130753080844229</v>
          </cell>
          <cell r="J138" t="str">
            <v>kg CO2 eq.</v>
          </cell>
          <cell r="K138">
            <v>-39.412878126114578</v>
          </cell>
          <cell r="L138" t="str">
            <v>kg CO2 eq.</v>
          </cell>
          <cell r="M138">
            <v>67.54363120695875</v>
          </cell>
          <cell r="N138" t="str">
            <v>kg CO2 eq.</v>
          </cell>
          <cell r="O138">
            <v>985.97154060821049</v>
          </cell>
          <cell r="P138" t="str">
            <v>MJ</v>
          </cell>
        </row>
        <row r="139">
          <cell r="C139" t="str">
            <v>E4.B.02a</v>
          </cell>
          <cell r="D139" t="str">
            <v>Verglasung</v>
          </cell>
          <cell r="I139">
            <v>31.394867912403072</v>
          </cell>
          <cell r="J139" t="str">
            <v>kg CO2 eq.</v>
          </cell>
          <cell r="K139">
            <v>0</v>
          </cell>
          <cell r="L139" t="str">
            <v>kg CO2 eq.</v>
          </cell>
          <cell r="M139">
            <v>31.394867912403072</v>
          </cell>
          <cell r="N139" t="str">
            <v>kg CO2 eq.</v>
          </cell>
          <cell r="O139">
            <v>411.15510241373948</v>
          </cell>
          <cell r="P139" t="str">
            <v>MJ</v>
          </cell>
        </row>
        <row r="140">
          <cell r="C140" t="str">
            <v>E4.B.02b</v>
          </cell>
          <cell r="D140" t="str">
            <v>Rahmen</v>
          </cell>
          <cell r="I140">
            <v>-3.2641148315588411</v>
          </cell>
          <cell r="J140" t="str">
            <v>kg CO2 eq.</v>
          </cell>
          <cell r="K140">
            <v>-39.412878126114578</v>
          </cell>
          <cell r="L140" t="str">
            <v>kg CO2 eq.</v>
          </cell>
          <cell r="M140">
            <v>36.148763294555678</v>
          </cell>
          <cell r="N140" t="str">
            <v>kg CO2 eq.</v>
          </cell>
          <cell r="O140">
            <v>574.81643819447106</v>
          </cell>
          <cell r="P140" t="str">
            <v>MJ</v>
          </cell>
        </row>
        <row r="141">
          <cell r="C141" t="str">
            <v>E4.B.03</v>
          </cell>
          <cell r="D141" t="str">
            <v>Balkon-/Terrassenbeläge</v>
          </cell>
          <cell r="G141">
            <v>0</v>
          </cell>
          <cell r="H141" t="str">
            <v>€</v>
          </cell>
        </row>
        <row r="142">
          <cell r="C142" t="str">
            <v>E4.B.S</v>
          </cell>
          <cell r="D142" t="str">
            <v>Sonstige Dachverkleidung</v>
          </cell>
          <cell r="G142">
            <v>0</v>
          </cell>
          <cell r="H142" t="str">
            <v>€</v>
          </cell>
        </row>
        <row r="143">
          <cell r="C143" t="str">
            <v>E4.C</v>
          </cell>
          <cell r="D143" t="str">
            <v>Fassadenhülle</v>
          </cell>
          <cell r="G143">
            <v>127713.47</v>
          </cell>
          <cell r="H143" t="str">
            <v>€</v>
          </cell>
          <cell r="I143">
            <v>8615.1285801251597</v>
          </cell>
          <cell r="J143" t="str">
            <v>kg CO2 eq.</v>
          </cell>
          <cell r="K143">
            <v>-3764.8397232909319</v>
          </cell>
          <cell r="L143" t="str">
            <v>kg CO2 eq.</v>
          </cell>
          <cell r="M143">
            <v>12379.968303416093</v>
          </cell>
          <cell r="N143" t="str">
            <v>kg CO2 eq.</v>
          </cell>
          <cell r="O143">
            <v>165929.12546492362</v>
          </cell>
          <cell r="P143" t="str">
            <v>MJ</v>
          </cell>
        </row>
        <row r="144">
          <cell r="C144" t="str">
            <v>E4.C.01</v>
          </cell>
          <cell r="D144" t="str">
            <v>Fassadenverkleidungen</v>
          </cell>
          <cell r="G144">
            <v>127713.47</v>
          </cell>
          <cell r="H144" t="str">
            <v>€</v>
          </cell>
          <cell r="I144">
            <v>3987.4847398020206</v>
          </cell>
          <cell r="J144" t="str">
            <v>kg CO2 eq.</v>
          </cell>
          <cell r="K144">
            <v>-1059.0859234511574</v>
          </cell>
          <cell r="L144" t="str">
            <v>kg CO2 eq.</v>
          </cell>
          <cell r="M144">
            <v>5046.5706632531837</v>
          </cell>
          <cell r="N144" t="str">
            <v>kg CO2 eq.</v>
          </cell>
          <cell r="O144">
            <v>62927.623695989001</v>
          </cell>
          <cell r="P144" t="str">
            <v>MJ</v>
          </cell>
        </row>
        <row r="145">
          <cell r="C145" t="str">
            <v>E4.C.01a</v>
          </cell>
          <cell r="D145" t="str">
            <v>Putzfassade</v>
          </cell>
          <cell r="G145">
            <v>0</v>
          </cell>
          <cell r="H145" t="str">
            <v>€</v>
          </cell>
          <cell r="I145">
            <v>0</v>
          </cell>
          <cell r="J145" t="str">
            <v>kg CO2 eq.</v>
          </cell>
          <cell r="K145">
            <v>0</v>
          </cell>
          <cell r="L145" t="str">
            <v>kg CO2 eq.</v>
          </cell>
          <cell r="M145">
            <v>0</v>
          </cell>
          <cell r="N145" t="str">
            <v>kg CO2 eq.</v>
          </cell>
          <cell r="O145">
            <v>0</v>
          </cell>
          <cell r="P145" t="str">
            <v>MJ</v>
          </cell>
        </row>
        <row r="146">
          <cell r="C146" t="str">
            <v>E4.C.01b</v>
          </cell>
          <cell r="D146" t="str">
            <v>Vorgehängte Fassade</v>
          </cell>
          <cell r="G146">
            <v>127713.47</v>
          </cell>
          <cell r="H146" t="str">
            <v>€</v>
          </cell>
          <cell r="I146">
            <v>3987.4847398020206</v>
          </cell>
          <cell r="J146" t="str">
            <v>kg CO2 eq.</v>
          </cell>
          <cell r="K146">
            <v>-1059.0859234511574</v>
          </cell>
          <cell r="L146" t="str">
            <v>kg CO2 eq.</v>
          </cell>
          <cell r="M146">
            <v>5046.5706632531837</v>
          </cell>
          <cell r="N146" t="str">
            <v>kg CO2 eq.</v>
          </cell>
          <cell r="O146">
            <v>62927.623695989001</v>
          </cell>
          <cell r="P146" t="str">
            <v>MJ</v>
          </cell>
        </row>
        <row r="147">
          <cell r="C147" t="str">
            <v>E4.C.01b1</v>
          </cell>
          <cell r="D147" t="str">
            <v>Vorgehängte Fassade - Verkleidung</v>
          </cell>
          <cell r="I147">
            <v>3987.4847398020206</v>
          </cell>
          <cell r="J147" t="str">
            <v>kg CO2 eq.</v>
          </cell>
          <cell r="K147">
            <v>-1059.0859234511574</v>
          </cell>
          <cell r="L147" t="str">
            <v>kg CO2 eq.</v>
          </cell>
          <cell r="M147">
            <v>5046.5706632531837</v>
          </cell>
          <cell r="N147" t="str">
            <v>kg CO2 eq.</v>
          </cell>
          <cell r="O147">
            <v>62927.623695989001</v>
          </cell>
          <cell r="P147" t="str">
            <v>MJ</v>
          </cell>
        </row>
        <row r="148">
          <cell r="C148" t="str">
            <v>E4.C.01b2</v>
          </cell>
          <cell r="D148" t="str">
            <v>Vorgehängte Fassade - Dämmebene</v>
          </cell>
          <cell r="I148">
            <v>0</v>
          </cell>
          <cell r="J148" t="str">
            <v>kg CO2 eq.</v>
          </cell>
          <cell r="K148">
            <v>0</v>
          </cell>
          <cell r="L148" t="str">
            <v>kg CO2 eq.</v>
          </cell>
          <cell r="M148">
            <v>0</v>
          </cell>
          <cell r="N148" t="str">
            <v>kg CO2 eq.</v>
          </cell>
          <cell r="O148">
            <v>0</v>
          </cell>
          <cell r="P148" t="str">
            <v>MJ</v>
          </cell>
        </row>
        <row r="149">
          <cell r="C149" t="str">
            <v>E4.C.01c</v>
          </cell>
          <cell r="D149" t="str">
            <v>Fassadenintegrierte Photovoltaikmodule</v>
          </cell>
          <cell r="H149" t="str">
            <v>€</v>
          </cell>
        </row>
        <row r="150">
          <cell r="C150" t="str">
            <v>E4.C.01d</v>
          </cell>
          <cell r="D150" t="str">
            <v>Fassadenintegrierte Solarkollektoren</v>
          </cell>
          <cell r="H150" t="str">
            <v>€</v>
          </cell>
        </row>
        <row r="151">
          <cell r="C151" t="str">
            <v>E4.C.02</v>
          </cell>
          <cell r="D151" t="str">
            <v>Fassadenöffnungen</v>
          </cell>
          <cell r="G151">
            <v>0</v>
          </cell>
          <cell r="H151" t="str">
            <v>€</v>
          </cell>
          <cell r="I151">
            <v>4627.6438403231386</v>
          </cell>
          <cell r="J151" t="str">
            <v>kg CO2 eq.</v>
          </cell>
          <cell r="K151">
            <v>-2705.7537998397747</v>
          </cell>
          <cell r="L151" t="str">
            <v>kg CO2 eq.</v>
          </cell>
          <cell r="M151">
            <v>7333.3976401629097</v>
          </cell>
          <cell r="N151" t="str">
            <v>kg CO2 eq.</v>
          </cell>
          <cell r="O151">
            <v>103001.50176893463</v>
          </cell>
          <cell r="P151" t="str">
            <v>MJ</v>
          </cell>
        </row>
        <row r="152">
          <cell r="C152" t="str">
            <v>E4.C.02a</v>
          </cell>
          <cell r="D152" t="str">
            <v>Fenster</v>
          </cell>
          <cell r="G152">
            <v>0</v>
          </cell>
          <cell r="H152" t="str">
            <v>€</v>
          </cell>
          <cell r="I152">
            <v>1085.5913348016707</v>
          </cell>
          <cell r="J152" t="str">
            <v>kg CO2 eq.</v>
          </cell>
          <cell r="K152">
            <v>-1520.9787967759673</v>
          </cell>
          <cell r="L152" t="str">
            <v>kg CO2 eq.</v>
          </cell>
          <cell r="M152">
            <v>2606.5701315776355</v>
          </cell>
          <cell r="N152" t="str">
            <v>kg CO2 eq.</v>
          </cell>
          <cell r="O152">
            <v>38049.538089835034</v>
          </cell>
          <cell r="P152" t="str">
            <v>MJ</v>
          </cell>
        </row>
        <row r="153">
          <cell r="C153" t="str">
            <v>E4.C.02a1</v>
          </cell>
          <cell r="D153" t="str">
            <v>Fenster - Verglasung</v>
          </cell>
          <cell r="I153">
            <v>1211.5564935286459</v>
          </cell>
          <cell r="J153" t="str">
            <v>kg CO2 eq.</v>
          </cell>
          <cell r="K153">
            <v>0</v>
          </cell>
          <cell r="L153" t="str">
            <v>kg CO2 eq.</v>
          </cell>
          <cell r="M153">
            <v>1211.5564935286459</v>
          </cell>
          <cell r="N153" t="str">
            <v>kg CO2 eq.</v>
          </cell>
          <cell r="O153">
            <v>15866.849179512037</v>
          </cell>
          <cell r="P153" t="str">
            <v>MJ</v>
          </cell>
        </row>
        <row r="154">
          <cell r="C154" t="str">
            <v>E4.C.02a2</v>
          </cell>
          <cell r="D154" t="str">
            <v>Fenster - Rahmen</v>
          </cell>
          <cell r="I154">
            <v>-125.96515872697528</v>
          </cell>
          <cell r="J154" t="str">
            <v>kg CO2 eq.</v>
          </cell>
          <cell r="K154">
            <v>-1520.9787967759673</v>
          </cell>
          <cell r="L154" t="str">
            <v>kg CO2 eq.</v>
          </cell>
          <cell r="M154">
            <v>1395.0136380489896</v>
          </cell>
          <cell r="N154" t="str">
            <v>kg CO2 eq.</v>
          </cell>
          <cell r="O154">
            <v>22182.688910322999</v>
          </cell>
          <cell r="P154" t="str">
            <v>MJ</v>
          </cell>
        </row>
        <row r="155">
          <cell r="C155" t="str">
            <v>E4.C.02b</v>
          </cell>
          <cell r="D155" t="str">
            <v>Türen</v>
          </cell>
          <cell r="G155">
            <v>0</v>
          </cell>
          <cell r="H155" t="str">
            <v>€</v>
          </cell>
        </row>
        <row r="156">
          <cell r="C156" t="str">
            <v>E4.C.02c</v>
          </cell>
          <cell r="D156" t="str">
            <v>Glasfassade</v>
          </cell>
          <cell r="G156">
            <v>0</v>
          </cell>
          <cell r="H156" t="str">
            <v>€</v>
          </cell>
          <cell r="I156">
            <v>3542.0525055214684</v>
          </cell>
          <cell r="J156" t="str">
            <v>kg CO2 eq.</v>
          </cell>
          <cell r="K156">
            <v>-1184.7750030638076</v>
          </cell>
          <cell r="L156" t="str">
            <v>kg CO2 eq.</v>
          </cell>
          <cell r="M156">
            <v>4726.8275085852747</v>
          </cell>
          <cell r="N156" t="str">
            <v>kg CO2 eq.</v>
          </cell>
          <cell r="O156">
            <v>64951.963679099586</v>
          </cell>
          <cell r="P156" t="str">
            <v>MJ</v>
          </cell>
        </row>
        <row r="157">
          <cell r="C157" t="str">
            <v>E4.C.02c1</v>
          </cell>
          <cell r="D157" t="str">
            <v>Verglasung</v>
          </cell>
          <cell r="I157">
            <v>3640.1737756095404</v>
          </cell>
          <cell r="J157" t="str">
            <v>kg CO2 eq.</v>
          </cell>
          <cell r="K157">
            <v>0</v>
          </cell>
          <cell r="L157" t="str">
            <v>kg CO2 eq.</v>
          </cell>
          <cell r="M157">
            <v>3640.1737756095404</v>
          </cell>
          <cell r="N157" t="str">
            <v>kg CO2 eq.</v>
          </cell>
          <cell r="O157">
            <v>47672.633173374888</v>
          </cell>
          <cell r="P157" t="str">
            <v>MJ</v>
          </cell>
        </row>
        <row r="158">
          <cell r="C158" t="str">
            <v>E4.C.02c2</v>
          </cell>
          <cell r="D158" t="str">
            <v>Rahmen</v>
          </cell>
          <cell r="I158">
            <v>-98.121270088071796</v>
          </cell>
          <cell r="J158" t="str">
            <v>kg CO2 eq.</v>
          </cell>
          <cell r="K158">
            <v>-1184.7750030638076</v>
          </cell>
          <cell r="L158" t="str">
            <v>kg CO2 eq.</v>
          </cell>
          <cell r="M158">
            <v>1086.6537329757339</v>
          </cell>
          <cell r="N158" t="str">
            <v>kg CO2 eq.</v>
          </cell>
          <cell r="O158">
            <v>17279.330505724702</v>
          </cell>
          <cell r="P158" t="str">
            <v>MJ</v>
          </cell>
        </row>
        <row r="159">
          <cell r="C159" t="str">
            <v>E4.C.02s</v>
          </cell>
          <cell r="D159" t="str">
            <v>Sonstige Fassadenöffnungen</v>
          </cell>
          <cell r="G159">
            <v>0</v>
          </cell>
          <cell r="H159" t="str">
            <v>€</v>
          </cell>
        </row>
        <row r="160">
          <cell r="C160" t="str">
            <v>E4.C.03</v>
          </cell>
          <cell r="D160" t="str">
            <v>Sonnenschutz</v>
          </cell>
          <cell r="G160">
            <v>0</v>
          </cell>
          <cell r="H160" t="str">
            <v>€</v>
          </cell>
        </row>
        <row r="161">
          <cell r="C161" t="str">
            <v>E4.C.04</v>
          </cell>
          <cell r="D161" t="str">
            <v>Außenhülle erdberührt</v>
          </cell>
          <cell r="G161">
            <v>0</v>
          </cell>
          <cell r="H161" t="str">
            <v>€</v>
          </cell>
          <cell r="I161">
            <v>0</v>
          </cell>
          <cell r="J161" t="str">
            <v>kg CO2 eq.</v>
          </cell>
          <cell r="K161">
            <v>0</v>
          </cell>
          <cell r="L161" t="str">
            <v>kg CO2 eq.</v>
          </cell>
          <cell r="M161">
            <v>0</v>
          </cell>
          <cell r="N161" t="str">
            <v>kg CO2 eq.</v>
          </cell>
          <cell r="O161">
            <v>0</v>
          </cell>
          <cell r="P161" t="str">
            <v>MJ</v>
          </cell>
        </row>
        <row r="162">
          <cell r="C162" t="str">
            <v>E4.C.04a</v>
          </cell>
          <cell r="D162" t="str">
            <v>Sockeldämmung</v>
          </cell>
          <cell r="G162">
            <v>0</v>
          </cell>
          <cell r="H162" t="str">
            <v>€</v>
          </cell>
          <cell r="I162">
            <v>0</v>
          </cell>
          <cell r="J162" t="str">
            <v>kg CO2 eq.</v>
          </cell>
          <cell r="K162">
            <v>0</v>
          </cell>
          <cell r="L162" t="str">
            <v>kg CO2 eq.</v>
          </cell>
          <cell r="M162">
            <v>0</v>
          </cell>
          <cell r="N162" t="str">
            <v>kg CO2 eq.</v>
          </cell>
          <cell r="O162">
            <v>0</v>
          </cell>
          <cell r="P162" t="str">
            <v>MJ</v>
          </cell>
        </row>
        <row r="163">
          <cell r="C163" t="str">
            <v>E4.C.04b</v>
          </cell>
          <cell r="D163" t="str">
            <v>Perimeterdämmung</v>
          </cell>
          <cell r="G163">
            <v>0</v>
          </cell>
          <cell r="H163" t="str">
            <v>€</v>
          </cell>
          <cell r="I163">
            <v>0</v>
          </cell>
          <cell r="J163" t="str">
            <v>kg CO2 eq.</v>
          </cell>
          <cell r="K163">
            <v>0</v>
          </cell>
          <cell r="L163" t="str">
            <v>kg CO2 eq.</v>
          </cell>
          <cell r="M163">
            <v>0</v>
          </cell>
          <cell r="N163" t="str">
            <v>kg CO2 eq.</v>
          </cell>
          <cell r="O163">
            <v>0</v>
          </cell>
          <cell r="P163" t="str">
            <v>MJ</v>
          </cell>
        </row>
        <row r="164">
          <cell r="C164" t="str">
            <v>E4.C.S</v>
          </cell>
          <cell r="D164" t="str">
            <v>Sonstige Fassadenhülle</v>
          </cell>
          <cell r="G164">
            <v>0</v>
          </cell>
          <cell r="H164" t="str">
            <v>€</v>
          </cell>
        </row>
        <row r="165">
          <cell r="C165" t="str">
            <v>E4.D</v>
          </cell>
          <cell r="D165" t="str">
            <v>Innenausbau</v>
          </cell>
          <cell r="G165">
            <v>82710.78</v>
          </cell>
          <cell r="H165" t="str">
            <v>€</v>
          </cell>
          <cell r="I165">
            <v>3971.5936244301283</v>
          </cell>
          <cell r="J165" t="str">
            <v>kg CO2 eq.</v>
          </cell>
          <cell r="K165">
            <v>-9473.4048400715401</v>
          </cell>
          <cell r="L165" t="str">
            <v>kg CO2 eq.</v>
          </cell>
          <cell r="M165">
            <v>13444.998464501667</v>
          </cell>
          <cell r="N165" t="str">
            <v>kg CO2 eq.</v>
          </cell>
          <cell r="O165">
            <v>220522.40354055341</v>
          </cell>
          <cell r="P165" t="str">
            <v>MJ</v>
          </cell>
        </row>
        <row r="166">
          <cell r="C166" t="str">
            <v>E4.D.01</v>
          </cell>
          <cell r="D166" t="str">
            <v>Bodenbeläge</v>
          </cell>
          <cell r="G166">
            <v>0</v>
          </cell>
          <cell r="H166" t="str">
            <v>€</v>
          </cell>
          <cell r="I166">
            <v>2088.0781583984144</v>
          </cell>
          <cell r="J166" t="str">
            <v>kg CO2 eq.</v>
          </cell>
          <cell r="K166">
            <v>-2702.6470753194781</v>
          </cell>
          <cell r="L166" t="str">
            <v>kg CO2 eq.</v>
          </cell>
          <cell r="M166">
            <v>4790.7252337178925</v>
          </cell>
          <cell r="N166" t="str">
            <v>kg CO2 eq.</v>
          </cell>
          <cell r="O166">
            <v>98099.512878708993</v>
          </cell>
          <cell r="P166" t="str">
            <v>MJ</v>
          </cell>
        </row>
        <row r="167">
          <cell r="C167" t="str">
            <v>E4.D.01a</v>
          </cell>
          <cell r="D167" t="str">
            <v>Bodenbelag 1</v>
          </cell>
          <cell r="G167">
            <v>0</v>
          </cell>
          <cell r="H167" t="str">
            <v>€</v>
          </cell>
          <cell r="I167">
            <v>210.38661405326874</v>
          </cell>
          <cell r="J167" t="str">
            <v>kg CO2 eq.</v>
          </cell>
          <cell r="K167">
            <v>-149.88673074392901</v>
          </cell>
          <cell r="L167" t="str">
            <v>kg CO2 eq.</v>
          </cell>
          <cell r="M167">
            <v>360.27334479719775</v>
          </cell>
          <cell r="N167" t="str">
            <v>kg CO2 eq.</v>
          </cell>
          <cell r="O167">
            <v>7248.7843418952125</v>
          </cell>
          <cell r="P167" t="str">
            <v>MJ</v>
          </cell>
        </row>
        <row r="168">
          <cell r="C168" t="str">
            <v>E4.D.01b</v>
          </cell>
          <cell r="D168" t="str">
            <v>Bodenbelag 2</v>
          </cell>
          <cell r="G168">
            <v>0</v>
          </cell>
          <cell r="H168" t="str">
            <v>€</v>
          </cell>
          <cell r="I168">
            <v>1096.8705431008204</v>
          </cell>
          <cell r="J168" t="str">
            <v>kg CO2 eq.</v>
          </cell>
          <cell r="K168">
            <v>-2.3576021564857351E-2</v>
          </cell>
          <cell r="L168" t="str">
            <v>kg CO2 eq.</v>
          </cell>
          <cell r="M168">
            <v>1096.8941191223855</v>
          </cell>
          <cell r="N168" t="str">
            <v>kg CO2 eq.</v>
          </cell>
          <cell r="O168">
            <v>18636.821373640691</v>
          </cell>
          <cell r="P168" t="str">
            <v>MJ</v>
          </cell>
        </row>
        <row r="169">
          <cell r="C169" t="str">
            <v>E4.D.01c</v>
          </cell>
          <cell r="D169" t="str">
            <v>Bodenbelag 3</v>
          </cell>
          <cell r="G169">
            <v>0</v>
          </cell>
          <cell r="H169" t="str">
            <v>€</v>
          </cell>
          <cell r="I169">
            <v>780.82100124432532</v>
          </cell>
          <cell r="J169" t="str">
            <v>kg CO2 eq.</v>
          </cell>
          <cell r="K169">
            <v>-2552.7367685539843</v>
          </cell>
          <cell r="L169" t="str">
            <v>kg CO2 eq.</v>
          </cell>
          <cell r="M169">
            <v>3333.5577697983094</v>
          </cell>
          <cell r="N169" t="str">
            <v>kg CO2 eq.</v>
          </cell>
          <cell r="O169">
            <v>72213.907163173091</v>
          </cell>
          <cell r="P169" t="str">
            <v>MJ</v>
          </cell>
        </row>
        <row r="170">
          <cell r="C170" t="str">
            <v>E4.D.02</v>
          </cell>
          <cell r="D170" t="str">
            <v>Wandverkleidungen</v>
          </cell>
          <cell r="G170">
            <v>82710.78</v>
          </cell>
          <cell r="H170" t="str">
            <v>€</v>
          </cell>
          <cell r="I170">
            <v>1783.4931136337498</v>
          </cell>
          <cell r="J170" t="str">
            <v>kg CO2 eq.</v>
          </cell>
          <cell r="K170">
            <v>-2675.9053456071406</v>
          </cell>
          <cell r="L170" t="str">
            <v>kg CO2 eq.</v>
          </cell>
          <cell r="M170">
            <v>4459.3984592408906</v>
          </cell>
          <cell r="N170" t="str">
            <v>kg CO2 eq.</v>
          </cell>
          <cell r="O170">
            <v>71554.727346664469</v>
          </cell>
          <cell r="P170" t="str">
            <v>MJ</v>
          </cell>
        </row>
        <row r="171">
          <cell r="C171" t="str">
            <v>E4.D.02a</v>
          </cell>
          <cell r="D171" t="str">
            <v>Wandverkleidung 1</v>
          </cell>
          <cell r="G171">
            <v>0</v>
          </cell>
          <cell r="H171" t="str">
            <v>€</v>
          </cell>
          <cell r="I171">
            <v>1783.4931136337498</v>
          </cell>
          <cell r="J171" t="str">
            <v>kg CO2 eq.</v>
          </cell>
          <cell r="K171">
            <v>-2675.9053456071406</v>
          </cell>
          <cell r="L171" t="str">
            <v>kg CO2 eq.</v>
          </cell>
          <cell r="M171">
            <v>4459.3984592408906</v>
          </cell>
          <cell r="N171" t="str">
            <v>kg CO2 eq.</v>
          </cell>
          <cell r="O171">
            <v>71554.727346664469</v>
          </cell>
          <cell r="P171" t="str">
            <v>MJ</v>
          </cell>
        </row>
        <row r="172">
          <cell r="C172" t="str">
            <v>E4.D.02b</v>
          </cell>
          <cell r="D172" t="str">
            <v>Wandverkleidung 2</v>
          </cell>
          <cell r="G172">
            <v>0</v>
          </cell>
          <cell r="H172" t="str">
            <v>€</v>
          </cell>
          <cell r="I172">
            <v>0</v>
          </cell>
          <cell r="J172" t="str">
            <v>kg CO2 eq.</v>
          </cell>
          <cell r="K172">
            <v>0</v>
          </cell>
          <cell r="L172" t="str">
            <v>kg CO2 eq.</v>
          </cell>
          <cell r="M172">
            <v>0</v>
          </cell>
          <cell r="N172" t="str">
            <v>kg CO2 eq.</v>
          </cell>
          <cell r="O172">
            <v>0</v>
          </cell>
          <cell r="P172" t="str">
            <v>MJ</v>
          </cell>
        </row>
        <row r="173">
          <cell r="C173" t="str">
            <v>E4.D.03</v>
          </cell>
          <cell r="D173" t="str">
            <v>Deckenverkleidungen</v>
          </cell>
          <cell r="G173">
            <v>0</v>
          </cell>
          <cell r="H173" t="str">
            <v>€</v>
          </cell>
          <cell r="I173">
            <v>100.0223523979638</v>
          </cell>
          <cell r="J173" t="str">
            <v>kg CO2 eq.</v>
          </cell>
          <cell r="K173">
            <v>-4094.852419144921</v>
          </cell>
          <cell r="L173" t="str">
            <v>kg CO2 eq.</v>
          </cell>
          <cell r="M173">
            <v>4194.8747715428844</v>
          </cell>
          <cell r="N173" t="str">
            <v>kg CO2 eq.</v>
          </cell>
          <cell r="O173">
            <v>50868.16331517994</v>
          </cell>
          <cell r="P173" t="str">
            <v>MJ</v>
          </cell>
        </row>
        <row r="174">
          <cell r="C174" t="str">
            <v>E4.D.03a</v>
          </cell>
          <cell r="D174" t="str">
            <v>Kellerdeckenverkleidungen</v>
          </cell>
          <cell r="G174">
            <v>0</v>
          </cell>
          <cell r="H174" t="str">
            <v>€</v>
          </cell>
          <cell r="I174">
            <v>0</v>
          </cell>
          <cell r="J174" t="str">
            <v>kg CO2 eq.</v>
          </cell>
          <cell r="K174">
            <v>0</v>
          </cell>
          <cell r="L174" t="str">
            <v>kg CO2 eq.</v>
          </cell>
          <cell r="M174">
            <v>0</v>
          </cell>
          <cell r="N174" t="str">
            <v>kg CO2 eq.</v>
          </cell>
          <cell r="O174">
            <v>0</v>
          </cell>
          <cell r="P174" t="str">
            <v>MJ</v>
          </cell>
        </row>
        <row r="175">
          <cell r="C175" t="str">
            <v>E4.D.03b</v>
          </cell>
          <cell r="D175" t="str">
            <v>Geschoßdeckenverkleidungen</v>
          </cell>
          <cell r="G175">
            <v>0</v>
          </cell>
          <cell r="H175" t="str">
            <v>€</v>
          </cell>
          <cell r="I175">
            <v>-661.99336548937367</v>
          </cell>
          <cell r="J175" t="str">
            <v>kg CO2 eq.</v>
          </cell>
          <cell r="K175">
            <v>-2951.5444257785243</v>
          </cell>
          <cell r="L175" t="str">
            <v>kg CO2 eq.</v>
          </cell>
          <cell r="M175">
            <v>2289.5510602891504</v>
          </cell>
          <cell r="N175" t="str">
            <v>kg CO2 eq.</v>
          </cell>
          <cell r="O175">
            <v>20295.672448529807</v>
          </cell>
          <cell r="P175" t="str">
            <v>MJ</v>
          </cell>
        </row>
        <row r="176">
          <cell r="C176" t="str">
            <v>E4.D.03c</v>
          </cell>
          <cell r="D176" t="str">
            <v>Dachverkleidungen</v>
          </cell>
          <cell r="G176">
            <v>0</v>
          </cell>
          <cell r="H176" t="str">
            <v>€</v>
          </cell>
          <cell r="I176">
            <v>762.01571788733747</v>
          </cell>
          <cell r="J176" t="str">
            <v>kg CO2 eq.</v>
          </cell>
          <cell r="K176">
            <v>-1143.3079933663967</v>
          </cell>
          <cell r="L176" t="str">
            <v>kg CO2 eq.</v>
          </cell>
          <cell r="M176">
            <v>1905.3237112537342</v>
          </cell>
          <cell r="N176" t="str">
            <v>kg CO2 eq.</v>
          </cell>
          <cell r="O176">
            <v>30572.490866650132</v>
          </cell>
          <cell r="P176" t="str">
            <v>MJ</v>
          </cell>
        </row>
        <row r="177">
          <cell r="C177" t="str">
            <v>E4.D.04</v>
          </cell>
          <cell r="D177" t="str">
            <v>Innentüren, Innenfenster</v>
          </cell>
          <cell r="G177">
            <v>0</v>
          </cell>
          <cell r="H177" t="str">
            <v>€</v>
          </cell>
          <cell r="J177" t="str">
            <v>kg CO2 eq.</v>
          </cell>
          <cell r="L177" t="str">
            <v>kg CO2 eq.</v>
          </cell>
          <cell r="N177" t="str">
            <v>kg CO2 eq.</v>
          </cell>
          <cell r="P177" t="str">
            <v>MJ</v>
          </cell>
        </row>
        <row r="178">
          <cell r="C178" t="str">
            <v>E4.D.05</v>
          </cell>
          <cell r="D178" t="str">
            <v>Innenwandelemente</v>
          </cell>
          <cell r="G178">
            <v>0</v>
          </cell>
          <cell r="H178" t="str">
            <v>€</v>
          </cell>
          <cell r="I178">
            <v>0</v>
          </cell>
          <cell r="J178" t="str">
            <v>kg CO2 eq.</v>
          </cell>
          <cell r="K178">
            <v>0</v>
          </cell>
          <cell r="L178" t="str">
            <v>kg CO2 eq.</v>
          </cell>
          <cell r="M178">
            <v>0</v>
          </cell>
          <cell r="N178" t="str">
            <v>kg CO2 eq.</v>
          </cell>
          <cell r="O178">
            <v>0</v>
          </cell>
          <cell r="P178" t="str">
            <v>MJ</v>
          </cell>
        </row>
        <row r="179">
          <cell r="C179" t="str">
            <v>E4.D.S</v>
          </cell>
          <cell r="D179" t="str">
            <v>Sonstiger Innenausbau</v>
          </cell>
          <cell r="G179">
            <v>0</v>
          </cell>
          <cell r="H179" t="str">
            <v>€</v>
          </cell>
        </row>
        <row r="180">
          <cell r="D180" t="str">
            <v>Transporte</v>
          </cell>
          <cell r="I180">
            <v>2720.466655366441</v>
          </cell>
          <cell r="J180" t="str">
            <v>kg CO2 eq.</v>
          </cell>
          <cell r="K180">
            <v>-1.1275098103110612</v>
          </cell>
          <cell r="L180" t="str">
            <v>kg CO2 eq.</v>
          </cell>
          <cell r="M180">
            <v>2721.5941651767521</v>
          </cell>
          <cell r="N180" t="str">
            <v>kg CO2 eq.</v>
          </cell>
          <cell r="O180">
            <v>44265.266018277587</v>
          </cell>
          <cell r="P180" t="str">
            <v>MJ</v>
          </cell>
        </row>
        <row r="181">
          <cell r="C181" t="str">
            <v>E5</v>
          </cell>
          <cell r="D181" t="str">
            <v>Einrichtung</v>
          </cell>
          <cell r="G181">
            <v>45545.7</v>
          </cell>
          <cell r="H181" t="str">
            <v>€</v>
          </cell>
        </row>
        <row r="182">
          <cell r="C182" t="str">
            <v>E5.A</v>
          </cell>
          <cell r="D182" t="str">
            <v>Allgemein</v>
          </cell>
          <cell r="G182">
            <v>0</v>
          </cell>
          <cell r="H182" t="str">
            <v>€</v>
          </cell>
        </row>
        <row r="183">
          <cell r="C183" t="str">
            <v>E5.B</v>
          </cell>
          <cell r="D183" t="str">
            <v>Betriebseinrichtungen</v>
          </cell>
          <cell r="G183">
            <v>0</v>
          </cell>
          <cell r="H183" t="str">
            <v>€</v>
          </cell>
        </row>
        <row r="184">
          <cell r="C184" t="str">
            <v>E5.C</v>
          </cell>
          <cell r="D184" t="str">
            <v>Ausstattungen, Kunstwerke</v>
          </cell>
          <cell r="G184">
            <v>0</v>
          </cell>
          <cell r="H184" t="str">
            <v>€</v>
          </cell>
        </row>
        <row r="185">
          <cell r="C185" t="str">
            <v>E5.S</v>
          </cell>
          <cell r="D185" t="str">
            <v>Sonstige Einrichtung</v>
          </cell>
          <cell r="G185">
            <v>45545.7</v>
          </cell>
          <cell r="H185" t="str">
            <v>€</v>
          </cell>
        </row>
        <row r="186">
          <cell r="C186" t="str">
            <v>E6</v>
          </cell>
          <cell r="D186" t="str">
            <v>Außenanlagen</v>
          </cell>
          <cell r="G186">
            <v>47413.41</v>
          </cell>
          <cell r="H186" t="str">
            <v>€</v>
          </cell>
        </row>
        <row r="187">
          <cell r="C187" t="str">
            <v>E6.A</v>
          </cell>
          <cell r="D187" t="str">
            <v>Allgemein</v>
          </cell>
          <cell r="G187">
            <v>0</v>
          </cell>
          <cell r="H187" t="str">
            <v>€</v>
          </cell>
        </row>
        <row r="188">
          <cell r="C188" t="str">
            <v>E6.B</v>
          </cell>
          <cell r="D188" t="str">
            <v>Geländeflächen</v>
          </cell>
          <cell r="G188">
            <v>0</v>
          </cell>
          <cell r="H188" t="str">
            <v>€</v>
          </cell>
        </row>
        <row r="189">
          <cell r="C189" t="str">
            <v>E6.C</v>
          </cell>
          <cell r="D189" t="str">
            <v>Befestigte Flächen</v>
          </cell>
          <cell r="G189">
            <v>0</v>
          </cell>
          <cell r="H189" t="str">
            <v>€</v>
          </cell>
        </row>
        <row r="190">
          <cell r="C190" t="str">
            <v>E6.D</v>
          </cell>
          <cell r="D190" t="str">
            <v xml:space="preserve">Bauteile Außenanlagen </v>
          </cell>
          <cell r="G190">
            <v>0</v>
          </cell>
          <cell r="H190" t="str">
            <v>€</v>
          </cell>
        </row>
        <row r="191">
          <cell r="C191" t="str">
            <v>E6.S</v>
          </cell>
          <cell r="D191" t="str">
            <v>Sonstige Außenanlagen</v>
          </cell>
          <cell r="G191">
            <v>47413.41</v>
          </cell>
          <cell r="H191" t="str">
            <v>€</v>
          </cell>
        </row>
        <row r="192">
          <cell r="C192" t="str">
            <v>E7</v>
          </cell>
          <cell r="D192" t="str">
            <v>Planungsleistungen</v>
          </cell>
          <cell r="G192">
            <v>138302</v>
          </cell>
          <cell r="H192" t="str">
            <v>€</v>
          </cell>
        </row>
        <row r="193">
          <cell r="C193" t="str">
            <v>E7.C</v>
          </cell>
          <cell r="D193" t="str">
            <v>Planungsleistung</v>
          </cell>
          <cell r="G193">
            <v>0</v>
          </cell>
          <cell r="H193" t="str">
            <v>€</v>
          </cell>
        </row>
        <row r="194">
          <cell r="C194" t="str">
            <v xml:space="preserve">E7.S </v>
          </cell>
          <cell r="D194" t="str">
            <v>Sonstige Planungsleistungen</v>
          </cell>
          <cell r="G194">
            <v>138302</v>
          </cell>
          <cell r="H194" t="str">
            <v>€</v>
          </cell>
        </row>
        <row r="195">
          <cell r="C195" t="str">
            <v>E8</v>
          </cell>
          <cell r="D195" t="str">
            <v>Nebenleistungen</v>
          </cell>
          <cell r="G195">
            <v>20657.560000000001</v>
          </cell>
          <cell r="H195" t="str">
            <v>€</v>
          </cell>
        </row>
        <row r="196">
          <cell r="C196" t="str">
            <v>E8.B</v>
          </cell>
          <cell r="D196" t="str">
            <v>Baunebenleistungen</v>
          </cell>
          <cell r="G196">
            <v>0</v>
          </cell>
          <cell r="H196" t="str">
            <v>€</v>
          </cell>
        </row>
        <row r="197">
          <cell r="C197" t="str">
            <v>E8.S</v>
          </cell>
          <cell r="D197" t="str">
            <v>Sonstige Nebenleistungen</v>
          </cell>
          <cell r="G197">
            <v>20657.560000000001</v>
          </cell>
          <cell r="H197" t="str">
            <v>€</v>
          </cell>
        </row>
        <row r="198">
          <cell r="C198" t="str">
            <v>E9</v>
          </cell>
          <cell r="D198" t="str">
            <v>Reserven</v>
          </cell>
          <cell r="G198">
            <v>134274.14000000001</v>
          </cell>
          <cell r="H198" t="str">
            <v>€</v>
          </cell>
        </row>
        <row r="199">
          <cell r="C199" t="str">
            <v>E9.A</v>
          </cell>
          <cell r="D199" t="str">
            <v>Allgemein</v>
          </cell>
          <cell r="G199">
            <v>0</v>
          </cell>
          <cell r="H199" t="str">
            <v>€</v>
          </cell>
        </row>
        <row r="200">
          <cell r="C200" t="str">
            <v>E9.B</v>
          </cell>
          <cell r="D200" t="str">
            <v>Reservemittel Budget</v>
          </cell>
          <cell r="G200">
            <v>0</v>
          </cell>
          <cell r="H200" t="str">
            <v>€</v>
          </cell>
        </row>
        <row r="201">
          <cell r="C201" t="str">
            <v>E9.S</v>
          </cell>
          <cell r="D201" t="str">
            <v>Sonstige Reservemittel</v>
          </cell>
          <cell r="G201">
            <v>134274.14000000001</v>
          </cell>
          <cell r="H201" t="str">
            <v>€</v>
          </cell>
        </row>
        <row r="202">
          <cell r="D202" t="str">
            <v>Kostenkennwerte</v>
          </cell>
        </row>
        <row r="203">
          <cell r="C203" t="str">
            <v>BWK</v>
          </cell>
          <cell r="D203" t="str">
            <v>Bauwerkskosten  [E2-E4]</v>
          </cell>
          <cell r="G203">
            <v>1069301.4099999999</v>
          </cell>
          <cell r="H203" t="str">
            <v>€</v>
          </cell>
          <cell r="I203">
            <v>172925.30072177874</v>
          </cell>
          <cell r="J203" t="str">
            <v>kg CO2 eq.</v>
          </cell>
          <cell r="K203">
            <v>-47737.480197541612</v>
          </cell>
          <cell r="L203" t="str">
            <v>kg CO2 eq.</v>
          </cell>
          <cell r="M203">
            <v>220662.78091932033</v>
          </cell>
          <cell r="N203" t="str">
            <v>kg CO2 eq.</v>
          </cell>
          <cell r="O203">
            <v>3764953.4934282531</v>
          </cell>
          <cell r="P203" t="str">
            <v>MJ</v>
          </cell>
        </row>
        <row r="204">
          <cell r="C204" t="str">
            <v>BK</v>
          </cell>
          <cell r="D204" t="str">
            <v>Baukosten  [E1-E6]</v>
          </cell>
          <cell r="G204">
            <v>1169115.2299999997</v>
          </cell>
          <cell r="H204" t="str">
            <v>€</v>
          </cell>
          <cell r="I204">
            <v>172925.30072177874</v>
          </cell>
          <cell r="J204" t="str">
            <v>kg CO2 eq.</v>
          </cell>
          <cell r="K204">
            <v>-47737.480197541612</v>
          </cell>
          <cell r="L204" t="str">
            <v>kg CO2 eq.</v>
          </cell>
          <cell r="M204">
            <v>220662.78091932033</v>
          </cell>
          <cell r="N204" t="str">
            <v>kg CO2 eq.</v>
          </cell>
          <cell r="O204">
            <v>3764953.4934282531</v>
          </cell>
          <cell r="P204" t="str">
            <v>MJ</v>
          </cell>
        </row>
        <row r="205">
          <cell r="C205" t="str">
            <v>EK</v>
          </cell>
          <cell r="D205" t="str">
            <v>Errichtungskosten [E1-E9]</v>
          </cell>
          <cell r="G205">
            <v>1462348.9299999997</v>
          </cell>
          <cell r="H205" t="str">
            <v>€</v>
          </cell>
          <cell r="I205">
            <v>172925.30072177874</v>
          </cell>
          <cell r="J205" t="str">
            <v>kg CO2 eq.</v>
          </cell>
          <cell r="K205">
            <v>-47737.480197541612</v>
          </cell>
          <cell r="L205" t="str">
            <v>kg CO2 eq.</v>
          </cell>
          <cell r="M205">
            <v>220662.78091932033</v>
          </cell>
          <cell r="N205" t="str">
            <v>kg CO2 eq.</v>
          </cell>
          <cell r="O205">
            <v>3764953.4934282531</v>
          </cell>
          <cell r="P205" t="str">
            <v>MJ</v>
          </cell>
        </row>
        <row r="206">
          <cell r="C206" t="str">
            <v>GK</v>
          </cell>
          <cell r="D206" t="str">
            <v>Gesamtkosten Errichtung [E0-E9]</v>
          </cell>
          <cell r="G206">
            <v>1853848.9299999997</v>
          </cell>
          <cell r="H206" t="str">
            <v>€</v>
          </cell>
          <cell r="I206">
            <v>172925.30072177874</v>
          </cell>
          <cell r="J206" t="str">
            <v>kg CO2 eq.</v>
          </cell>
          <cell r="K206">
            <v>-47737.480197541612</v>
          </cell>
          <cell r="L206" t="str">
            <v>kg CO2 eq.</v>
          </cell>
          <cell r="M206">
            <v>220662.78091932033</v>
          </cell>
          <cell r="N206" t="str">
            <v>kg CO2 eq.</v>
          </cell>
          <cell r="O206">
            <v>3764953.4934282531</v>
          </cell>
          <cell r="P206" t="str">
            <v>MJ</v>
          </cell>
        </row>
      </sheetData>
      <sheetData sheetId="7">
        <row r="3">
          <cell r="C3" t="str">
            <v>F</v>
          </cell>
          <cell r="D3" t="str">
            <v>Objekt-Folgekosten</v>
          </cell>
        </row>
        <row r="4">
          <cell r="C4" t="str">
            <v>F1</v>
          </cell>
          <cell r="D4" t="str">
            <v>Verwaltung</v>
          </cell>
          <cell r="G4">
            <v>1619.6241599999998</v>
          </cell>
          <cell r="H4" t="str">
            <v>€/Jahr</v>
          </cell>
          <cell r="M4">
            <v>70264.59711880442</v>
          </cell>
          <cell r="N4" t="str">
            <v>€</v>
          </cell>
        </row>
        <row r="5">
          <cell r="C5" t="str">
            <v>F1.1</v>
          </cell>
          <cell r="D5" t="str">
            <v>Verwaltung und Management</v>
          </cell>
          <cell r="G5">
            <v>1619.6241599999998</v>
          </cell>
          <cell r="H5" t="str">
            <v>€/Jahr</v>
          </cell>
          <cell r="I5" t="str">
            <v>1</v>
          </cell>
          <cell r="M5">
            <v>70264.59711880442</v>
          </cell>
          <cell r="N5" t="str">
            <v>€</v>
          </cell>
          <cell r="O5">
            <v>10.628529545640717</v>
          </cell>
          <cell r="P5" t="str">
            <v>kg CO2 eq./Jahr</v>
          </cell>
          <cell r="S5">
            <v>10.628529545640717</v>
          </cell>
          <cell r="T5" t="str">
            <v>kg CO2 eq./Jahr</v>
          </cell>
          <cell r="U5">
            <v>187.18186612505386</v>
          </cell>
          <cell r="V5" t="str">
            <v>MJ/Jahr</v>
          </cell>
          <cell r="Z5" t="str">
            <v>kg CO2 eq.</v>
          </cell>
          <cell r="AC5">
            <v>382.62706364306581</v>
          </cell>
          <cell r="AD5" t="str">
            <v>kg CO2 eq.</v>
          </cell>
          <cell r="AE5">
            <v>6738.5471805019388</v>
          </cell>
          <cell r="AF5" t="str">
            <v>MJ</v>
          </cell>
        </row>
        <row r="6">
          <cell r="C6" t="str">
            <v>F1.2</v>
          </cell>
          <cell r="D6" t="str">
            <v>Gebühren, Steuern und Abgaben</v>
          </cell>
          <cell r="G6">
            <v>0</v>
          </cell>
          <cell r="H6" t="str">
            <v>€/Jahr</v>
          </cell>
          <cell r="I6" t="str">
            <v>1</v>
          </cell>
          <cell r="M6">
            <v>0</v>
          </cell>
          <cell r="N6" t="str">
            <v>€</v>
          </cell>
        </row>
        <row r="7">
          <cell r="C7" t="str">
            <v>F1.3</v>
          </cell>
          <cell r="D7" t="str">
            <v>Flächenmanagement</v>
          </cell>
          <cell r="G7">
            <v>0</v>
          </cell>
          <cell r="H7" t="str">
            <v>€/Jahr</v>
          </cell>
          <cell r="I7" t="str">
            <v>1</v>
          </cell>
          <cell r="M7">
            <v>0</v>
          </cell>
          <cell r="N7" t="str">
            <v>€</v>
          </cell>
          <cell r="O7">
            <v>0</v>
          </cell>
          <cell r="P7" t="str">
            <v>kg CO2 eq./Jahr</v>
          </cell>
          <cell r="S7">
            <v>0</v>
          </cell>
          <cell r="T7" t="str">
            <v>kg CO2 eq./Jahr</v>
          </cell>
          <cell r="U7">
            <v>0</v>
          </cell>
          <cell r="V7" t="str">
            <v>MJ/Jahr</v>
          </cell>
          <cell r="Z7" t="str">
            <v>kg CO2 eq.</v>
          </cell>
          <cell r="AC7">
            <v>0</v>
          </cell>
          <cell r="AD7" t="str">
            <v>kg CO2 eq.</v>
          </cell>
          <cell r="AE7">
            <v>0</v>
          </cell>
          <cell r="AF7" t="str">
            <v>MJ</v>
          </cell>
        </row>
        <row r="8">
          <cell r="C8" t="str">
            <v>F1.4</v>
          </cell>
          <cell r="D8" t="str">
            <v>Sonstiges</v>
          </cell>
          <cell r="G8">
            <v>0</v>
          </cell>
          <cell r="H8" t="str">
            <v>€/Jahr</v>
          </cell>
          <cell r="I8" t="str">
            <v>1</v>
          </cell>
          <cell r="M8">
            <v>0</v>
          </cell>
          <cell r="N8" t="str">
            <v>€</v>
          </cell>
        </row>
        <row r="9">
          <cell r="C9" t="str">
            <v>F2</v>
          </cell>
          <cell r="D9" t="str">
            <v>Technischer Gebäudebetrieb</v>
          </cell>
          <cell r="G9">
            <v>7694.1727300000002</v>
          </cell>
          <cell r="H9" t="str">
            <v>€/Jahr</v>
          </cell>
          <cell r="M9">
            <v>303746.68698055256</v>
          </cell>
          <cell r="N9" t="str">
            <v>€</v>
          </cell>
        </row>
        <row r="10">
          <cell r="C10" t="str">
            <v>F2.1</v>
          </cell>
          <cell r="D10" t="str">
            <v>Technisches Gebäudemanagement</v>
          </cell>
          <cell r="G10">
            <v>1051.704</v>
          </cell>
          <cell r="H10" t="str">
            <v>€/Jahr</v>
          </cell>
          <cell r="I10">
            <v>1</v>
          </cell>
          <cell r="M10">
            <v>41518.642340668513</v>
          </cell>
          <cell r="N10" t="str">
            <v>€</v>
          </cell>
          <cell r="O10">
            <v>6.9016425621043629</v>
          </cell>
          <cell r="P10" t="str">
            <v>kg CO2 eq./Jahr</v>
          </cell>
          <cell r="S10">
            <v>6.9016425621043629</v>
          </cell>
          <cell r="T10" t="str">
            <v>kg CO2 eq./Jahr</v>
          </cell>
          <cell r="U10">
            <v>121.54666631497005</v>
          </cell>
          <cell r="V10" t="str">
            <v>MJ/Jahr</v>
          </cell>
          <cell r="Z10" t="str">
            <v>kg CO2 eq.</v>
          </cell>
          <cell r="AC10">
            <v>248.45913223575707</v>
          </cell>
          <cell r="AD10" t="str">
            <v>kg CO2 eq.</v>
          </cell>
          <cell r="AE10">
            <v>4375.6799873389218</v>
          </cell>
          <cell r="AF10" t="str">
            <v>MJ</v>
          </cell>
        </row>
        <row r="11">
          <cell r="C11" t="str">
            <v>F2.2</v>
          </cell>
          <cell r="D11" t="str">
            <v>Inspektionen</v>
          </cell>
          <cell r="G11">
            <v>0</v>
          </cell>
          <cell r="H11" t="str">
            <v>€/Jahr</v>
          </cell>
          <cell r="I11" t="str">
            <v>1</v>
          </cell>
          <cell r="M11">
            <v>0</v>
          </cell>
          <cell r="N11" t="str">
            <v>€</v>
          </cell>
          <cell r="O11">
            <v>0</v>
          </cell>
          <cell r="P11" t="str">
            <v>kg CO2 eq./Jahr</v>
          </cell>
          <cell r="S11">
            <v>0</v>
          </cell>
          <cell r="T11" t="str">
            <v>kg CO2 eq./Jahr</v>
          </cell>
          <cell r="U11">
            <v>0</v>
          </cell>
          <cell r="V11" t="str">
            <v>MJ/Jahr</v>
          </cell>
          <cell r="Z11" t="str">
            <v>kg CO2 eq.</v>
          </cell>
          <cell r="AC11">
            <v>0</v>
          </cell>
          <cell r="AD11" t="str">
            <v>kg CO2 eq.</v>
          </cell>
          <cell r="AE11">
            <v>0</v>
          </cell>
          <cell r="AF11" t="str">
            <v>MJ</v>
          </cell>
        </row>
        <row r="12">
          <cell r="C12" t="str">
            <v>F2.3</v>
          </cell>
          <cell r="D12" t="str">
            <v>Wartung</v>
          </cell>
          <cell r="G12">
            <v>1537.22208</v>
          </cell>
          <cell r="H12" t="str">
            <v>€/Jahr</v>
          </cell>
          <cell r="M12">
            <v>60685.681273151502</v>
          </cell>
          <cell r="N12" t="str">
            <v>€</v>
          </cell>
          <cell r="O12">
            <v>42.835333286901523</v>
          </cell>
          <cell r="P12" t="str">
            <v>kg CO2 eq./Jahr</v>
          </cell>
          <cell r="S12">
            <v>42.835333286901523</v>
          </cell>
          <cell r="T12" t="str">
            <v>kg CO2 eq./Jahr</v>
          </cell>
          <cell r="U12">
            <v>675.37770373954777</v>
          </cell>
          <cell r="V12" t="str">
            <v>MJ/Jahr</v>
          </cell>
          <cell r="Z12" t="str">
            <v>kg CO2 eq.</v>
          </cell>
          <cell r="AC12">
            <v>1542.0719983284548</v>
          </cell>
          <cell r="AD12" t="str">
            <v>kg CO2 eq.</v>
          </cell>
          <cell r="AE12">
            <v>24313.597334623719</v>
          </cell>
          <cell r="AF12" t="str">
            <v>MJ</v>
          </cell>
        </row>
        <row r="13">
          <cell r="C13" t="str">
            <v>F2.3-3.B</v>
          </cell>
          <cell r="D13" t="str">
            <v>Förderanlagen</v>
          </cell>
          <cell r="G13">
            <v>0</v>
          </cell>
          <cell r="H13" t="str">
            <v>€/Jahr</v>
          </cell>
          <cell r="I13" t="str">
            <v>1</v>
          </cell>
          <cell r="M13">
            <v>0</v>
          </cell>
          <cell r="N13" t="str">
            <v>€</v>
          </cell>
        </row>
        <row r="14">
          <cell r="C14" t="str">
            <v>F2.3-3.C</v>
          </cell>
          <cell r="D14" t="str">
            <v>Wärmeversorgungsanlagen</v>
          </cell>
          <cell r="G14">
            <v>253.82990000000001</v>
          </cell>
          <cell r="H14" t="str">
            <v>€/Jahr</v>
          </cell>
          <cell r="I14" t="str">
            <v>1</v>
          </cell>
          <cell r="M14">
            <v>10020.569317476833</v>
          </cell>
          <cell r="N14" t="str">
            <v>€</v>
          </cell>
        </row>
        <row r="15">
          <cell r="C15" t="str">
            <v>F2.3-3.D</v>
          </cell>
          <cell r="D15" t="str">
            <v>Klima-/Lüftungsanlagen</v>
          </cell>
          <cell r="G15">
            <v>150.0641</v>
          </cell>
          <cell r="H15" t="str">
            <v>€/Jahr</v>
          </cell>
          <cell r="I15" t="str">
            <v>1</v>
          </cell>
          <cell r="M15">
            <v>5924.1551768124054</v>
          </cell>
          <cell r="N15" t="str">
            <v>€</v>
          </cell>
        </row>
        <row r="16">
          <cell r="C16" t="str">
            <v>F2.3-3.E</v>
          </cell>
          <cell r="D16" t="str">
            <v>Sanitär-/Gasanlagen</v>
          </cell>
          <cell r="G16">
            <v>83.579580000000007</v>
          </cell>
          <cell r="H16" t="str">
            <v>€/Jahr</v>
          </cell>
          <cell r="I16" t="str">
            <v>1</v>
          </cell>
          <cell r="M16">
            <v>3299.5126851312648</v>
          </cell>
          <cell r="N16" t="str">
            <v>€</v>
          </cell>
        </row>
        <row r="17">
          <cell r="C17" t="str">
            <v>F2.3-3.F</v>
          </cell>
          <cell r="D17" t="str">
            <v>Starkstromanlagen</v>
          </cell>
          <cell r="G17">
            <v>682.7287</v>
          </cell>
          <cell r="H17" t="str">
            <v>€/Jahr</v>
          </cell>
          <cell r="I17" t="str">
            <v>1</v>
          </cell>
          <cell r="M17">
            <v>26952.420748622782</v>
          </cell>
          <cell r="N17" t="str">
            <v>€</v>
          </cell>
        </row>
        <row r="18">
          <cell r="C18" t="str">
            <v>F2.3-3.G</v>
          </cell>
          <cell r="D18" t="str">
            <v>Fernmelde- und Informationstechnische Anlagen</v>
          </cell>
          <cell r="G18">
            <v>241.78259999999997</v>
          </cell>
          <cell r="H18" t="str">
            <v>€/Jahr</v>
          </cell>
          <cell r="I18" t="str">
            <v>1</v>
          </cell>
          <cell r="M18">
            <v>9544.9720582948412</v>
          </cell>
          <cell r="N18" t="str">
            <v>€</v>
          </cell>
        </row>
        <row r="19">
          <cell r="C19" t="str">
            <v>F2.3-3.H</v>
          </cell>
          <cell r="D19" t="str">
            <v>Gebäudeautomation</v>
          </cell>
          <cell r="G19">
            <v>125.23719999999999</v>
          </cell>
          <cell r="H19" t="str">
            <v>€/Jahr</v>
          </cell>
          <cell r="I19" t="str">
            <v>1</v>
          </cell>
          <cell r="M19">
            <v>4944.0512868133719</v>
          </cell>
          <cell r="N19" t="str">
            <v>€</v>
          </cell>
        </row>
        <row r="20">
          <cell r="C20" t="str">
            <v>F2.3-3.I</v>
          </cell>
          <cell r="D20" t="str">
            <v>Spezielle Anlagen</v>
          </cell>
          <cell r="G20">
            <v>0</v>
          </cell>
          <cell r="H20" t="str">
            <v>€/Jahr</v>
          </cell>
          <cell r="I20" t="str">
            <v>1</v>
          </cell>
          <cell r="M20">
            <v>0</v>
          </cell>
          <cell r="N20" t="str">
            <v>€</v>
          </cell>
        </row>
        <row r="21">
          <cell r="C21" t="str">
            <v>F2.3-4.B</v>
          </cell>
          <cell r="D21" t="str">
            <v>Dachverkleidung</v>
          </cell>
          <cell r="G21">
            <v>0</v>
          </cell>
          <cell r="H21" t="str">
            <v>€/Jahr</v>
          </cell>
          <cell r="I21" t="str">
            <v>1</v>
          </cell>
          <cell r="M21">
            <v>0</v>
          </cell>
          <cell r="N21" t="str">
            <v>€</v>
          </cell>
        </row>
        <row r="22">
          <cell r="C22" t="str">
            <v>F2.3-4.C</v>
          </cell>
          <cell r="D22" t="str">
            <v>Fassadenhülle</v>
          </cell>
          <cell r="G22">
            <v>0</v>
          </cell>
          <cell r="H22" t="str">
            <v>€/Jahr</v>
          </cell>
          <cell r="I22" t="str">
            <v>1</v>
          </cell>
          <cell r="M22">
            <v>0</v>
          </cell>
          <cell r="N22" t="str">
            <v>€</v>
          </cell>
        </row>
        <row r="23">
          <cell r="C23" t="str">
            <v>F2.3-4.D</v>
          </cell>
          <cell r="D23" t="str">
            <v>Innenausbau</v>
          </cell>
          <cell r="G23">
            <v>0</v>
          </cell>
          <cell r="H23" t="str">
            <v>€/Jahr</v>
          </cell>
          <cell r="I23" t="str">
            <v>1</v>
          </cell>
          <cell r="M23">
            <v>0</v>
          </cell>
          <cell r="N23" t="str">
            <v>€</v>
          </cell>
        </row>
        <row r="24">
          <cell r="C24" t="str">
            <v>F2.3-5.B</v>
          </cell>
          <cell r="D24" t="str">
            <v>Betriebseinrichtungen</v>
          </cell>
          <cell r="G24">
            <v>0</v>
          </cell>
          <cell r="H24" t="str">
            <v>€/Jahr</v>
          </cell>
          <cell r="I24" t="str">
            <v>1</v>
          </cell>
          <cell r="M24">
            <v>0</v>
          </cell>
          <cell r="N24" t="str">
            <v>€</v>
          </cell>
        </row>
        <row r="25">
          <cell r="C25" t="str">
            <v>F2.3-5.C</v>
          </cell>
          <cell r="D25" t="str">
            <v>Ausstattungen, Kunstwerke</v>
          </cell>
          <cell r="G25">
            <v>0</v>
          </cell>
          <cell r="H25" t="str">
            <v>€/Jahr</v>
          </cell>
          <cell r="I25" t="str">
            <v>1</v>
          </cell>
          <cell r="M25">
            <v>0</v>
          </cell>
          <cell r="N25" t="str">
            <v>€</v>
          </cell>
        </row>
        <row r="26">
          <cell r="C26" t="str">
            <v>F2.3-6.C</v>
          </cell>
          <cell r="D26" t="str">
            <v>Befestigte Flächen</v>
          </cell>
          <cell r="G26">
            <v>0</v>
          </cell>
          <cell r="H26" t="str">
            <v>€/Jahr</v>
          </cell>
          <cell r="I26" t="str">
            <v>1</v>
          </cell>
          <cell r="M26">
            <v>0</v>
          </cell>
          <cell r="N26" t="str">
            <v>€</v>
          </cell>
        </row>
        <row r="27">
          <cell r="C27" t="str">
            <v>F2.3-6.D</v>
          </cell>
          <cell r="D27" t="str">
            <v>Bauteile Außenanlagen</v>
          </cell>
          <cell r="G27">
            <v>0</v>
          </cell>
          <cell r="H27" t="str">
            <v>€/Jahr</v>
          </cell>
          <cell r="I27" t="str">
            <v>1</v>
          </cell>
          <cell r="M27">
            <v>0</v>
          </cell>
          <cell r="N27" t="str">
            <v>€</v>
          </cell>
        </row>
        <row r="28">
          <cell r="C28" t="str">
            <v>F2.4</v>
          </cell>
          <cell r="D28" t="str">
            <v>Kleine Instandsetzung, Reparaturen</v>
          </cell>
          <cell r="G28">
            <v>5105.24665</v>
          </cell>
          <cell r="H28" t="str">
            <v>€/Jahr</v>
          </cell>
          <cell r="M28">
            <v>201542.36336673255</v>
          </cell>
          <cell r="N28" t="str">
            <v>€</v>
          </cell>
          <cell r="O28">
            <v>142.25982348925632</v>
          </cell>
          <cell r="P28" t="str">
            <v>kg CO2 eq./Jahr</v>
          </cell>
          <cell r="S28">
            <v>142.25982348925632</v>
          </cell>
          <cell r="T28" t="str">
            <v>kg CO2 eq./Jahr</v>
          </cell>
          <cell r="U28">
            <v>2242.9874019901004</v>
          </cell>
          <cell r="V28" t="str">
            <v>MJ/Jahr</v>
          </cell>
          <cell r="Z28" t="str">
            <v>kg CO2 eq.</v>
          </cell>
          <cell r="AC28">
            <v>5121.3536456132279</v>
          </cell>
          <cell r="AD28" t="str">
            <v>kg CO2 eq.</v>
          </cell>
          <cell r="AE28">
            <v>80747.546471643611</v>
          </cell>
          <cell r="AF28" t="str">
            <v>MJ</v>
          </cell>
        </row>
        <row r="29">
          <cell r="C29" t="str">
            <v>F2.4-3.B</v>
          </cell>
          <cell r="D29" t="str">
            <v>Förderanlagen</v>
          </cell>
          <cell r="G29">
            <v>0</v>
          </cell>
          <cell r="H29" t="str">
            <v>€/Jahr</v>
          </cell>
          <cell r="I29" t="str">
            <v>1</v>
          </cell>
          <cell r="M29">
            <v>0</v>
          </cell>
          <cell r="N29" t="str">
            <v>€</v>
          </cell>
        </row>
        <row r="30">
          <cell r="C30" t="str">
            <v>F2.4-3.C</v>
          </cell>
          <cell r="D30" t="str">
            <v>Wärmeversorgungsanlagen</v>
          </cell>
          <cell r="G30">
            <v>253.82990000000001</v>
          </cell>
          <cell r="H30" t="str">
            <v>€/Jahr</v>
          </cell>
          <cell r="I30" t="str">
            <v>1</v>
          </cell>
          <cell r="M30">
            <v>10020.569317476833</v>
          </cell>
          <cell r="N30" t="str">
            <v>€</v>
          </cell>
        </row>
        <row r="31">
          <cell r="C31" t="str">
            <v>F2.4-3.D</v>
          </cell>
          <cell r="D31" t="str">
            <v>Klima-/Lüftungsanlagen</v>
          </cell>
          <cell r="G31">
            <v>150.0641</v>
          </cell>
          <cell r="H31" t="str">
            <v>€/Jahr</v>
          </cell>
          <cell r="I31" t="str">
            <v>1</v>
          </cell>
          <cell r="M31">
            <v>5924.1551768124054</v>
          </cell>
          <cell r="N31" t="str">
            <v>€</v>
          </cell>
        </row>
        <row r="32">
          <cell r="C32" t="str">
            <v>F2.4-3.E</v>
          </cell>
          <cell r="D32" t="str">
            <v>Sanitär-/Gasanlagen</v>
          </cell>
          <cell r="G32">
            <v>208.94895</v>
          </cell>
          <cell r="H32" t="str">
            <v>€/Jahr</v>
          </cell>
          <cell r="I32" t="str">
            <v>1</v>
          </cell>
          <cell r="M32">
            <v>8248.7817128281604</v>
          </cell>
          <cell r="N32" t="str">
            <v>€</v>
          </cell>
        </row>
        <row r="33">
          <cell r="C33" t="str">
            <v>F2.4-3.F</v>
          </cell>
          <cell r="D33" t="str">
            <v>Starkstromanlagen</v>
          </cell>
          <cell r="G33">
            <v>1024.0930499999999</v>
          </cell>
          <cell r="H33" t="str">
            <v>€/Jahr</v>
          </cell>
          <cell r="I33" t="str">
            <v>1</v>
          </cell>
          <cell r="M33">
            <v>40428.631122934166</v>
          </cell>
          <cell r="N33" t="str">
            <v>€</v>
          </cell>
        </row>
        <row r="34">
          <cell r="C34" t="str">
            <v>F2.4-3.G</v>
          </cell>
          <cell r="D34" t="str">
            <v>Fernmelde- und Informationstechnische Anlagen</v>
          </cell>
          <cell r="G34">
            <v>362.6739</v>
          </cell>
          <cell r="H34" t="str">
            <v>€/Jahr</v>
          </cell>
          <cell r="I34" t="str">
            <v>1</v>
          </cell>
          <cell r="M34">
            <v>14317.458087442265</v>
          </cell>
          <cell r="N34" t="str">
            <v>€</v>
          </cell>
        </row>
        <row r="35">
          <cell r="C35" t="str">
            <v>F2.4-3.H</v>
          </cell>
          <cell r="D35" t="str">
            <v>Gebäudeautomation</v>
          </cell>
          <cell r="G35">
            <v>187.85579999999999</v>
          </cell>
          <cell r="H35" t="str">
            <v>€/Jahr</v>
          </cell>
          <cell r="I35" t="str">
            <v>1</v>
          </cell>
          <cell r="M35">
            <v>7416.0769302200579</v>
          </cell>
          <cell r="N35" t="str">
            <v>€</v>
          </cell>
        </row>
        <row r="36">
          <cell r="C36" t="str">
            <v>F2.4-3.I</v>
          </cell>
          <cell r="D36" t="str">
            <v>Spezielle Anlagen</v>
          </cell>
          <cell r="G36">
            <v>0</v>
          </cell>
          <cell r="H36" t="str">
            <v>€/Jahr</v>
          </cell>
          <cell r="I36" t="str">
            <v>1</v>
          </cell>
          <cell r="M36">
            <v>0</v>
          </cell>
          <cell r="N36" t="str">
            <v>€</v>
          </cell>
        </row>
        <row r="37">
          <cell r="C37" t="str">
            <v>F2.4-4.B</v>
          </cell>
          <cell r="D37" t="str">
            <v>Dachverkleidung</v>
          </cell>
          <cell r="G37">
            <v>2504.22705</v>
          </cell>
          <cell r="H37" t="str">
            <v>€/Jahr</v>
          </cell>
          <cell r="I37" t="str">
            <v>1</v>
          </cell>
          <cell r="M37">
            <v>98860.617843782486</v>
          </cell>
          <cell r="N37" t="str">
            <v>€</v>
          </cell>
        </row>
        <row r="38">
          <cell r="C38" t="str">
            <v>F2.4-4.C</v>
          </cell>
          <cell r="D38" t="str">
            <v>Fassadenhülle</v>
          </cell>
          <cell r="G38">
            <v>0</v>
          </cell>
          <cell r="H38" t="str">
            <v>€/Jahr</v>
          </cell>
          <cell r="I38" t="str">
            <v>1</v>
          </cell>
          <cell r="M38">
            <v>0</v>
          </cell>
          <cell r="N38" t="str">
            <v>€</v>
          </cell>
        </row>
        <row r="39">
          <cell r="C39" t="str">
            <v>F2.4-4.D</v>
          </cell>
          <cell r="D39" t="str">
            <v>Innenausbau</v>
          </cell>
          <cell r="G39">
            <v>413.5539</v>
          </cell>
          <cell r="H39" t="str">
            <v>€/Jahr</v>
          </cell>
          <cell r="I39" t="str">
            <v>1</v>
          </cell>
          <cell r="M39">
            <v>16326.073175236183</v>
          </cell>
          <cell r="N39" t="str">
            <v>€</v>
          </cell>
        </row>
        <row r="40">
          <cell r="C40" t="str">
            <v>F2.4-5.B</v>
          </cell>
          <cell r="D40" t="str">
            <v>Betriebseinrichtungen</v>
          </cell>
          <cell r="G40">
            <v>0</v>
          </cell>
          <cell r="H40" t="str">
            <v>€/Jahr</v>
          </cell>
          <cell r="I40" t="str">
            <v>1</v>
          </cell>
          <cell r="M40">
            <v>0</v>
          </cell>
          <cell r="N40" t="str">
            <v>€</v>
          </cell>
        </row>
        <row r="41">
          <cell r="C41" t="str">
            <v>F2.4-5.C</v>
          </cell>
          <cell r="D41" t="str">
            <v>Ausstattungen, Kunstwerke</v>
          </cell>
          <cell r="G41">
            <v>0</v>
          </cell>
          <cell r="H41" t="str">
            <v>€/Jahr</v>
          </cell>
          <cell r="I41" t="str">
            <v>1</v>
          </cell>
          <cell r="M41">
            <v>0</v>
          </cell>
          <cell r="N41" t="str">
            <v>€</v>
          </cell>
        </row>
        <row r="42">
          <cell r="C42" t="str">
            <v>F2.4-6.C</v>
          </cell>
          <cell r="D42" t="str">
            <v>Befestigte Flächen</v>
          </cell>
          <cell r="G42">
            <v>0</v>
          </cell>
          <cell r="H42" t="str">
            <v>€/Jahr</v>
          </cell>
          <cell r="I42" t="str">
            <v>1</v>
          </cell>
          <cell r="M42">
            <v>0</v>
          </cell>
          <cell r="N42" t="str">
            <v>€</v>
          </cell>
        </row>
        <row r="43">
          <cell r="C43" t="str">
            <v>F2.4-6.D</v>
          </cell>
          <cell r="D43" t="str">
            <v>Bauteile Außenanlagen</v>
          </cell>
          <cell r="G43">
            <v>0</v>
          </cell>
          <cell r="H43" t="str">
            <v>€/Jahr</v>
          </cell>
          <cell r="I43" t="str">
            <v>1</v>
          </cell>
          <cell r="M43">
            <v>0</v>
          </cell>
          <cell r="N43" t="str">
            <v>€</v>
          </cell>
        </row>
        <row r="44">
          <cell r="C44" t="str">
            <v>F2.5</v>
          </cell>
          <cell r="D44" t="str">
            <v>Sonstiges</v>
          </cell>
          <cell r="G44">
            <v>0</v>
          </cell>
          <cell r="H44" t="str">
            <v>€/Jahr</v>
          </cell>
          <cell r="I44" t="str">
            <v>1</v>
          </cell>
          <cell r="M44">
            <v>0</v>
          </cell>
          <cell r="N44" t="str">
            <v>€</v>
          </cell>
        </row>
        <row r="45">
          <cell r="C45" t="str">
            <v>F3</v>
          </cell>
          <cell r="D45" t="str">
            <v>Ver- und Entsorgung</v>
          </cell>
          <cell r="G45">
            <v>2914.3336730314281</v>
          </cell>
          <cell r="H45" t="str">
            <v>€/Jahr</v>
          </cell>
          <cell r="M45">
            <v>153819.49802556433</v>
          </cell>
          <cell r="N45" t="str">
            <v>€</v>
          </cell>
          <cell r="O45">
            <v>2912.0169181714286</v>
          </cell>
          <cell r="P45" t="str">
            <v>kg CO2 eq./Jahr</v>
          </cell>
          <cell r="S45">
            <v>2912.0169181714286</v>
          </cell>
          <cell r="T45" t="str">
            <v>kg CO2 eq./Jahr</v>
          </cell>
          <cell r="U45">
            <v>39444.592800685714</v>
          </cell>
          <cell r="V45" t="str">
            <v>MJ/Jahr</v>
          </cell>
          <cell r="Z45" t="str">
            <v>kg CO2 eq.</v>
          </cell>
          <cell r="AD45" t="str">
            <v>kg CO2 eq.</v>
          </cell>
          <cell r="AF45" t="str">
            <v>MJ</v>
          </cell>
        </row>
        <row r="46">
          <cell r="C46" t="str">
            <v>F3.1</v>
          </cell>
          <cell r="D46" t="str">
            <v>Energie (Wärme, Kälte, Strom)</v>
          </cell>
          <cell r="G46">
            <v>1292.5672919314284</v>
          </cell>
          <cell r="H46" t="str">
            <v>€/Jahr</v>
          </cell>
          <cell r="M46">
            <v>83461.964343915053</v>
          </cell>
          <cell r="N46" t="str">
            <v>€</v>
          </cell>
          <cell r="O46">
            <v>2912.0169181714286</v>
          </cell>
          <cell r="P46" t="str">
            <v>kg CO2 eq./Jahr</v>
          </cell>
          <cell r="S46">
            <v>2912.0169181714286</v>
          </cell>
          <cell r="T46" t="str">
            <v>kg CO2 eq./Jahr</v>
          </cell>
          <cell r="U46">
            <v>39444.592800685714</v>
          </cell>
          <cell r="V46" t="str">
            <v>MJ/Jahr</v>
          </cell>
          <cell r="Z46" t="str">
            <v>kg CO2 eq.</v>
          </cell>
          <cell r="AD46" t="str">
            <v>kg CO2 eq.</v>
          </cell>
          <cell r="AF46" t="str">
            <v>MJ</v>
          </cell>
        </row>
        <row r="47">
          <cell r="C47" t="str">
            <v>F3.1.a</v>
          </cell>
          <cell r="D47" t="str">
            <v>Strom Verbraucher</v>
          </cell>
          <cell r="G47">
            <v>762.12035999999989</v>
          </cell>
          <cell r="H47" t="str">
            <v>€/Jahr</v>
          </cell>
          <cell r="I47" t="str">
            <v>1</v>
          </cell>
          <cell r="M47">
            <v>49210.638942476166</v>
          </cell>
          <cell r="N47" t="str">
            <v>€</v>
          </cell>
          <cell r="O47">
            <v>1676.664792</v>
          </cell>
          <cell r="P47" t="str">
            <v>kg CO2 eq./Jahr</v>
          </cell>
          <cell r="S47">
            <v>1676.664792</v>
          </cell>
          <cell r="T47" t="str">
            <v>kg CO2 eq./Jahr</v>
          </cell>
          <cell r="U47">
            <v>22711.186728000001</v>
          </cell>
          <cell r="V47" t="str">
            <v>MJ/Jahr</v>
          </cell>
          <cell r="Z47" t="str">
            <v>kg CO2 eq.</v>
          </cell>
          <cell r="AC47">
            <v>60359.932512000007</v>
          </cell>
          <cell r="AD47" t="str">
            <v>kg CO2 eq.</v>
          </cell>
          <cell r="AE47">
            <v>817602.72220800002</v>
          </cell>
          <cell r="AF47" t="str">
            <v>MJ</v>
          </cell>
        </row>
        <row r="48">
          <cell r="C48" t="str">
            <v>F3.1.a-1</v>
          </cell>
          <cell r="D48" t="str">
            <v>Strom IT+Kommunikation</v>
          </cell>
          <cell r="G48">
            <v>177.46559999999999</v>
          </cell>
          <cell r="H48" t="str">
            <v>€/Jahr</v>
          </cell>
          <cell r="I48" t="str">
            <v>1</v>
          </cell>
          <cell r="M48">
            <v>11459.07657723499</v>
          </cell>
          <cell r="N48" t="str">
            <v>€</v>
          </cell>
          <cell r="O48">
            <v>390.42432000000002</v>
          </cell>
          <cell r="P48" t="str">
            <v>kg CO2 eq./Jahr</v>
          </cell>
          <cell r="S48">
            <v>390.42432000000002</v>
          </cell>
          <cell r="T48" t="str">
            <v>kg CO2 eq./Jahr</v>
          </cell>
          <cell r="U48">
            <v>5288.4748799999998</v>
          </cell>
          <cell r="V48" t="str">
            <v>MJ/Jahr</v>
          </cell>
          <cell r="Z48" t="str">
            <v>kg CO2 eq.</v>
          </cell>
          <cell r="AC48">
            <v>14055.275520000001</v>
          </cell>
          <cell r="AD48" t="str">
            <v>kg CO2 eq.</v>
          </cell>
          <cell r="AE48">
            <v>190385.09568</v>
          </cell>
          <cell r="AF48" t="str">
            <v>MJ</v>
          </cell>
        </row>
        <row r="49">
          <cell r="C49" t="str">
            <v>F3.1.a-2</v>
          </cell>
          <cell r="D49" t="str">
            <v>Strom Beleuchtung</v>
          </cell>
          <cell r="G49">
            <v>407.18915999999996</v>
          </cell>
          <cell r="H49" t="str">
            <v>€/Jahr</v>
          </cell>
          <cell r="I49" t="str">
            <v>1</v>
          </cell>
          <cell r="M49">
            <v>26292.485788006186</v>
          </cell>
          <cell r="N49" t="str">
            <v>€</v>
          </cell>
          <cell r="O49">
            <v>895.81615199999999</v>
          </cell>
          <cell r="P49" t="str">
            <v>kg CO2 eq./Jahr</v>
          </cell>
          <cell r="S49">
            <v>895.81615199999999</v>
          </cell>
          <cell r="T49" t="str">
            <v>kg CO2 eq./Jahr</v>
          </cell>
          <cell r="U49">
            <v>12134.236967999999</v>
          </cell>
          <cell r="V49" t="str">
            <v>MJ/Jahr</v>
          </cell>
          <cell r="Z49" t="str">
            <v>kg CO2 eq.</v>
          </cell>
          <cell r="AC49">
            <v>32249.381472000001</v>
          </cell>
          <cell r="AD49" t="str">
            <v>kg CO2 eq.</v>
          </cell>
          <cell r="AE49">
            <v>436832.53084799997</v>
          </cell>
          <cell r="AF49" t="str">
            <v>MJ</v>
          </cell>
        </row>
        <row r="50">
          <cell r="C50" t="str">
            <v>F3.1.a-3</v>
          </cell>
          <cell r="D50" t="str">
            <v>Strom Lüftung</v>
          </cell>
          <cell r="G50">
            <v>177.46559999999999</v>
          </cell>
          <cell r="H50" t="str">
            <v>€/Jahr</v>
          </cell>
          <cell r="I50" t="str">
            <v>1</v>
          </cell>
          <cell r="M50">
            <v>11459.07657723499</v>
          </cell>
          <cell r="N50" t="str">
            <v>€</v>
          </cell>
          <cell r="O50">
            <v>390.42432000000002</v>
          </cell>
          <cell r="P50" t="str">
            <v>kg CO2 eq./Jahr</v>
          </cell>
          <cell r="S50">
            <v>390.42432000000002</v>
          </cell>
          <cell r="T50" t="str">
            <v>kg CO2 eq./Jahr</v>
          </cell>
          <cell r="U50">
            <v>5288.4748799999998</v>
          </cell>
          <cell r="V50" t="str">
            <v>MJ/Jahr</v>
          </cell>
          <cell r="Z50" t="str">
            <v>kg CO2 eq.</v>
          </cell>
          <cell r="AC50">
            <v>14055.275520000001</v>
          </cell>
          <cell r="AD50" t="str">
            <v>kg CO2 eq.</v>
          </cell>
          <cell r="AE50">
            <v>190385.09568</v>
          </cell>
          <cell r="AF50" t="str">
            <v>MJ</v>
          </cell>
        </row>
        <row r="51">
          <cell r="C51" t="str">
            <v>F3.1.a-4</v>
          </cell>
          <cell r="D51" t="str">
            <v>Strom Be- und Entfeuchtung</v>
          </cell>
          <cell r="G51">
            <v>0</v>
          </cell>
          <cell r="H51" t="str">
            <v>€/Jahr</v>
          </cell>
          <cell r="I51" t="str">
            <v>1</v>
          </cell>
          <cell r="M51">
            <v>0</v>
          </cell>
          <cell r="N51" t="str">
            <v>€</v>
          </cell>
          <cell r="O51">
            <v>0</v>
          </cell>
          <cell r="P51" t="str">
            <v>kg CO2 eq./Jahr</v>
          </cell>
          <cell r="S51">
            <v>0</v>
          </cell>
          <cell r="T51" t="str">
            <v>kg CO2 eq./Jahr</v>
          </cell>
          <cell r="U51">
            <v>0</v>
          </cell>
          <cell r="V51" t="str">
            <v>MJ/Jahr</v>
          </cell>
          <cell r="Z51" t="str">
            <v>kg CO2 eq.</v>
          </cell>
          <cell r="AC51">
            <v>0</v>
          </cell>
          <cell r="AD51" t="str">
            <v>kg CO2 eq.</v>
          </cell>
          <cell r="AE51">
            <v>0</v>
          </cell>
          <cell r="AF51" t="str">
            <v>MJ</v>
          </cell>
        </row>
        <row r="52">
          <cell r="C52" t="str">
            <v>F3.1.a-5</v>
          </cell>
          <cell r="D52" t="str">
            <v>Haushaltsstrombedarf</v>
          </cell>
          <cell r="G52">
            <v>0</v>
          </cell>
          <cell r="H52" t="str">
            <v>€/Jahr</v>
          </cell>
          <cell r="I52" t="str">
            <v>1</v>
          </cell>
          <cell r="M52">
            <v>0</v>
          </cell>
          <cell r="N52" t="str">
            <v>€</v>
          </cell>
          <cell r="O52">
            <v>0</v>
          </cell>
          <cell r="P52" t="str">
            <v>kg CO2 eq./Jahr</v>
          </cell>
          <cell r="S52">
            <v>0</v>
          </cell>
          <cell r="T52" t="str">
            <v>kg CO2 eq./Jahr</v>
          </cell>
          <cell r="U52">
            <v>0</v>
          </cell>
          <cell r="V52" t="str">
            <v>MJ/Jahr</v>
          </cell>
          <cell r="Z52" t="str">
            <v>kg CO2 eq.</v>
          </cell>
          <cell r="AC52">
            <v>0</v>
          </cell>
          <cell r="AD52" t="str">
            <v>kg CO2 eq.</v>
          </cell>
          <cell r="AE52">
            <v>0</v>
          </cell>
          <cell r="AF52" t="str">
            <v>MJ</v>
          </cell>
        </row>
        <row r="53">
          <cell r="C53" t="str">
            <v>F3.1.b</v>
          </cell>
          <cell r="D53" t="str">
            <v>Strom Gebäudetechnik (ohne Kühlen/Lüften)</v>
          </cell>
          <cell r="G53">
            <v>22.183199999999999</v>
          </cell>
          <cell r="H53" t="str">
            <v>€/Jahr</v>
          </cell>
          <cell r="I53" t="str">
            <v>1</v>
          </cell>
          <cell r="M53">
            <v>1432.3845721543737</v>
          </cell>
          <cell r="N53" t="str">
            <v>€</v>
          </cell>
          <cell r="O53">
            <v>48.803040000000003</v>
          </cell>
          <cell r="P53" t="str">
            <v>kg CO2 eq./Jahr</v>
          </cell>
          <cell r="S53">
            <v>48.803040000000003</v>
          </cell>
          <cell r="T53" t="str">
            <v>kg CO2 eq./Jahr</v>
          </cell>
          <cell r="U53">
            <v>661.05935999999997</v>
          </cell>
          <cell r="V53" t="str">
            <v>MJ/Jahr</v>
          </cell>
          <cell r="Z53" t="str">
            <v>kg CO2 eq.</v>
          </cell>
          <cell r="AC53">
            <v>1756.9094400000001</v>
          </cell>
          <cell r="AD53" t="str">
            <v>kg CO2 eq.</v>
          </cell>
          <cell r="AE53">
            <v>23798.13696</v>
          </cell>
          <cell r="AF53" t="str">
            <v>MJ</v>
          </cell>
        </row>
        <row r="54">
          <cell r="C54" t="str">
            <v>F3.1.c</v>
          </cell>
          <cell r="D54" t="str">
            <v>Strom Aufzüge (allgemeine Teile des Hauses)</v>
          </cell>
          <cell r="G54">
            <v>0</v>
          </cell>
          <cell r="H54" t="str">
            <v>€/Jahr</v>
          </cell>
          <cell r="I54" t="str">
            <v>1</v>
          </cell>
          <cell r="M54">
            <v>0</v>
          </cell>
          <cell r="N54" t="str">
            <v>€</v>
          </cell>
          <cell r="O54">
            <v>0</v>
          </cell>
          <cell r="P54" t="str">
            <v>kg CO2 eq./Jahr</v>
          </cell>
          <cell r="S54">
            <v>0</v>
          </cell>
          <cell r="T54" t="str">
            <v>kg CO2 eq./Jahr</v>
          </cell>
          <cell r="U54">
            <v>0</v>
          </cell>
          <cell r="V54" t="str">
            <v>MJ/Jahr</v>
          </cell>
          <cell r="Z54" t="str">
            <v>kg CO2 eq.</v>
          </cell>
          <cell r="AC54">
            <v>0</v>
          </cell>
          <cell r="AD54" t="str">
            <v>kg CO2 eq.</v>
          </cell>
          <cell r="AE54">
            <v>0</v>
          </cell>
          <cell r="AF54" t="str">
            <v>MJ</v>
          </cell>
        </row>
        <row r="55">
          <cell r="C55" t="str">
            <v>F3.1.d</v>
          </cell>
          <cell r="D55" t="str">
            <v>Heizung</v>
          </cell>
          <cell r="E55" t="str">
            <v>Annahme: Raumwärmeerzeugung mit Energieträger Gas, Warmwassererzeugung mit Energieträger Strom</v>
          </cell>
          <cell r="G55">
            <v>343.88269878857142</v>
          </cell>
          <cell r="H55" t="str">
            <v>€/Jahr</v>
          </cell>
          <cell r="I55" t="str">
            <v>1</v>
          </cell>
          <cell r="M55">
            <v>22204.743786990119</v>
          </cell>
          <cell r="N55" t="str">
            <v>€</v>
          </cell>
          <cell r="O55">
            <v>804.8318482285714</v>
          </cell>
          <cell r="P55" t="str">
            <v>kg CO2 eq./Jahr</v>
          </cell>
          <cell r="S55">
            <v>804.8318482285714</v>
          </cell>
          <cell r="T55" t="str">
            <v>kg CO2 eq./Jahr</v>
          </cell>
          <cell r="U55">
            <v>10901.813216914285</v>
          </cell>
          <cell r="V55" t="str">
            <v>MJ/Jahr</v>
          </cell>
          <cell r="Z55" t="str">
            <v>kg CO2 eq.</v>
          </cell>
          <cell r="AC55">
            <v>28973.94653622857</v>
          </cell>
          <cell r="AD55" t="str">
            <v>kg CO2 eq.</v>
          </cell>
          <cell r="AE55">
            <v>392465.27580891422</v>
          </cell>
          <cell r="AF55" t="str">
            <v>MJ</v>
          </cell>
        </row>
        <row r="56">
          <cell r="C56" t="str">
            <v>F3.1.e</v>
          </cell>
          <cell r="D56" t="str">
            <v>Kühlung</v>
          </cell>
          <cell r="G56">
            <v>21.394463999999999</v>
          </cell>
          <cell r="H56" t="str">
            <v>€/Jahr</v>
          </cell>
          <cell r="I56" t="str">
            <v>1</v>
          </cell>
          <cell r="M56">
            <v>1381.4553429222181</v>
          </cell>
          <cell r="N56" t="str">
            <v>€</v>
          </cell>
          <cell r="O56">
            <v>47.067820800000007</v>
          </cell>
          <cell r="P56" t="str">
            <v>kg CO2 eq./Jahr</v>
          </cell>
          <cell r="S56">
            <v>47.067820800000007</v>
          </cell>
          <cell r="T56" t="str">
            <v>kg CO2 eq./Jahr</v>
          </cell>
          <cell r="U56">
            <v>637.55502720000004</v>
          </cell>
          <cell r="V56" t="str">
            <v>MJ/Jahr</v>
          </cell>
          <cell r="Z56" t="str">
            <v>kg CO2 eq.</v>
          </cell>
          <cell r="AC56">
            <v>1694.4415488000002</v>
          </cell>
          <cell r="AD56" t="str">
            <v>kg CO2 eq.</v>
          </cell>
          <cell r="AE56">
            <v>22951.980979200001</v>
          </cell>
          <cell r="AF56" t="str">
            <v>MJ</v>
          </cell>
        </row>
        <row r="57">
          <cell r="C57" t="str">
            <v>F3.1.f</v>
          </cell>
          <cell r="D57" t="str">
            <v>Warmwasser</v>
          </cell>
          <cell r="G57">
            <v>142.98656914285715</v>
          </cell>
          <cell r="H57" t="str">
            <v>€/Jahr</v>
          </cell>
          <cell r="I57" t="str">
            <v>1</v>
          </cell>
          <cell r="M57">
            <v>9232.7416993721927</v>
          </cell>
          <cell r="N57" t="str">
            <v>€</v>
          </cell>
          <cell r="O57">
            <v>334.64941714285715</v>
          </cell>
          <cell r="P57" t="str">
            <v>kg CO2 eq./Jahr</v>
          </cell>
          <cell r="S57">
            <v>334.64941714285715</v>
          </cell>
          <cell r="T57" t="str">
            <v>kg CO2 eq./Jahr</v>
          </cell>
          <cell r="U57">
            <v>4532.9784685714285</v>
          </cell>
          <cell r="V57" t="str">
            <v>MJ/Jahr</v>
          </cell>
          <cell r="Z57" t="str">
            <v>kg CO2 eq.</v>
          </cell>
          <cell r="AC57">
            <v>12047.379017142857</v>
          </cell>
          <cell r="AD57" t="str">
            <v>kg CO2 eq.</v>
          </cell>
          <cell r="AE57">
            <v>163187.22486857141</v>
          </cell>
          <cell r="AF57" t="str">
            <v>MJ</v>
          </cell>
        </row>
        <row r="58">
          <cell r="C58" t="str">
            <v>F3.1.g</v>
          </cell>
          <cell r="D58" t="str">
            <v>Erträge aus PV nach Deckung Eigenbedarf</v>
          </cell>
          <cell r="E58" t="str">
            <v>negative Kosten</v>
          </cell>
          <cell r="G58">
            <v>0</v>
          </cell>
          <cell r="H58" t="str">
            <v>€/Jahr</v>
          </cell>
          <cell r="I58">
            <v>1</v>
          </cell>
          <cell r="M58">
            <v>0</v>
          </cell>
          <cell r="N58" t="str">
            <v>€</v>
          </cell>
        </row>
        <row r="59">
          <cell r="C59" t="str">
            <v>F3.2</v>
          </cell>
          <cell r="D59" t="str">
            <v>Wasser und Abwasser</v>
          </cell>
          <cell r="G59">
            <v>1487.7467810999999</v>
          </cell>
          <cell r="H59" t="str">
            <v>€/Jahr</v>
          </cell>
          <cell r="M59">
            <v>64543.324785170909</v>
          </cell>
          <cell r="N59" t="str">
            <v>€</v>
          </cell>
        </row>
        <row r="60">
          <cell r="C60" t="str">
            <v>F3.2.a</v>
          </cell>
          <cell r="D60" t="str">
            <v>Wasser</v>
          </cell>
          <cell r="G60">
            <v>710.98464330000002</v>
          </cell>
          <cell r="H60" t="str">
            <v>€/Jahr</v>
          </cell>
          <cell r="I60">
            <v>1</v>
          </cell>
          <cell r="M60">
            <v>30844.840891439511</v>
          </cell>
          <cell r="N60" t="str">
            <v>€</v>
          </cell>
        </row>
        <row r="61">
          <cell r="C61" t="str">
            <v>F3.2.b</v>
          </cell>
          <cell r="D61" t="str">
            <v>Abwasser</v>
          </cell>
          <cell r="G61">
            <v>776.76213779999989</v>
          </cell>
          <cell r="H61" t="str">
            <v>€/Jahr</v>
          </cell>
          <cell r="I61">
            <v>1</v>
          </cell>
          <cell r="M61">
            <v>33698.483893731398</v>
          </cell>
          <cell r="N61" t="str">
            <v>€</v>
          </cell>
        </row>
        <row r="62">
          <cell r="C62" t="str">
            <v>F3.3</v>
          </cell>
          <cell r="D62" t="str">
            <v>Müllentsorgung</v>
          </cell>
          <cell r="G62">
            <v>134.0196</v>
          </cell>
          <cell r="H62" t="str">
            <v>€/Jahr</v>
          </cell>
          <cell r="I62" t="str">
            <v>1</v>
          </cell>
          <cell r="M62">
            <v>5814.2088964783798</v>
          </cell>
          <cell r="N62" t="str">
            <v>€</v>
          </cell>
        </row>
        <row r="63">
          <cell r="C63" t="str">
            <v>F3.4</v>
          </cell>
          <cell r="D63" t="str">
            <v>Sonstige Medien</v>
          </cell>
          <cell r="G63">
            <v>0</v>
          </cell>
          <cell r="H63" t="str">
            <v>€/Jahr</v>
          </cell>
          <cell r="I63">
            <v>1</v>
          </cell>
          <cell r="M63">
            <v>0</v>
          </cell>
          <cell r="N63" t="str">
            <v>€</v>
          </cell>
        </row>
        <row r="64">
          <cell r="C64" t="str">
            <v>F4</v>
          </cell>
          <cell r="D64" t="str">
            <v>Reinigung und Pflege</v>
          </cell>
          <cell r="G64">
            <v>58705.009085999991</v>
          </cell>
          <cell r="H64" t="str">
            <v>€/Jahr</v>
          </cell>
          <cell r="M64">
            <v>2546815.4366649743</v>
          </cell>
          <cell r="N64" t="str">
            <v>€</v>
          </cell>
        </row>
        <row r="65">
          <cell r="C65" t="str">
            <v>F4.1</v>
          </cell>
          <cell r="D65" t="str">
            <v>Unterhaltsreinigung</v>
          </cell>
          <cell r="G65">
            <v>50850.646703999992</v>
          </cell>
          <cell r="H65" t="str">
            <v>€/Jahr</v>
          </cell>
          <cell r="M65">
            <v>2206067.4890693277</v>
          </cell>
          <cell r="N65" t="str">
            <v>€</v>
          </cell>
          <cell r="O65">
            <v>852.63412687185155</v>
          </cell>
          <cell r="P65" t="str">
            <v>kg CO2 eq./Jahr</v>
          </cell>
          <cell r="S65">
            <v>852.63412687185155</v>
          </cell>
          <cell r="T65" t="str">
            <v>kg CO2 eq./Jahr</v>
          </cell>
          <cell r="U65">
            <v>15015.96681878143</v>
          </cell>
          <cell r="V65" t="str">
            <v>MJ/Jahr</v>
          </cell>
          <cell r="Z65" t="str">
            <v>kg CO2 eq.</v>
          </cell>
          <cell r="AC65">
            <v>30694.828567386656</v>
          </cell>
          <cell r="AD65" t="str">
            <v>kg CO2 eq.</v>
          </cell>
          <cell r="AE65">
            <v>540574.8054761315</v>
          </cell>
          <cell r="AF65" t="str">
            <v>MJ</v>
          </cell>
        </row>
        <row r="66">
          <cell r="C66" t="str">
            <v>F4.1.a</v>
          </cell>
          <cell r="D66" t="str">
            <v>Büro/Wohnflächenreinigungskosten</v>
          </cell>
          <cell r="G66">
            <v>11328.644448000001</v>
          </cell>
          <cell r="H66" t="str">
            <v>€/Jahr</v>
          </cell>
          <cell r="I66">
            <v>1</v>
          </cell>
          <cell r="M66">
            <v>491473.67500426807</v>
          </cell>
          <cell r="N66" t="str">
            <v>€</v>
          </cell>
          <cell r="O66">
            <v>189.95213421351284</v>
          </cell>
          <cell r="P66" t="str">
            <v>kg CO2 eq./Jahr</v>
          </cell>
          <cell r="S66">
            <v>189.95213421351284</v>
          </cell>
          <cell r="T66" t="str">
            <v>kg CO2 eq./Jahr</v>
          </cell>
          <cell r="U66">
            <v>3345.2976541900957</v>
          </cell>
          <cell r="V66" t="str">
            <v>MJ/Jahr</v>
          </cell>
          <cell r="Z66" t="str">
            <v>kg CO2 eq.</v>
          </cell>
          <cell r="AC66">
            <v>6838.2768316864622</v>
          </cell>
          <cell r="AD66" t="str">
            <v>kg CO2 eq.</v>
          </cell>
          <cell r="AE66">
            <v>120430.71555084345</v>
          </cell>
          <cell r="AF66" t="str">
            <v>MJ</v>
          </cell>
        </row>
        <row r="67">
          <cell r="C67" t="str">
            <v>F4.1.b</v>
          </cell>
          <cell r="D67" t="str">
            <v>Sanitärreinigungskosten</v>
          </cell>
          <cell r="G67">
            <v>38420.29619999999</v>
          </cell>
          <cell r="H67" t="str">
            <v>€/Jahr</v>
          </cell>
          <cell r="I67">
            <v>1</v>
          </cell>
          <cell r="M67">
            <v>1666798.1994527248</v>
          </cell>
          <cell r="N67" t="str">
            <v>€</v>
          </cell>
          <cell r="O67">
            <v>644.20922501400707</v>
          </cell>
          <cell r="P67" t="str">
            <v>kg CO2 eq./Jahr</v>
          </cell>
          <cell r="S67">
            <v>644.20922501400707</v>
          </cell>
          <cell r="T67" t="str">
            <v>kg CO2 eq./Jahr</v>
          </cell>
          <cell r="U67">
            <v>11345.340330973075</v>
          </cell>
          <cell r="V67" t="str">
            <v>MJ/Jahr</v>
          </cell>
          <cell r="Z67" t="str">
            <v>kg CO2 eq.</v>
          </cell>
          <cell r="AC67">
            <v>23191.532100504253</v>
          </cell>
          <cell r="AD67" t="str">
            <v>kg CO2 eq.</v>
          </cell>
          <cell r="AE67">
            <v>408432.25191503071</v>
          </cell>
          <cell r="AF67" t="str">
            <v>MJ</v>
          </cell>
        </row>
        <row r="68">
          <cell r="C68" t="str">
            <v>F4.1.c</v>
          </cell>
          <cell r="D68" t="str">
            <v>Gang+Stiegenreinigungskosten</v>
          </cell>
          <cell r="G68">
            <v>1101.7060559999995</v>
          </cell>
          <cell r="H68" t="str">
            <v>€/Jahr</v>
          </cell>
          <cell r="I68">
            <v>1</v>
          </cell>
          <cell r="M68">
            <v>47795.614612335099</v>
          </cell>
          <cell r="N68" t="str">
            <v>€</v>
          </cell>
          <cell r="O68">
            <v>34.998358484331646</v>
          </cell>
          <cell r="P68" t="str">
            <v>kg CO2 eq./Jahr</v>
          </cell>
          <cell r="S68">
            <v>34.998358484331646</v>
          </cell>
          <cell r="T68" t="str">
            <v>kg CO2 eq./Jahr</v>
          </cell>
          <cell r="U68">
            <v>549.17547317826029</v>
          </cell>
          <cell r="V68" t="str">
            <v>MJ/Jahr</v>
          </cell>
          <cell r="Z68" t="str">
            <v>kg CO2 eq.</v>
          </cell>
          <cell r="AC68">
            <v>1259.9409054359394</v>
          </cell>
          <cell r="AD68" t="str">
            <v>kg CO2 eq.</v>
          </cell>
          <cell r="AE68">
            <v>19770.31703441737</v>
          </cell>
          <cell r="AF68" t="str">
            <v>MJ</v>
          </cell>
        </row>
        <row r="69">
          <cell r="C69" t="str">
            <v>F4.1.d</v>
          </cell>
          <cell r="D69" t="str">
            <v>Tiefgaragen+Nebenflächenreinigungskosten</v>
          </cell>
          <cell r="G69">
            <v>0</v>
          </cell>
          <cell r="H69" t="str">
            <v>€/Jahr</v>
          </cell>
          <cell r="I69">
            <v>1</v>
          </cell>
          <cell r="M69">
            <v>0</v>
          </cell>
          <cell r="N69" t="str">
            <v>€</v>
          </cell>
          <cell r="O69">
            <v>0</v>
          </cell>
          <cell r="P69" t="str">
            <v>kg CO2 eq./Jahr</v>
          </cell>
          <cell r="S69">
            <v>0</v>
          </cell>
          <cell r="T69" t="str">
            <v>kg CO2 eq./Jahr</v>
          </cell>
          <cell r="U69">
            <v>0</v>
          </cell>
          <cell r="V69" t="str">
            <v>MJ/Jahr</v>
          </cell>
          <cell r="Z69" t="str">
            <v>kg CO2 eq.</v>
          </cell>
          <cell r="AC69">
            <v>0</v>
          </cell>
          <cell r="AD69" t="str">
            <v>kg CO2 eq.</v>
          </cell>
          <cell r="AE69">
            <v>0</v>
          </cell>
          <cell r="AF69" t="str">
            <v>MJ</v>
          </cell>
        </row>
        <row r="70">
          <cell r="C70" t="str">
            <v>F4.2</v>
          </cell>
          <cell r="D70" t="str">
            <v>Fenster- und Glasflächenreinigung</v>
          </cell>
          <cell r="G70">
            <v>2464.9440000000004</v>
          </cell>
          <cell r="H70" t="str">
            <v>€/Jahr</v>
          </cell>
          <cell r="M70">
            <v>106937.33852452182</v>
          </cell>
          <cell r="N70" t="str">
            <v>€</v>
          </cell>
        </row>
        <row r="71">
          <cell r="C71" t="str">
            <v>F4.2.a</v>
          </cell>
          <cell r="D71" t="str">
            <v>Fensterreinigungskosten</v>
          </cell>
          <cell r="G71">
            <v>127.224</v>
          </cell>
          <cell r="H71" t="str">
            <v>€/Jahr</v>
          </cell>
          <cell r="I71">
            <v>1</v>
          </cell>
          <cell r="M71">
            <v>5519.3935263615567</v>
          </cell>
          <cell r="N71" t="str">
            <v>€</v>
          </cell>
          <cell r="O71">
            <v>2.133570685900926</v>
          </cell>
          <cell r="P71" t="str">
            <v>kg CO2 eq./Jahr</v>
          </cell>
          <cell r="S71">
            <v>2.133570685900926</v>
          </cell>
          <cell r="T71" t="str">
            <v>kg CO2 eq./Jahr</v>
          </cell>
          <cell r="U71">
            <v>33.639660533478498</v>
          </cell>
          <cell r="V71" t="str">
            <v>MJ/Jahr</v>
          </cell>
          <cell r="Z71" t="str">
            <v>kg CO2 eq.</v>
          </cell>
          <cell r="AC71">
            <v>76.808544692433344</v>
          </cell>
          <cell r="AD71" t="str">
            <v>kg CO2 eq.</v>
          </cell>
          <cell r="AE71">
            <v>1211.0277792052259</v>
          </cell>
          <cell r="AF71" t="str">
            <v>MJ</v>
          </cell>
        </row>
        <row r="72">
          <cell r="C72" t="str">
            <v>F4.2.b</v>
          </cell>
          <cell r="D72" t="str">
            <v>Innenglasflächenreinigung</v>
          </cell>
          <cell r="G72">
            <v>2337.7200000000003</v>
          </cell>
          <cell r="H72" t="str">
            <v>€/Jahr</v>
          </cell>
          <cell r="I72">
            <v>1</v>
          </cell>
          <cell r="M72">
            <v>101417.94499816027</v>
          </cell>
          <cell r="N72" t="str">
            <v>€</v>
          </cell>
          <cell r="O72">
            <v>39.766638473053895</v>
          </cell>
          <cell r="P72" t="str">
            <v>kg CO2 eq./Jahr</v>
          </cell>
          <cell r="S72">
            <v>39.766638473053895</v>
          </cell>
          <cell r="T72" t="str">
            <v>kg CO2 eq./Jahr</v>
          </cell>
          <cell r="U72">
            <v>626.99409381237524</v>
          </cell>
          <cell r="V72" t="str">
            <v>MJ/Jahr</v>
          </cell>
          <cell r="Z72" t="str">
            <v>kg CO2 eq.</v>
          </cell>
          <cell r="AC72">
            <v>1431.5989850299402</v>
          </cell>
          <cell r="AD72" t="str">
            <v>kg CO2 eq.</v>
          </cell>
          <cell r="AE72">
            <v>22571.78737724551</v>
          </cell>
          <cell r="AF72" t="str">
            <v>MJ</v>
          </cell>
        </row>
        <row r="73">
          <cell r="C73" t="str">
            <v>F4.3</v>
          </cell>
          <cell r="D73" t="str">
            <v>Fassadenreinigung</v>
          </cell>
          <cell r="G73">
            <v>178.55999999999997</v>
          </cell>
          <cell r="H73" t="str">
            <v>€/Jahr</v>
          </cell>
          <cell r="I73">
            <v>1</v>
          </cell>
          <cell r="M73">
            <v>7746.5172299811311</v>
          </cell>
          <cell r="N73" t="str">
            <v>€</v>
          </cell>
          <cell r="O73">
            <v>5.7158599891126833</v>
          </cell>
          <cell r="P73" t="str">
            <v>kg CO2 eq./Jahr</v>
          </cell>
          <cell r="S73">
            <v>5.7158599891126833</v>
          </cell>
          <cell r="T73" t="str">
            <v>kg CO2 eq./Jahr</v>
          </cell>
          <cell r="U73">
            <v>84.171281001633076</v>
          </cell>
          <cell r="V73" t="str">
            <v>MJ/Jahr</v>
          </cell>
          <cell r="Z73" t="str">
            <v>kg CO2 eq.</v>
          </cell>
          <cell r="AC73">
            <v>205.77095960805661</v>
          </cell>
          <cell r="AD73" t="str">
            <v>kg CO2 eq.</v>
          </cell>
          <cell r="AE73">
            <v>3030.166116058791</v>
          </cell>
          <cell r="AF73" t="str">
            <v>MJ</v>
          </cell>
        </row>
        <row r="74">
          <cell r="C74" t="str">
            <v>F4.4</v>
          </cell>
          <cell r="D74" t="str">
            <v>Sonderreinigungen</v>
          </cell>
          <cell r="G74">
            <v>415.8</v>
          </cell>
          <cell r="H74" t="str">
            <v>€/Jahr</v>
          </cell>
          <cell r="M74">
            <v>18038.76492062139</v>
          </cell>
          <cell r="N74" t="str">
            <v>€</v>
          </cell>
        </row>
        <row r="75">
          <cell r="C75" t="str">
            <v>F4.4.a</v>
          </cell>
          <cell r="D75" t="str">
            <v>Sonnenschutzreinigungskosten</v>
          </cell>
          <cell r="G75">
            <v>415.8</v>
          </cell>
          <cell r="H75" t="str">
            <v>€/Jahr</v>
          </cell>
          <cell r="I75">
            <v>1</v>
          </cell>
          <cell r="M75">
            <v>18038.76492062139</v>
          </cell>
          <cell r="N75" t="str">
            <v>€</v>
          </cell>
          <cell r="O75">
            <v>13.310117514970063</v>
          </cell>
          <cell r="P75" t="str">
            <v>kg CO2 eq./Jahr</v>
          </cell>
          <cell r="S75">
            <v>13.310117514970063</v>
          </cell>
          <cell r="T75" t="str">
            <v>kg CO2 eq./Jahr</v>
          </cell>
          <cell r="U75">
            <v>196.00368862275448</v>
          </cell>
          <cell r="V75" t="str">
            <v>MJ/Jahr</v>
          </cell>
          <cell r="Z75" t="str">
            <v>kg CO2 eq.</v>
          </cell>
          <cell r="AC75">
            <v>479.16423053892225</v>
          </cell>
          <cell r="AD75" t="str">
            <v>kg CO2 eq.</v>
          </cell>
          <cell r="AE75">
            <v>7056.1327904191612</v>
          </cell>
          <cell r="AF75" t="str">
            <v>MJ</v>
          </cell>
        </row>
        <row r="76">
          <cell r="C76" t="str">
            <v>F4.4.b</v>
          </cell>
          <cell r="D76" t="str">
            <v>Reinigungskosten PV und Solarthermie</v>
          </cell>
          <cell r="G76">
            <v>0</v>
          </cell>
          <cell r="H76" t="str">
            <v>€/Jahr</v>
          </cell>
          <cell r="I76">
            <v>1</v>
          </cell>
          <cell r="M76">
            <v>0</v>
          </cell>
          <cell r="N76" t="str">
            <v>€</v>
          </cell>
          <cell r="O76">
            <v>0</v>
          </cell>
          <cell r="P76" t="str">
            <v>kg CO2 eq./Jahr</v>
          </cell>
          <cell r="S76">
            <v>0</v>
          </cell>
          <cell r="T76" t="str">
            <v>kg CO2 eq./Jahr</v>
          </cell>
          <cell r="U76">
            <v>0</v>
          </cell>
          <cell r="V76" t="str">
            <v>MJ/Jahr</v>
          </cell>
          <cell r="Z76" t="str">
            <v>kg CO2 eq.</v>
          </cell>
          <cell r="AC76">
            <v>0</v>
          </cell>
          <cell r="AD76" t="str">
            <v>kg CO2 eq.</v>
          </cell>
          <cell r="AE76">
            <v>0</v>
          </cell>
          <cell r="AF76" t="str">
            <v>MJ</v>
          </cell>
        </row>
        <row r="77">
          <cell r="C77" t="str">
            <v>F4.5</v>
          </cell>
          <cell r="D77" t="str">
            <v>Winterdienste</v>
          </cell>
          <cell r="G77">
            <v>198.42</v>
          </cell>
          <cell r="H77" t="str">
            <v>€/Jahr</v>
          </cell>
          <cell r="I77">
            <v>1</v>
          </cell>
          <cell r="M77">
            <v>8608.109032106051</v>
          </cell>
          <cell r="N77" t="str">
            <v>€</v>
          </cell>
          <cell r="O77">
            <v>18.667006277989472</v>
          </cell>
          <cell r="P77" t="str">
            <v>kg CO2 eq./Jahr</v>
          </cell>
          <cell r="S77">
            <v>18.667006277989472</v>
          </cell>
          <cell r="T77" t="str">
            <v>kg CO2 eq./Jahr</v>
          </cell>
          <cell r="U77">
            <v>276.13567514213992</v>
          </cell>
          <cell r="V77" t="str">
            <v>MJ/Jahr</v>
          </cell>
          <cell r="Z77" t="str">
            <v>kg CO2 eq.</v>
          </cell>
          <cell r="AC77">
            <v>672.01222600762094</v>
          </cell>
          <cell r="AD77" t="str">
            <v>kg CO2 eq.</v>
          </cell>
          <cell r="AE77">
            <v>9940.884305117037</v>
          </cell>
          <cell r="AF77" t="str">
            <v>MJ</v>
          </cell>
        </row>
        <row r="78">
          <cell r="C78" t="str">
            <v>F4.6</v>
          </cell>
          <cell r="D78" t="str">
            <v>Reinigung Außenanlagen</v>
          </cell>
          <cell r="G78">
            <v>56.966381999999989</v>
          </cell>
          <cell r="H78" t="str">
            <v>€/Jahr</v>
          </cell>
          <cell r="I78">
            <v>1</v>
          </cell>
          <cell r="M78">
            <v>2471.3881031176466</v>
          </cell>
          <cell r="N78" t="str">
            <v>€</v>
          </cell>
          <cell r="O78">
            <v>0.85276172336227529</v>
          </cell>
          <cell r="P78" t="str">
            <v>kg CO2 eq./Jahr</v>
          </cell>
          <cell r="S78">
            <v>0.85276172336227529</v>
          </cell>
          <cell r="T78" t="str">
            <v>kg CO2 eq./Jahr</v>
          </cell>
          <cell r="U78">
            <v>13.445354812670653</v>
          </cell>
          <cell r="V78" t="str">
            <v>MJ/Jahr</v>
          </cell>
          <cell r="Z78" t="str">
            <v>kg CO2 eq.</v>
          </cell>
          <cell r="AC78">
            <v>30.69942204104191</v>
          </cell>
          <cell r="AD78" t="str">
            <v>kg CO2 eq.</v>
          </cell>
          <cell r="AE78">
            <v>484.03277325614351</v>
          </cell>
          <cell r="AF78" t="str">
            <v>MJ</v>
          </cell>
        </row>
        <row r="79">
          <cell r="C79" t="str">
            <v>F4.7</v>
          </cell>
          <cell r="D79" t="str">
            <v>Gärtnerdienste</v>
          </cell>
          <cell r="G79">
            <v>4539.6719999999996</v>
          </cell>
          <cell r="H79" t="str">
            <v>€/Jahr</v>
          </cell>
          <cell r="I79">
            <v>1</v>
          </cell>
          <cell r="M79">
            <v>196945.8297852985</v>
          </cell>
          <cell r="N79" t="str">
            <v>€</v>
          </cell>
          <cell r="O79">
            <v>317.94150117125741</v>
          </cell>
          <cell r="P79" t="str">
            <v>kg CO2 eq./Jahr</v>
          </cell>
          <cell r="S79">
            <v>317.94150117125741</v>
          </cell>
          <cell r="T79" t="str">
            <v>kg CO2 eq./Jahr</v>
          </cell>
          <cell r="U79">
            <v>4596.898899844311</v>
          </cell>
          <cell r="V79" t="str">
            <v>MJ/Jahr</v>
          </cell>
          <cell r="Z79" t="str">
            <v>kg CO2 eq.</v>
          </cell>
          <cell r="AC79">
            <v>11445.894042165266</v>
          </cell>
          <cell r="AD79" t="str">
            <v>kg CO2 eq.</v>
          </cell>
          <cell r="AE79">
            <v>165488.36039439519</v>
          </cell>
          <cell r="AF79" t="str">
            <v>MJ</v>
          </cell>
        </row>
        <row r="80">
          <cell r="C80" t="str">
            <v>F5</v>
          </cell>
          <cell r="D80" t="str">
            <v>Sicherheit</v>
          </cell>
          <cell r="G80">
            <v>1599.4665</v>
          </cell>
          <cell r="H80" t="str">
            <v>€/Jahr</v>
          </cell>
          <cell r="M80">
            <v>69390.091851633159</v>
          </cell>
          <cell r="N80" t="str">
            <v>€</v>
          </cell>
        </row>
        <row r="81">
          <cell r="C81" t="str">
            <v>F5.1</v>
          </cell>
          <cell r="D81" t="str">
            <v>Sicherheitsdienste (Schließdienste, Bewachung)</v>
          </cell>
          <cell r="G81">
            <v>1599.4665</v>
          </cell>
          <cell r="H81" t="str">
            <v>€/Jahr</v>
          </cell>
          <cell r="I81">
            <v>1</v>
          </cell>
          <cell r="M81">
            <v>69390.091851633159</v>
          </cell>
          <cell r="N81" t="str">
            <v>€</v>
          </cell>
          <cell r="O81">
            <v>38.454408807770818</v>
          </cell>
          <cell r="P81" t="str">
            <v>kg CO2 eq./Jahr</v>
          </cell>
          <cell r="S81">
            <v>38.454408807770818</v>
          </cell>
          <cell r="T81" t="str">
            <v>kg CO2 eq./Jahr</v>
          </cell>
          <cell r="U81">
            <v>606.30438300326614</v>
          </cell>
          <cell r="V81" t="str">
            <v>MJ/Jahr</v>
          </cell>
          <cell r="Z81" t="str">
            <v>kg CO2 eq.</v>
          </cell>
          <cell r="AC81">
            <v>1384.3587170797496</v>
          </cell>
          <cell r="AD81" t="str">
            <v>kg CO2 eq.</v>
          </cell>
          <cell r="AE81">
            <v>21826.957788117579</v>
          </cell>
          <cell r="AF81" t="str">
            <v>MJ</v>
          </cell>
        </row>
        <row r="82">
          <cell r="C82" t="str">
            <v>F5.2</v>
          </cell>
          <cell r="D82" t="str">
            <v>Brandschutzdienste</v>
          </cell>
          <cell r="G82">
            <v>0</v>
          </cell>
          <cell r="H82" t="str">
            <v>€/Jahr</v>
          </cell>
          <cell r="I82">
            <v>1</v>
          </cell>
          <cell r="M82">
            <v>0</v>
          </cell>
          <cell r="N82" t="str">
            <v>€</v>
          </cell>
          <cell r="O82">
            <v>0</v>
          </cell>
          <cell r="P82" t="str">
            <v>kg CO2 eq./Jahr</v>
          </cell>
          <cell r="S82">
            <v>0</v>
          </cell>
          <cell r="T82" t="str">
            <v>kg CO2 eq./Jahr</v>
          </cell>
          <cell r="U82">
            <v>0</v>
          </cell>
          <cell r="V82" t="str">
            <v>MJ/Jahr</v>
          </cell>
          <cell r="Z82" t="str">
            <v>kg CO2 eq.</v>
          </cell>
          <cell r="AC82">
            <v>0</v>
          </cell>
          <cell r="AD82" t="str">
            <v>kg CO2 eq.</v>
          </cell>
          <cell r="AE82">
            <v>0</v>
          </cell>
          <cell r="AF82" t="str">
            <v>MJ</v>
          </cell>
        </row>
        <row r="83">
          <cell r="C83" t="str">
            <v>F6</v>
          </cell>
          <cell r="D83" t="str">
            <v>Gebäudedienste</v>
          </cell>
          <cell r="G83">
            <v>22500</v>
          </cell>
          <cell r="H83" t="str">
            <v>€/Jahr</v>
          </cell>
          <cell r="M83">
            <v>976123.64289076766</v>
          </cell>
          <cell r="N83" t="str">
            <v>€</v>
          </cell>
        </row>
        <row r="84">
          <cell r="C84" t="str">
            <v>F6.1</v>
          </cell>
          <cell r="D84" t="str">
            <v>Hauspost (Verteilung der Post im Haus)</v>
          </cell>
          <cell r="G84">
            <v>0</v>
          </cell>
          <cell r="H84" t="str">
            <v>€/Jahr</v>
          </cell>
          <cell r="I84">
            <v>1</v>
          </cell>
          <cell r="M84">
            <v>0</v>
          </cell>
          <cell r="N84" t="str">
            <v>€</v>
          </cell>
          <cell r="O84">
            <v>0</v>
          </cell>
          <cell r="P84" t="str">
            <v>kg CO2 eq./Jahr</v>
          </cell>
          <cell r="S84">
            <v>0</v>
          </cell>
          <cell r="T84" t="str">
            <v>kg CO2 eq./Jahr</v>
          </cell>
          <cell r="U84">
            <v>0</v>
          </cell>
          <cell r="V84" t="str">
            <v>MJ/Jahr</v>
          </cell>
          <cell r="Z84" t="str">
            <v>kg CO2 eq.</v>
          </cell>
          <cell r="AC84">
            <v>0</v>
          </cell>
          <cell r="AD84" t="str">
            <v>kg CO2 eq.</v>
          </cell>
          <cell r="AE84">
            <v>0</v>
          </cell>
          <cell r="AF84" t="str">
            <v>MJ</v>
          </cell>
        </row>
        <row r="85">
          <cell r="C85" t="str">
            <v>F6.2</v>
          </cell>
          <cell r="D85" t="str">
            <v>Kommunikations- und Informationstechnik</v>
          </cell>
          <cell r="G85">
            <v>0</v>
          </cell>
          <cell r="H85" t="str">
            <v>€/Jahr</v>
          </cell>
          <cell r="I85">
            <v>1</v>
          </cell>
          <cell r="M85">
            <v>0</v>
          </cell>
          <cell r="N85" t="str">
            <v>€</v>
          </cell>
          <cell r="O85">
            <v>0</v>
          </cell>
          <cell r="P85" t="str">
            <v>kg CO2 eq./Jahr</v>
          </cell>
          <cell r="S85">
            <v>0</v>
          </cell>
          <cell r="T85" t="str">
            <v>kg CO2 eq./Jahr</v>
          </cell>
          <cell r="U85">
            <v>0</v>
          </cell>
          <cell r="V85" t="str">
            <v>MJ/Jahr</v>
          </cell>
          <cell r="Z85" t="str">
            <v>kg CO2 eq.</v>
          </cell>
          <cell r="AC85">
            <v>0</v>
          </cell>
          <cell r="AD85" t="str">
            <v>kg CO2 eq.</v>
          </cell>
          <cell r="AE85">
            <v>0</v>
          </cell>
          <cell r="AF85" t="str">
            <v>MJ</v>
          </cell>
        </row>
        <row r="86">
          <cell r="C86" t="str">
            <v>F6.3</v>
          </cell>
          <cell r="D86" t="str">
            <v>Umzüge - interne Transporte, Hausarbeiterdienste</v>
          </cell>
          <cell r="G86">
            <v>22500</v>
          </cell>
          <cell r="H86" t="str">
            <v>€/Jahr</v>
          </cell>
          <cell r="I86">
            <v>1</v>
          </cell>
          <cell r="M86">
            <v>976123.64289076766</v>
          </cell>
          <cell r="N86" t="str">
            <v>€</v>
          </cell>
          <cell r="O86">
            <v>240.58222840034216</v>
          </cell>
          <cell r="P86" t="str">
            <v>kg CO2 eq./Jahr</v>
          </cell>
          <cell r="S86">
            <v>240.58222840034216</v>
          </cell>
          <cell r="T86" t="str">
            <v>kg CO2 eq./Jahr</v>
          </cell>
          <cell r="U86">
            <v>3793.2207014542332</v>
          </cell>
          <cell r="V86" t="str">
            <v>MJ/Jahr</v>
          </cell>
          <cell r="Z86" t="str">
            <v>kg CO2 eq.</v>
          </cell>
          <cell r="AC86">
            <v>8660.9602224123173</v>
          </cell>
          <cell r="AD86" t="str">
            <v>kg CO2 eq.</v>
          </cell>
          <cell r="AE86">
            <v>136555.94525235239</v>
          </cell>
          <cell r="AF86" t="str">
            <v>MJ</v>
          </cell>
        </row>
        <row r="87">
          <cell r="C87" t="str">
            <v>F6.4</v>
          </cell>
          <cell r="D87" t="str">
            <v>Empfang und interne Bürodienste</v>
          </cell>
          <cell r="G87">
            <v>0</v>
          </cell>
          <cell r="H87" t="str">
            <v>€/Jahr</v>
          </cell>
          <cell r="I87">
            <v>1</v>
          </cell>
          <cell r="M87">
            <v>0</v>
          </cell>
          <cell r="N87" t="str">
            <v>€</v>
          </cell>
          <cell r="O87">
            <v>0</v>
          </cell>
          <cell r="P87" t="str">
            <v>kg CO2 eq./Jahr</v>
          </cell>
          <cell r="S87">
            <v>0</v>
          </cell>
          <cell r="T87" t="str">
            <v>kg CO2 eq./Jahr</v>
          </cell>
          <cell r="U87">
            <v>0</v>
          </cell>
          <cell r="V87" t="str">
            <v>MJ/Jahr</v>
          </cell>
          <cell r="Z87" t="str">
            <v>kg CO2 eq.</v>
          </cell>
          <cell r="AC87">
            <v>0</v>
          </cell>
          <cell r="AD87" t="str">
            <v>kg CO2 eq.</v>
          </cell>
          <cell r="AE87">
            <v>0</v>
          </cell>
          <cell r="AF87" t="str">
            <v>MJ</v>
          </cell>
        </row>
        <row r="88">
          <cell r="C88" t="str">
            <v>F6.5</v>
          </cell>
          <cell r="D88" t="str">
            <v>Gastroservice</v>
          </cell>
          <cell r="G88">
            <v>0</v>
          </cell>
          <cell r="H88" t="str">
            <v>€/Jahr</v>
          </cell>
          <cell r="I88">
            <v>1</v>
          </cell>
          <cell r="M88">
            <v>0</v>
          </cell>
          <cell r="N88" t="str">
            <v>€</v>
          </cell>
        </row>
        <row r="89">
          <cell r="C89" t="str">
            <v>F6.6</v>
          </cell>
          <cell r="D89" t="str">
            <v>Sonstige Dienste</v>
          </cell>
          <cell r="G89">
            <v>0</v>
          </cell>
          <cell r="H89" t="str">
            <v>€/Jahr</v>
          </cell>
          <cell r="I89">
            <v>1</v>
          </cell>
          <cell r="M89">
            <v>0</v>
          </cell>
          <cell r="N89" t="str">
            <v>€</v>
          </cell>
        </row>
        <row r="90">
          <cell r="C90" t="str">
            <v>F7</v>
          </cell>
          <cell r="D90" t="str">
            <v>Instandsetzung, Umbau</v>
          </cell>
          <cell r="M90">
            <v>1182177.019764124</v>
          </cell>
          <cell r="N90" t="str">
            <v>€</v>
          </cell>
        </row>
        <row r="91">
          <cell r="C91" t="str">
            <v>F7.1</v>
          </cell>
          <cell r="D91" t="str">
            <v>Große Instandsetzung (inkl. Planung, Nebenleist., Reserve)</v>
          </cell>
          <cell r="M91">
            <v>1182177.019764124</v>
          </cell>
          <cell r="N91" t="str">
            <v>€</v>
          </cell>
          <cell r="P91" t="str">
            <v>pro Instandsetzung</v>
          </cell>
        </row>
        <row r="92">
          <cell r="C92" t="str">
            <v>F7.1-2</v>
          </cell>
          <cell r="D92" t="str">
            <v>Bauwerk-Rohbau</v>
          </cell>
          <cell r="M92">
            <v>143957.11588009199</v>
          </cell>
          <cell r="N92" t="str">
            <v>€</v>
          </cell>
        </row>
        <row r="93">
          <cell r="C93" t="str">
            <v>F7.1-2.A</v>
          </cell>
          <cell r="D93" t="str">
            <v>Bauwerk Rohbau Allgemein</v>
          </cell>
          <cell r="G93">
            <v>84958.093691325441</v>
          </cell>
          <cell r="H93" t="str">
            <v>€/Instandsetzung</v>
          </cell>
          <cell r="I93">
            <v>30</v>
          </cell>
          <cell r="J93" t="str">
            <v>E2.A</v>
          </cell>
          <cell r="M93">
            <v>143957.11588009199</v>
          </cell>
          <cell r="N93" t="str">
            <v>€</v>
          </cell>
        </row>
        <row r="94">
          <cell r="C94" t="str">
            <v>F7.1-2.B</v>
          </cell>
          <cell r="D94" t="str">
            <v>Erdarbeiten, Baugrube</v>
          </cell>
          <cell r="G94">
            <v>0</v>
          </cell>
          <cell r="H94" t="str">
            <v>€/Instandsetzung</v>
          </cell>
          <cell r="I94">
            <v>100</v>
          </cell>
          <cell r="J94" t="str">
            <v>E2.B</v>
          </cell>
          <cell r="M94">
            <v>0</v>
          </cell>
          <cell r="N94" t="str">
            <v>€</v>
          </cell>
          <cell r="O94">
            <v>8156.31391050205</v>
          </cell>
          <cell r="P94" t="str">
            <v>kg CO2 eq.</v>
          </cell>
          <cell r="Q94">
            <v>-3.3804214919991038</v>
          </cell>
          <cell r="R94" t="str">
            <v>kg CO2 eq.</v>
          </cell>
          <cell r="S94">
            <v>8159.6943319940492</v>
          </cell>
          <cell r="T94" t="str">
            <v>kg CO2 eq.</v>
          </cell>
          <cell r="U94">
            <v>132713.0418102183</v>
          </cell>
          <cell r="V94" t="str">
            <v>MJ</v>
          </cell>
          <cell r="Y94">
            <v>0</v>
          </cell>
          <cell r="Z94" t="str">
            <v>kg CO2 eq.</v>
          </cell>
          <cell r="AA94">
            <v>0</v>
          </cell>
          <cell r="AB94" t="str">
            <v>kg CO2 eq.</v>
          </cell>
          <cell r="AC94">
            <v>0</v>
          </cell>
          <cell r="AD94" t="str">
            <v>kg CO2 eq.</v>
          </cell>
          <cell r="AE94">
            <v>0</v>
          </cell>
          <cell r="AF94" t="str">
            <v>MJ</v>
          </cell>
        </row>
        <row r="95">
          <cell r="C95" t="str">
            <v>F7.1-2.C</v>
          </cell>
          <cell r="D95" t="str">
            <v>Gründungen, Bodenkonstruktionen</v>
          </cell>
          <cell r="G95">
            <v>0</v>
          </cell>
          <cell r="H95" t="str">
            <v>€/Instandsetzung</v>
          </cell>
          <cell r="I95">
            <v>100</v>
          </cell>
          <cell r="J95" t="str">
            <v>E2.C</v>
          </cell>
          <cell r="M95">
            <v>0</v>
          </cell>
          <cell r="N95" t="str">
            <v>€</v>
          </cell>
          <cell r="O95">
            <v>95963.57988676746</v>
          </cell>
          <cell r="P95" t="str">
            <v>kg CO2 eq.</v>
          </cell>
          <cell r="Q95">
            <v>-92.658743339131519</v>
          </cell>
          <cell r="R95" t="str">
            <v>kg CO2 eq.</v>
          </cell>
          <cell r="S95">
            <v>96056.2386301066</v>
          </cell>
          <cell r="T95" t="str">
            <v>kg CO2 eq.</v>
          </cell>
          <cell r="U95">
            <v>1192799.4044987005</v>
          </cell>
          <cell r="V95" t="str">
            <v>MJ</v>
          </cell>
          <cell r="Y95">
            <v>0</v>
          </cell>
          <cell r="Z95" t="str">
            <v>kg CO2 eq.</v>
          </cell>
          <cell r="AA95">
            <v>0</v>
          </cell>
          <cell r="AB95" t="str">
            <v>kg CO2 eq.</v>
          </cell>
          <cell r="AC95">
            <v>0</v>
          </cell>
          <cell r="AD95" t="str">
            <v>kg CO2 eq.</v>
          </cell>
          <cell r="AE95">
            <v>0</v>
          </cell>
          <cell r="AF95" t="str">
            <v>MJ</v>
          </cell>
        </row>
        <row r="96">
          <cell r="D96" t="str">
            <v>Flachgründungen</v>
          </cell>
          <cell r="J96" t="str">
            <v>E2.C.03</v>
          </cell>
          <cell r="O96">
            <v>5057.6756306844163</v>
          </cell>
          <cell r="P96" t="str">
            <v>kg CO2 eq.</v>
          </cell>
          <cell r="Q96">
            <v>0</v>
          </cell>
          <cell r="R96" t="str">
            <v>kg CO2 eq.</v>
          </cell>
          <cell r="S96">
            <v>5057.6756306844163</v>
          </cell>
          <cell r="T96" t="str">
            <v>kg CO2 eq.</v>
          </cell>
          <cell r="U96">
            <v>112547.82675171785</v>
          </cell>
          <cell r="V96" t="str">
            <v>MJ</v>
          </cell>
          <cell r="Y96">
            <v>0</v>
          </cell>
          <cell r="Z96" t="str">
            <v>kg CO2 eq.</v>
          </cell>
          <cell r="AA96">
            <v>0</v>
          </cell>
          <cell r="AB96" t="str">
            <v>kg CO2 eq.</v>
          </cell>
          <cell r="AC96">
            <v>0</v>
          </cell>
          <cell r="AD96" t="str">
            <v>kg CO2 eq.</v>
          </cell>
          <cell r="AE96">
            <v>0</v>
          </cell>
          <cell r="AF96" t="str">
            <v>MJ</v>
          </cell>
        </row>
        <row r="97">
          <cell r="D97" t="str">
            <v>Fundamentplatte inkl. Rollierung</v>
          </cell>
          <cell r="I97">
            <v>1000</v>
          </cell>
          <cell r="J97" t="str">
            <v>E2.C.03a</v>
          </cell>
          <cell r="O97">
            <v>0</v>
          </cell>
          <cell r="P97" t="str">
            <v>kg CO2 eq.</v>
          </cell>
          <cell r="Q97">
            <v>0</v>
          </cell>
          <cell r="R97" t="str">
            <v>kg CO2 eq.</v>
          </cell>
          <cell r="S97">
            <v>0</v>
          </cell>
          <cell r="T97" t="str">
            <v>kg CO2 eq.</v>
          </cell>
          <cell r="U97">
            <v>0</v>
          </cell>
          <cell r="V97" t="str">
            <v>MJ</v>
          </cell>
          <cell r="Y97">
            <v>0</v>
          </cell>
          <cell r="Z97" t="str">
            <v>kg CO2 eq.</v>
          </cell>
          <cell r="AA97">
            <v>0</v>
          </cell>
          <cell r="AB97" t="str">
            <v>kg CO2 eq.</v>
          </cell>
          <cell r="AC97">
            <v>0</v>
          </cell>
          <cell r="AD97" t="str">
            <v>kg CO2 eq.</v>
          </cell>
          <cell r="AE97">
            <v>0</v>
          </cell>
          <cell r="AF97" t="str">
            <v>MJ</v>
          </cell>
        </row>
        <row r="98">
          <cell r="D98" t="str">
            <v>Wärmedämmung</v>
          </cell>
          <cell r="I98">
            <v>100</v>
          </cell>
          <cell r="J98" t="str">
            <v>E2.C.03b</v>
          </cell>
          <cell r="O98">
            <v>5057.6756306844163</v>
          </cell>
          <cell r="P98" t="str">
            <v>kg CO2 eq.</v>
          </cell>
          <cell r="Q98">
            <v>0</v>
          </cell>
          <cell r="R98" t="str">
            <v>kg CO2 eq.</v>
          </cell>
          <cell r="S98">
            <v>5057.6756306844163</v>
          </cell>
          <cell r="T98" t="str">
            <v>kg CO2 eq.</v>
          </cell>
          <cell r="U98">
            <v>112547.82675171785</v>
          </cell>
          <cell r="V98" t="str">
            <v>MJ</v>
          </cell>
          <cell r="Y98">
            <v>0</v>
          </cell>
          <cell r="Z98" t="str">
            <v>kg CO2 eq.</v>
          </cell>
          <cell r="AA98">
            <v>0</v>
          </cell>
          <cell r="AB98" t="str">
            <v>kg CO2 eq.</v>
          </cell>
          <cell r="AC98">
            <v>0</v>
          </cell>
          <cell r="AD98" t="str">
            <v>kg CO2 eq.</v>
          </cell>
          <cell r="AE98">
            <v>0</v>
          </cell>
          <cell r="AF98" t="str">
            <v>MJ</v>
          </cell>
        </row>
        <row r="99">
          <cell r="D99" t="str">
            <v>Bodenaufbau (Estrich)</v>
          </cell>
          <cell r="I99">
            <v>1000</v>
          </cell>
          <cell r="J99" t="str">
            <v>E2.C.03c</v>
          </cell>
          <cell r="O99">
            <v>0</v>
          </cell>
          <cell r="P99" t="str">
            <v>kg CO2 eq.</v>
          </cell>
          <cell r="Q99">
            <v>0</v>
          </cell>
          <cell r="R99" t="str">
            <v>kg CO2 eq.</v>
          </cell>
          <cell r="S99">
            <v>0</v>
          </cell>
          <cell r="T99" t="str">
            <v>kg CO2 eq.</v>
          </cell>
          <cell r="U99">
            <v>0</v>
          </cell>
          <cell r="V99" t="str">
            <v>MJ</v>
          </cell>
          <cell r="Y99">
            <v>0</v>
          </cell>
          <cell r="Z99" t="str">
            <v>kg CO2 eq.</v>
          </cell>
          <cell r="AA99">
            <v>0</v>
          </cell>
          <cell r="AB99" t="str">
            <v>kg CO2 eq.</v>
          </cell>
          <cell r="AC99">
            <v>0</v>
          </cell>
          <cell r="AD99" t="str">
            <v>kg CO2 eq.</v>
          </cell>
          <cell r="AE99">
            <v>0</v>
          </cell>
          <cell r="AF99" t="str">
            <v>MJ</v>
          </cell>
        </row>
        <row r="100">
          <cell r="D100" t="str">
            <v>Bodenkonstruktionen</v>
          </cell>
          <cell r="J100" t="str">
            <v>E2.C.04</v>
          </cell>
          <cell r="O100">
            <v>89893.865569515416</v>
          </cell>
          <cell r="P100" t="str">
            <v>kg CO2 eq.</v>
          </cell>
          <cell r="Q100">
            <v>-92.658743339131519</v>
          </cell>
          <cell r="R100" t="str">
            <v>kg CO2 eq.</v>
          </cell>
          <cell r="S100">
            <v>89986.524312854555</v>
          </cell>
          <cell r="T100" t="str">
            <v>kg CO2 eq.</v>
          </cell>
          <cell r="U100">
            <v>1062648.7500059654</v>
          </cell>
          <cell r="V100" t="str">
            <v>MJ</v>
          </cell>
          <cell r="Y100">
            <v>0</v>
          </cell>
          <cell r="Z100" t="str">
            <v>kg CO2 eq.</v>
          </cell>
          <cell r="AA100">
            <v>0</v>
          </cell>
          <cell r="AB100" t="str">
            <v>kg CO2 eq.</v>
          </cell>
          <cell r="AC100">
            <v>0</v>
          </cell>
          <cell r="AD100" t="str">
            <v>kg CO2 eq.</v>
          </cell>
          <cell r="AE100">
            <v>0</v>
          </cell>
          <cell r="AF100" t="str">
            <v>MJ</v>
          </cell>
        </row>
        <row r="101">
          <cell r="D101" t="str">
            <v>Fundamentplatte inkl. Rollierung</v>
          </cell>
          <cell r="I101">
            <v>100</v>
          </cell>
          <cell r="J101" t="str">
            <v>E2.C.04a</v>
          </cell>
          <cell r="O101">
            <v>59125.217184713001</v>
          </cell>
          <cell r="P101" t="str">
            <v>kg CO2 eq.</v>
          </cell>
          <cell r="Q101">
            <v>-60.192771209205134</v>
          </cell>
          <cell r="R101" t="str">
            <v>kg CO2 eq.</v>
          </cell>
          <cell r="S101">
            <v>59185.409955922209</v>
          </cell>
          <cell r="T101" t="str">
            <v>kg CO2 eq.</v>
          </cell>
          <cell r="U101">
            <v>509864.41003735369</v>
          </cell>
          <cell r="V101" t="str">
            <v>MJ</v>
          </cell>
          <cell r="Y101">
            <v>0</v>
          </cell>
          <cell r="Z101" t="str">
            <v>kg CO2 eq.</v>
          </cell>
          <cell r="AA101">
            <v>0</v>
          </cell>
          <cell r="AB101" t="str">
            <v>kg CO2 eq.</v>
          </cell>
          <cell r="AC101">
            <v>0</v>
          </cell>
          <cell r="AD101" t="str">
            <v>kg CO2 eq.</v>
          </cell>
          <cell r="AE101">
            <v>0</v>
          </cell>
          <cell r="AF101" t="str">
            <v>MJ</v>
          </cell>
        </row>
        <row r="102">
          <cell r="D102" t="str">
            <v>Wärmedämmung</v>
          </cell>
          <cell r="I102">
            <v>50</v>
          </cell>
          <cell r="J102" t="str">
            <v>E2.C.04b</v>
          </cell>
          <cell r="O102">
            <v>13197.650457343316</v>
          </cell>
          <cell r="P102" t="str">
            <v>kg CO2 eq.</v>
          </cell>
          <cell r="Q102">
            <v>0</v>
          </cell>
          <cell r="R102" t="str">
            <v>kg CO2 eq.</v>
          </cell>
          <cell r="S102">
            <v>13197.650457343316</v>
          </cell>
          <cell r="T102" t="str">
            <v>kg CO2 eq.</v>
          </cell>
          <cell r="U102">
            <v>313053.76955080149</v>
          </cell>
          <cell r="V102" t="str">
            <v>MJ</v>
          </cell>
          <cell r="Y102">
            <v>0</v>
          </cell>
          <cell r="Z102" t="str">
            <v>kg CO2 eq.</v>
          </cell>
          <cell r="AA102">
            <v>0</v>
          </cell>
          <cell r="AB102" t="str">
            <v>kg CO2 eq.</v>
          </cell>
          <cell r="AC102">
            <v>0</v>
          </cell>
          <cell r="AD102" t="str">
            <v>kg CO2 eq.</v>
          </cell>
          <cell r="AE102">
            <v>0</v>
          </cell>
          <cell r="AF102" t="str">
            <v>MJ</v>
          </cell>
        </row>
        <row r="103">
          <cell r="D103" t="str">
            <v>Bodenaufbau (Estrich)</v>
          </cell>
          <cell r="I103">
            <v>50</v>
          </cell>
          <cell r="J103" t="str">
            <v>E2.C.04c</v>
          </cell>
          <cell r="O103">
            <v>17570.99792745911</v>
          </cell>
          <cell r="P103" t="str">
            <v>kg CO2 eq.</v>
          </cell>
          <cell r="Q103">
            <v>-32.465972129926392</v>
          </cell>
          <cell r="R103" t="str">
            <v>kg CO2 eq.</v>
          </cell>
          <cell r="S103">
            <v>17603.463899589024</v>
          </cell>
          <cell r="T103" t="str">
            <v>kg CO2 eq.</v>
          </cell>
          <cell r="U103">
            <v>239730.57041781026</v>
          </cell>
          <cell r="V103" t="str">
            <v>MJ</v>
          </cell>
          <cell r="Y103">
            <v>0</v>
          </cell>
          <cell r="Z103" t="str">
            <v>kg CO2 eq.</v>
          </cell>
          <cell r="AA103">
            <v>0</v>
          </cell>
          <cell r="AB103" t="str">
            <v>kg CO2 eq.</v>
          </cell>
          <cell r="AC103">
            <v>0</v>
          </cell>
          <cell r="AD103" t="str">
            <v>kg CO2 eq.</v>
          </cell>
          <cell r="AE103">
            <v>0</v>
          </cell>
          <cell r="AF103" t="str">
            <v>MJ</v>
          </cell>
        </row>
        <row r="104">
          <cell r="D104" t="str">
            <v>Bauwerksabdichtungen</v>
          </cell>
          <cell r="I104">
            <v>1000</v>
          </cell>
          <cell r="J104" t="str">
            <v>E2.C.05</v>
          </cell>
          <cell r="O104">
            <v>0</v>
          </cell>
          <cell r="P104" t="str">
            <v>kg CO2 eq.</v>
          </cell>
          <cell r="Q104">
            <v>0</v>
          </cell>
          <cell r="R104" t="str">
            <v>kg CO2 eq.</v>
          </cell>
          <cell r="S104">
            <v>0</v>
          </cell>
          <cell r="T104" t="str">
            <v>kg CO2 eq.</v>
          </cell>
          <cell r="U104">
            <v>0</v>
          </cell>
          <cell r="V104" t="str">
            <v>MJ</v>
          </cell>
          <cell r="Y104">
            <v>0</v>
          </cell>
          <cell r="Z104" t="str">
            <v>kg CO2 eq.</v>
          </cell>
          <cell r="AA104">
            <v>0</v>
          </cell>
          <cell r="AB104" t="str">
            <v>kg CO2 eq.</v>
          </cell>
          <cell r="AC104">
            <v>0</v>
          </cell>
          <cell r="AD104" t="str">
            <v>kg CO2 eq.</v>
          </cell>
          <cell r="AE104">
            <v>0</v>
          </cell>
          <cell r="AF104" t="str">
            <v>MJ</v>
          </cell>
        </row>
        <row r="105">
          <cell r="D105" t="str">
            <v>Sonstige Gründungen, Bodenkonstruktionen</v>
          </cell>
          <cell r="I105">
            <v>100</v>
          </cell>
          <cell r="J105" t="str">
            <v>E2.C.S</v>
          </cell>
        </row>
        <row r="106">
          <cell r="D106" t="str">
            <v>Beton und Stahl für Fundament</v>
          </cell>
          <cell r="J106" t="str">
            <v>E2.C.Fun</v>
          </cell>
          <cell r="O106">
            <v>1012.0386865676335</v>
          </cell>
          <cell r="P106" t="str">
            <v>kg CO2 eq.</v>
          </cell>
          <cell r="Q106">
            <v>0</v>
          </cell>
          <cell r="R106" t="str">
            <v>kg CO2 eq.</v>
          </cell>
          <cell r="S106">
            <v>1012.0386865676335</v>
          </cell>
          <cell r="T106" t="str">
            <v>kg CO2 eq.</v>
          </cell>
          <cell r="U106">
            <v>17602.827741017332</v>
          </cell>
          <cell r="V106" t="str">
            <v>MJ</v>
          </cell>
          <cell r="Y106">
            <v>0</v>
          </cell>
          <cell r="Z106" t="str">
            <v>kg CO2 eq.</v>
          </cell>
          <cell r="AA106">
            <v>0</v>
          </cell>
          <cell r="AB106" t="str">
            <v>kg CO2 eq.</v>
          </cell>
          <cell r="AC106">
            <v>0</v>
          </cell>
          <cell r="AD106" t="str">
            <v>kg CO2 eq.</v>
          </cell>
          <cell r="AE106">
            <v>0</v>
          </cell>
          <cell r="AF106" t="str">
            <v>MJ</v>
          </cell>
        </row>
        <row r="107">
          <cell r="D107" t="str">
            <v>Normalbeton</v>
          </cell>
          <cell r="I107">
            <v>100</v>
          </cell>
          <cell r="J107" t="str">
            <v>E2.C.Fun.a</v>
          </cell>
          <cell r="O107">
            <v>0</v>
          </cell>
          <cell r="P107" t="str">
            <v>kg CO2 eq.</v>
          </cell>
          <cell r="Q107">
            <v>0</v>
          </cell>
          <cell r="R107" t="str">
            <v>kg CO2 eq.</v>
          </cell>
          <cell r="S107">
            <v>0</v>
          </cell>
          <cell r="T107" t="str">
            <v>kg CO2 eq.</v>
          </cell>
          <cell r="U107">
            <v>0</v>
          </cell>
          <cell r="V107" t="str">
            <v>MJ</v>
          </cell>
          <cell r="Y107">
            <v>0</v>
          </cell>
          <cell r="Z107" t="str">
            <v>kg CO2 eq.</v>
          </cell>
          <cell r="AA107">
            <v>0</v>
          </cell>
          <cell r="AB107" t="str">
            <v>kg CO2 eq.</v>
          </cell>
          <cell r="AC107">
            <v>0</v>
          </cell>
          <cell r="AD107" t="str">
            <v>kg CO2 eq.</v>
          </cell>
          <cell r="AE107">
            <v>0</v>
          </cell>
          <cell r="AF107" t="str">
            <v>MJ</v>
          </cell>
        </row>
        <row r="108">
          <cell r="D108" t="str">
            <v>Armierungsstahl</v>
          </cell>
          <cell r="I108">
            <v>100</v>
          </cell>
          <cell r="J108" t="str">
            <v>E2.C.Fun.b</v>
          </cell>
          <cell r="O108">
            <v>0</v>
          </cell>
          <cell r="P108" t="str">
            <v>kg CO2 eq.</v>
          </cell>
          <cell r="Q108">
            <v>0</v>
          </cell>
          <cell r="R108" t="str">
            <v>kg CO2 eq.</v>
          </cell>
          <cell r="S108">
            <v>0</v>
          </cell>
          <cell r="T108" t="str">
            <v>kg CO2 eq.</v>
          </cell>
          <cell r="U108">
            <v>0</v>
          </cell>
          <cell r="V108" t="str">
            <v>MJ</v>
          </cell>
          <cell r="Y108">
            <v>0</v>
          </cell>
          <cell r="Z108" t="str">
            <v>kg CO2 eq.</v>
          </cell>
          <cell r="AA108">
            <v>0</v>
          </cell>
          <cell r="AB108" t="str">
            <v>kg CO2 eq.</v>
          </cell>
          <cell r="AC108">
            <v>0</v>
          </cell>
          <cell r="AD108" t="str">
            <v>kg CO2 eq.</v>
          </cell>
          <cell r="AE108">
            <v>0</v>
          </cell>
          <cell r="AF108" t="str">
            <v>MJ</v>
          </cell>
        </row>
        <row r="109">
          <cell r="D109" t="str">
            <v>Kies</v>
          </cell>
          <cell r="I109">
            <v>100</v>
          </cell>
          <cell r="J109" t="str">
            <v>E2.C.Fun.c</v>
          </cell>
          <cell r="O109">
            <v>1012.0386865676335</v>
          </cell>
          <cell r="P109" t="str">
            <v>kg CO2 eq.</v>
          </cell>
          <cell r="Q109">
            <v>0</v>
          </cell>
          <cell r="R109" t="str">
            <v>kg CO2 eq.</v>
          </cell>
          <cell r="S109">
            <v>1012.0386865676335</v>
          </cell>
          <cell r="T109" t="str">
            <v>kg CO2 eq.</v>
          </cell>
          <cell r="U109">
            <v>17602.827741017332</v>
          </cell>
          <cell r="V109" t="str">
            <v>MJ</v>
          </cell>
          <cell r="Y109">
            <v>0</v>
          </cell>
          <cell r="Z109" t="str">
            <v>kg CO2 eq.</v>
          </cell>
          <cell r="AA109">
            <v>0</v>
          </cell>
          <cell r="AB109" t="str">
            <v>kg CO2 eq.</v>
          </cell>
          <cell r="AC109">
            <v>0</v>
          </cell>
          <cell r="AD109" t="str">
            <v>kg CO2 eq.</v>
          </cell>
          <cell r="AE109">
            <v>0</v>
          </cell>
          <cell r="AF109" t="str">
            <v>MJ</v>
          </cell>
        </row>
        <row r="110">
          <cell r="C110" t="str">
            <v>F7.1-2.D</v>
          </cell>
          <cell r="D110" t="str">
            <v>Horizontale Baukonstruktionen</v>
          </cell>
          <cell r="M110">
            <v>0</v>
          </cell>
          <cell r="N110" t="str">
            <v>€</v>
          </cell>
          <cell r="O110">
            <v>29090.770449560343</v>
          </cell>
          <cell r="Q110">
            <v>-16502.753582239391</v>
          </cell>
          <cell r="S110">
            <v>45593.52403179973</v>
          </cell>
          <cell r="U110">
            <v>1349762.2997784035</v>
          </cell>
          <cell r="Y110">
            <v>0</v>
          </cell>
          <cell r="AA110">
            <v>0</v>
          </cell>
          <cell r="AC110">
            <v>0</v>
          </cell>
          <cell r="AE110">
            <v>0</v>
          </cell>
        </row>
        <row r="111">
          <cell r="C111" t="str">
            <v>F7.1-2.D.01</v>
          </cell>
          <cell r="D111" t="str">
            <v>Deckenkonstruktionen</v>
          </cell>
          <cell r="G111">
            <v>0</v>
          </cell>
          <cell r="H111" t="str">
            <v>€/Instandsetzung</v>
          </cell>
          <cell r="I111">
            <v>100</v>
          </cell>
          <cell r="J111" t="str">
            <v>E2.D.01</v>
          </cell>
          <cell r="M111">
            <v>0</v>
          </cell>
          <cell r="N111" t="str">
            <v>€</v>
          </cell>
          <cell r="O111">
            <v>0</v>
          </cell>
          <cell r="P111" t="str">
            <v>kg CO2 eq.</v>
          </cell>
          <cell r="Q111">
            <v>0</v>
          </cell>
          <cell r="R111" t="str">
            <v>kg CO2 eq.</v>
          </cell>
          <cell r="S111">
            <v>0</v>
          </cell>
          <cell r="T111" t="str">
            <v>kg CO2 eq.</v>
          </cell>
          <cell r="U111">
            <v>0</v>
          </cell>
          <cell r="V111" t="str">
            <v>MJ</v>
          </cell>
          <cell r="Y111">
            <v>0</v>
          </cell>
          <cell r="Z111" t="str">
            <v>kg CO2 eq.</v>
          </cell>
          <cell r="AA111">
            <v>0</v>
          </cell>
          <cell r="AB111" t="str">
            <v>kg CO2 eq.</v>
          </cell>
          <cell r="AC111">
            <v>0</v>
          </cell>
          <cell r="AD111" t="str">
            <v>kg CO2 eq.</v>
          </cell>
          <cell r="AE111">
            <v>0</v>
          </cell>
          <cell r="AF111" t="str">
            <v>MJ</v>
          </cell>
        </row>
        <row r="112">
          <cell r="D112" t="str">
            <v>Kellerdecke (KD; Bruttofläche)</v>
          </cell>
          <cell r="I112">
            <v>100</v>
          </cell>
          <cell r="J112" t="str">
            <v>E2.D.01.K</v>
          </cell>
          <cell r="O112">
            <v>0</v>
          </cell>
          <cell r="P112" t="str">
            <v>kg CO2 eq.</v>
          </cell>
          <cell r="Q112">
            <v>0</v>
          </cell>
          <cell r="R112" t="str">
            <v>kg CO2 eq.</v>
          </cell>
          <cell r="S112">
            <v>0</v>
          </cell>
          <cell r="T112" t="str">
            <v>kg CO2 eq.</v>
          </cell>
          <cell r="U112">
            <v>0</v>
          </cell>
          <cell r="V112" t="str">
            <v>MJ</v>
          </cell>
          <cell r="Y112">
            <v>0</v>
          </cell>
          <cell r="Z112" t="str">
            <v>kg CO2 eq.</v>
          </cell>
          <cell r="AA112">
            <v>0</v>
          </cell>
          <cell r="AB112" t="str">
            <v>kg CO2 eq.</v>
          </cell>
          <cell r="AC112">
            <v>0</v>
          </cell>
          <cell r="AD112" t="str">
            <v>kg CO2 eq.</v>
          </cell>
          <cell r="AE112">
            <v>0</v>
          </cell>
          <cell r="AF112" t="str">
            <v>MJ</v>
          </cell>
        </row>
        <row r="113">
          <cell r="D113" t="str">
            <v>Wärmedämmung für KD (Nettofläche)</v>
          </cell>
          <cell r="I113">
            <v>1000</v>
          </cell>
          <cell r="J113" t="str">
            <v>E2.D.01.Ka</v>
          </cell>
          <cell r="O113">
            <v>0</v>
          </cell>
          <cell r="P113" t="str">
            <v>kg CO2 eq.</v>
          </cell>
          <cell r="Q113">
            <v>0</v>
          </cell>
          <cell r="R113" t="str">
            <v>kg CO2 eq.</v>
          </cell>
          <cell r="S113">
            <v>0</v>
          </cell>
          <cell r="T113" t="str">
            <v>kg CO2 eq.</v>
          </cell>
          <cell r="U113">
            <v>0</v>
          </cell>
          <cell r="V113" t="str">
            <v>MJ</v>
          </cell>
          <cell r="Y113">
            <v>0</v>
          </cell>
          <cell r="Z113" t="str">
            <v>kg CO2 eq.</v>
          </cell>
          <cell r="AA113">
            <v>0</v>
          </cell>
          <cell r="AB113" t="str">
            <v>kg CO2 eq.</v>
          </cell>
          <cell r="AC113">
            <v>0</v>
          </cell>
          <cell r="AD113" t="str">
            <v>kg CO2 eq.</v>
          </cell>
          <cell r="AE113">
            <v>0</v>
          </cell>
          <cell r="AF113" t="str">
            <v>MJ</v>
          </cell>
        </row>
        <row r="114">
          <cell r="D114" t="str">
            <v>Estrich auf KD (Nettofläche)</v>
          </cell>
          <cell r="I114">
            <v>1000</v>
          </cell>
          <cell r="J114" t="str">
            <v>E2.D.01.Kc</v>
          </cell>
          <cell r="O114">
            <v>0</v>
          </cell>
          <cell r="P114" t="str">
            <v>kg CO2 eq.</v>
          </cell>
          <cell r="Q114">
            <v>0</v>
          </cell>
          <cell r="R114" t="str">
            <v>kg CO2 eq.</v>
          </cell>
          <cell r="S114">
            <v>0</v>
          </cell>
          <cell r="T114" t="str">
            <v>kg CO2 eq.</v>
          </cell>
          <cell r="U114">
            <v>0</v>
          </cell>
          <cell r="V114" t="str">
            <v>MJ</v>
          </cell>
          <cell r="Y114">
            <v>0</v>
          </cell>
          <cell r="Z114" t="str">
            <v>kg CO2 eq.</v>
          </cell>
          <cell r="AA114">
            <v>0</v>
          </cell>
          <cell r="AB114" t="str">
            <v>kg CO2 eq.</v>
          </cell>
          <cell r="AC114">
            <v>0</v>
          </cell>
          <cell r="AD114" t="str">
            <v>kg CO2 eq.</v>
          </cell>
          <cell r="AE114">
            <v>0</v>
          </cell>
          <cell r="AF114" t="str">
            <v>MJ</v>
          </cell>
        </row>
        <row r="115">
          <cell r="D115" t="str">
            <v>Geschoßdecken (GD; Bruttofläche)</v>
          </cell>
          <cell r="I115">
            <v>100</v>
          </cell>
          <cell r="J115" t="str">
            <v>E2.D.01.G</v>
          </cell>
          <cell r="O115">
            <v>0</v>
          </cell>
          <cell r="P115" t="str">
            <v>kg CO2 eq.</v>
          </cell>
          <cell r="Q115">
            <v>0</v>
          </cell>
          <cell r="R115" t="str">
            <v>kg CO2 eq.</v>
          </cell>
          <cell r="S115">
            <v>0</v>
          </cell>
          <cell r="T115" t="str">
            <v>kg CO2 eq.</v>
          </cell>
          <cell r="U115">
            <v>0</v>
          </cell>
          <cell r="V115" t="str">
            <v>MJ</v>
          </cell>
          <cell r="Y115">
            <v>0</v>
          </cell>
          <cell r="Z115" t="str">
            <v>kg CO2 eq.</v>
          </cell>
          <cell r="AA115">
            <v>0</v>
          </cell>
          <cell r="AB115" t="str">
            <v>kg CO2 eq.</v>
          </cell>
          <cell r="AC115">
            <v>0</v>
          </cell>
          <cell r="AD115" t="str">
            <v>kg CO2 eq.</v>
          </cell>
          <cell r="AE115">
            <v>0</v>
          </cell>
          <cell r="AF115" t="str">
            <v>MJ</v>
          </cell>
        </row>
        <row r="116">
          <cell r="D116" t="str">
            <v>Estrich auf GD (Nettofläche)</v>
          </cell>
          <cell r="I116">
            <v>1000</v>
          </cell>
          <cell r="J116" t="str">
            <v>E2.D.01.Ga</v>
          </cell>
          <cell r="O116">
            <v>0</v>
          </cell>
          <cell r="P116" t="str">
            <v>kg CO2 eq.</v>
          </cell>
          <cell r="Q116">
            <v>0</v>
          </cell>
          <cell r="R116" t="str">
            <v>kg CO2 eq.</v>
          </cell>
          <cell r="S116">
            <v>0</v>
          </cell>
          <cell r="T116" t="str">
            <v>kg CO2 eq.</v>
          </cell>
          <cell r="U116">
            <v>0</v>
          </cell>
          <cell r="V116" t="str">
            <v>MJ</v>
          </cell>
          <cell r="Y116">
            <v>0</v>
          </cell>
          <cell r="Z116" t="str">
            <v>kg CO2 eq.</v>
          </cell>
          <cell r="AA116">
            <v>0</v>
          </cell>
          <cell r="AB116" t="str">
            <v>kg CO2 eq.</v>
          </cell>
          <cell r="AC116">
            <v>0</v>
          </cell>
          <cell r="AD116" t="str">
            <v>kg CO2 eq.</v>
          </cell>
          <cell r="AE116">
            <v>0</v>
          </cell>
          <cell r="AF116" t="str">
            <v>MJ</v>
          </cell>
        </row>
        <row r="117">
          <cell r="D117" t="str">
            <v>Vorkragende Decken (AD; Bruttofläche)</v>
          </cell>
          <cell r="I117">
            <v>100</v>
          </cell>
          <cell r="J117" t="str">
            <v>E2.D.01.A</v>
          </cell>
          <cell r="O117">
            <v>0</v>
          </cell>
          <cell r="P117" t="str">
            <v>kg CO2 eq.</v>
          </cell>
          <cell r="Q117">
            <v>0</v>
          </cell>
          <cell r="R117" t="str">
            <v>kg CO2 eq.</v>
          </cell>
          <cell r="S117">
            <v>0</v>
          </cell>
          <cell r="T117" t="str">
            <v>kg CO2 eq.</v>
          </cell>
          <cell r="U117">
            <v>0</v>
          </cell>
          <cell r="V117" t="str">
            <v>MJ</v>
          </cell>
          <cell r="Y117">
            <v>0</v>
          </cell>
          <cell r="Z117" t="str">
            <v>kg CO2 eq.</v>
          </cell>
          <cell r="AA117">
            <v>0</v>
          </cell>
          <cell r="AB117" t="str">
            <v>kg CO2 eq.</v>
          </cell>
          <cell r="AC117">
            <v>0</v>
          </cell>
          <cell r="AD117" t="str">
            <v>kg CO2 eq.</v>
          </cell>
          <cell r="AE117">
            <v>0</v>
          </cell>
          <cell r="AF117" t="str">
            <v>MJ</v>
          </cell>
        </row>
        <row r="118">
          <cell r="D118" t="str">
            <v>Wärmedämmung auf AD</v>
          </cell>
          <cell r="I118">
            <v>1000</v>
          </cell>
          <cell r="J118" t="str">
            <v>E2.D.01.Aa</v>
          </cell>
          <cell r="O118">
            <v>0</v>
          </cell>
          <cell r="P118" t="str">
            <v>kg CO2 eq.</v>
          </cell>
          <cell r="Q118">
            <v>0</v>
          </cell>
          <cell r="R118" t="str">
            <v>kg CO2 eq.</v>
          </cell>
          <cell r="S118">
            <v>0</v>
          </cell>
          <cell r="T118" t="str">
            <v>kg CO2 eq.</v>
          </cell>
          <cell r="U118">
            <v>0</v>
          </cell>
          <cell r="V118" t="str">
            <v>MJ</v>
          </cell>
          <cell r="Y118">
            <v>0</v>
          </cell>
          <cell r="Z118" t="str">
            <v>kg CO2 eq.</v>
          </cell>
          <cell r="AA118">
            <v>0</v>
          </cell>
          <cell r="AB118" t="str">
            <v>kg CO2 eq.</v>
          </cell>
          <cell r="AC118">
            <v>0</v>
          </cell>
          <cell r="AD118" t="str">
            <v>kg CO2 eq.</v>
          </cell>
          <cell r="AE118">
            <v>0</v>
          </cell>
          <cell r="AF118" t="str">
            <v>MJ</v>
          </cell>
        </row>
        <row r="119">
          <cell r="D119" t="str">
            <v>Estrich auf AD</v>
          </cell>
          <cell r="I119">
            <v>1000</v>
          </cell>
          <cell r="J119" t="str">
            <v>E2.D.01.Ac</v>
          </cell>
          <cell r="O119">
            <v>0</v>
          </cell>
          <cell r="P119" t="str">
            <v>kg CO2 eq.</v>
          </cell>
          <cell r="Q119">
            <v>0</v>
          </cell>
          <cell r="R119" t="str">
            <v>kg CO2 eq.</v>
          </cell>
          <cell r="S119">
            <v>0</v>
          </cell>
          <cell r="T119" t="str">
            <v>kg CO2 eq.</v>
          </cell>
          <cell r="U119">
            <v>0</v>
          </cell>
          <cell r="V119" t="str">
            <v>MJ</v>
          </cell>
          <cell r="Y119">
            <v>0</v>
          </cell>
          <cell r="Z119" t="str">
            <v>kg CO2 eq.</v>
          </cell>
          <cell r="AA119">
            <v>0</v>
          </cell>
          <cell r="AB119" t="str">
            <v>kg CO2 eq.</v>
          </cell>
          <cell r="AC119">
            <v>0</v>
          </cell>
          <cell r="AD119" t="str">
            <v>kg CO2 eq.</v>
          </cell>
          <cell r="AE119">
            <v>0</v>
          </cell>
          <cell r="AF119" t="str">
            <v>MJ</v>
          </cell>
        </row>
        <row r="120">
          <cell r="C120" t="str">
            <v>F7.1-2.D.02</v>
          </cell>
          <cell r="D120" t="str">
            <v>Treppenkonstruktionen</v>
          </cell>
          <cell r="G120">
            <v>0</v>
          </cell>
          <cell r="H120" t="str">
            <v>€/Instandsetzung</v>
          </cell>
          <cell r="I120">
            <v>100</v>
          </cell>
          <cell r="J120" t="str">
            <v>E2.D.02</v>
          </cell>
          <cell r="M120">
            <v>0</v>
          </cell>
          <cell r="N120" t="str">
            <v>€</v>
          </cell>
          <cell r="O120">
            <v>0</v>
          </cell>
          <cell r="P120" t="str">
            <v>kg CO2 eq.</v>
          </cell>
          <cell r="Q120">
            <v>0</v>
          </cell>
          <cell r="R120" t="str">
            <v>kg CO2 eq.</v>
          </cell>
          <cell r="S120">
            <v>0</v>
          </cell>
          <cell r="T120" t="str">
            <v>kg CO2 eq.</v>
          </cell>
          <cell r="U120">
            <v>0</v>
          </cell>
          <cell r="V120" t="str">
            <v>MJ</v>
          </cell>
          <cell r="Y120">
            <v>0</v>
          </cell>
          <cell r="Z120" t="str">
            <v>kg CO2 eq.</v>
          </cell>
          <cell r="AA120">
            <v>0</v>
          </cell>
          <cell r="AB120" t="str">
            <v>kg CO2 eq.</v>
          </cell>
          <cell r="AC120">
            <v>0</v>
          </cell>
          <cell r="AD120" t="str">
            <v>kg CO2 eq.</v>
          </cell>
          <cell r="AE120">
            <v>0</v>
          </cell>
          <cell r="AF120" t="str">
            <v>MJ</v>
          </cell>
        </row>
        <row r="121">
          <cell r="C121" t="str">
            <v>F7.1-2.D.03</v>
          </cell>
          <cell r="D121" t="str">
            <v>Dachkonstruktionen</v>
          </cell>
          <cell r="M121">
            <v>0</v>
          </cell>
          <cell r="N121" t="str">
            <v>€</v>
          </cell>
          <cell r="O121">
            <v>29090.770449560343</v>
          </cell>
          <cell r="Q121">
            <v>-16502.753582239391</v>
          </cell>
          <cell r="S121">
            <v>45593.52403179973</v>
          </cell>
          <cell r="U121">
            <v>1349762.2997784035</v>
          </cell>
          <cell r="Y121">
            <v>0</v>
          </cell>
          <cell r="AA121">
            <v>0</v>
          </cell>
          <cell r="AC121">
            <v>0</v>
          </cell>
          <cell r="AE121">
            <v>0</v>
          </cell>
        </row>
        <row r="122">
          <cell r="C122" t="str">
            <v>F7.1-2.D.03.a</v>
          </cell>
          <cell r="D122" t="str">
            <v>Dachkonstruktion 1</v>
          </cell>
          <cell r="G122">
            <v>0</v>
          </cell>
          <cell r="H122" t="str">
            <v>€/Instandsetzung</v>
          </cell>
          <cell r="I122">
            <v>1000</v>
          </cell>
          <cell r="J122" t="str">
            <v>E2.D.03.as</v>
          </cell>
          <cell r="M122">
            <v>0</v>
          </cell>
          <cell r="N122" t="str">
            <v>€</v>
          </cell>
          <cell r="O122">
            <v>29090.770449560343</v>
          </cell>
          <cell r="P122" t="str">
            <v>kg CO2 eq.</v>
          </cell>
          <cell r="Q122">
            <v>-16502.753582239391</v>
          </cell>
          <cell r="R122" t="str">
            <v>kg CO2 eq.</v>
          </cell>
          <cell r="S122">
            <v>45593.52403179973</v>
          </cell>
          <cell r="T122" t="str">
            <v>kg CO2 eq.</v>
          </cell>
          <cell r="U122">
            <v>1349762.2997784035</v>
          </cell>
          <cell r="V122" t="str">
            <v>MJ</v>
          </cell>
          <cell r="Y122">
            <v>0</v>
          </cell>
          <cell r="Z122" t="str">
            <v>kg CO2 eq.</v>
          </cell>
          <cell r="AA122">
            <v>0</v>
          </cell>
          <cell r="AB122" t="str">
            <v>kg CO2 eq.</v>
          </cell>
          <cell r="AC122">
            <v>0</v>
          </cell>
          <cell r="AD122" t="str">
            <v>kg CO2 eq.</v>
          </cell>
          <cell r="AE122">
            <v>0</v>
          </cell>
          <cell r="AF122" t="str">
            <v>MJ</v>
          </cell>
        </row>
        <row r="123">
          <cell r="D123" t="str">
            <v>Dach</v>
          </cell>
          <cell r="I123">
            <v>50</v>
          </cell>
          <cell r="J123" t="str">
            <v>E2.D.03.a</v>
          </cell>
          <cell r="O123">
            <v>-11590.862459977618</v>
          </cell>
          <cell r="P123" t="str">
            <v>kg CO2 eq.</v>
          </cell>
          <cell r="Q123">
            <v>-16483.123263514233</v>
          </cell>
          <cell r="R123" t="str">
            <v>kg CO2 eq.</v>
          </cell>
          <cell r="S123">
            <v>4892.2608035366111</v>
          </cell>
          <cell r="T123" t="str">
            <v>kg CO2 eq.</v>
          </cell>
          <cell r="U123">
            <v>126984.41677877717</v>
          </cell>
          <cell r="V123" t="str">
            <v>MJ</v>
          </cell>
          <cell r="Y123">
            <v>0</v>
          </cell>
          <cell r="Z123" t="str">
            <v>kg CO2 eq.</v>
          </cell>
          <cell r="AA123">
            <v>0</v>
          </cell>
          <cell r="AB123" t="str">
            <v>kg CO2 eq.</v>
          </cell>
          <cell r="AC123">
            <v>0</v>
          </cell>
          <cell r="AD123" t="str">
            <v>kg CO2 eq.</v>
          </cell>
          <cell r="AE123">
            <v>0</v>
          </cell>
          <cell r="AF123" t="str">
            <v>MJ</v>
          </cell>
        </row>
        <row r="124">
          <cell r="D124" t="str">
            <v>Dämmung</v>
          </cell>
          <cell r="I124">
            <v>50</v>
          </cell>
          <cell r="J124" t="str">
            <v>E2.D.03.a1</v>
          </cell>
          <cell r="O124">
            <v>35525.161590535099</v>
          </cell>
          <cell r="P124" t="str">
            <v>kg CO2 eq.</v>
          </cell>
          <cell r="Q124">
            <v>-10.707446577359875</v>
          </cell>
          <cell r="R124" t="str">
            <v>kg CO2 eq.</v>
          </cell>
          <cell r="S124">
            <v>35535.869037112454</v>
          </cell>
          <cell r="T124" t="str">
            <v>kg CO2 eq.</v>
          </cell>
          <cell r="U124">
            <v>958393.19864830386</v>
          </cell>
          <cell r="V124" t="str">
            <v>MJ</v>
          </cell>
          <cell r="Y124">
            <v>0</v>
          </cell>
          <cell r="Z124" t="str">
            <v>kg CO2 eq.</v>
          </cell>
          <cell r="AA124">
            <v>0</v>
          </cell>
          <cell r="AB124" t="str">
            <v>kg CO2 eq.</v>
          </cell>
          <cell r="AC124">
            <v>0</v>
          </cell>
          <cell r="AD124" t="str">
            <v>kg CO2 eq.</v>
          </cell>
          <cell r="AE124">
            <v>0</v>
          </cell>
          <cell r="AF124" t="str">
            <v>MJ</v>
          </cell>
        </row>
        <row r="125">
          <cell r="D125" t="str">
            <v>Unterdach</v>
          </cell>
          <cell r="I125">
            <v>1000</v>
          </cell>
          <cell r="J125" t="str">
            <v>E2.D.03.a2</v>
          </cell>
          <cell r="O125">
            <v>0</v>
          </cell>
          <cell r="P125" t="str">
            <v>kg CO2 eq.</v>
          </cell>
          <cell r="Q125">
            <v>0</v>
          </cell>
          <cell r="R125" t="str">
            <v>kg CO2 eq.</v>
          </cell>
          <cell r="S125">
            <v>0</v>
          </cell>
          <cell r="T125" t="str">
            <v>kg CO2 eq.</v>
          </cell>
          <cell r="U125">
            <v>0</v>
          </cell>
          <cell r="V125" t="str">
            <v>MJ</v>
          </cell>
          <cell r="Y125">
            <v>0</v>
          </cell>
          <cell r="Z125" t="str">
            <v>kg CO2 eq.</v>
          </cell>
          <cell r="AA125">
            <v>0</v>
          </cell>
          <cell r="AB125" t="str">
            <v>kg CO2 eq.</v>
          </cell>
          <cell r="AC125">
            <v>0</v>
          </cell>
          <cell r="AD125" t="str">
            <v>kg CO2 eq.</v>
          </cell>
          <cell r="AE125">
            <v>0</v>
          </cell>
          <cell r="AF125" t="str">
            <v>MJ</v>
          </cell>
        </row>
        <row r="126">
          <cell r="D126" t="str">
            <v>Dachabdichtung</v>
          </cell>
          <cell r="I126">
            <v>100</v>
          </cell>
          <cell r="J126" t="str">
            <v>E2.D.03.a3</v>
          </cell>
          <cell r="O126">
            <v>5156.4713190028606</v>
          </cell>
          <cell r="P126" t="str">
            <v>kg CO2 eq.</v>
          </cell>
          <cell r="Q126">
            <v>-8.9228721477998736</v>
          </cell>
          <cell r="R126" t="str">
            <v>kg CO2 eq.</v>
          </cell>
          <cell r="S126">
            <v>5165.3941911506599</v>
          </cell>
          <cell r="T126" t="str">
            <v>kg CO2 eq.</v>
          </cell>
          <cell r="U126">
            <v>264384.68435132253</v>
          </cell>
          <cell r="V126" t="str">
            <v>MJ</v>
          </cell>
          <cell r="Y126">
            <v>0</v>
          </cell>
          <cell r="Z126" t="str">
            <v>kg CO2 eq.</v>
          </cell>
          <cell r="AA126">
            <v>0</v>
          </cell>
          <cell r="AB126" t="str">
            <v>kg CO2 eq.</v>
          </cell>
          <cell r="AC126">
            <v>0</v>
          </cell>
          <cell r="AD126" t="str">
            <v>kg CO2 eq.</v>
          </cell>
          <cell r="AE126">
            <v>0</v>
          </cell>
          <cell r="AF126" t="str">
            <v>MJ</v>
          </cell>
        </row>
        <row r="127">
          <cell r="C127" t="str">
            <v>F7.1-2.D.03.b</v>
          </cell>
          <cell r="D127" t="str">
            <v>Dachkonstruktion 2</v>
          </cell>
          <cell r="G127">
            <v>0</v>
          </cell>
          <cell r="H127" t="str">
            <v>€/Instandsetzung</v>
          </cell>
          <cell r="I127">
            <v>1000</v>
          </cell>
          <cell r="J127" t="str">
            <v>E2.D.03.bs</v>
          </cell>
          <cell r="M127">
            <v>0</v>
          </cell>
          <cell r="N127" t="str">
            <v>€</v>
          </cell>
          <cell r="O127">
            <v>0</v>
          </cell>
          <cell r="P127" t="str">
            <v>kg CO2 eq.</v>
          </cell>
          <cell r="Q127">
            <v>0</v>
          </cell>
          <cell r="R127" t="str">
            <v>kg CO2 eq.</v>
          </cell>
          <cell r="S127">
            <v>0</v>
          </cell>
          <cell r="T127" t="str">
            <v>kg CO2 eq.</v>
          </cell>
          <cell r="U127">
            <v>0</v>
          </cell>
          <cell r="V127" t="str">
            <v>MJ</v>
          </cell>
          <cell r="Y127">
            <v>0</v>
          </cell>
          <cell r="Z127" t="str">
            <v>kg CO2 eq.</v>
          </cell>
          <cell r="AA127">
            <v>0</v>
          </cell>
          <cell r="AB127" t="str">
            <v>kg CO2 eq.</v>
          </cell>
          <cell r="AC127">
            <v>0</v>
          </cell>
          <cell r="AD127" t="str">
            <v>kg CO2 eq.</v>
          </cell>
          <cell r="AE127">
            <v>0</v>
          </cell>
          <cell r="AF127" t="str">
            <v>MJ</v>
          </cell>
        </row>
        <row r="128">
          <cell r="D128" t="str">
            <v>Dach</v>
          </cell>
          <cell r="I128">
            <v>1000</v>
          </cell>
          <cell r="J128" t="str">
            <v>E2.D.03.b</v>
          </cell>
          <cell r="O128">
            <v>0</v>
          </cell>
          <cell r="P128" t="str">
            <v>kg CO2 eq.</v>
          </cell>
          <cell r="Q128">
            <v>0</v>
          </cell>
          <cell r="R128" t="str">
            <v>kg CO2 eq.</v>
          </cell>
          <cell r="S128">
            <v>0</v>
          </cell>
          <cell r="T128" t="str">
            <v>kg CO2 eq.</v>
          </cell>
          <cell r="U128">
            <v>0</v>
          </cell>
          <cell r="V128" t="str">
            <v>MJ</v>
          </cell>
          <cell r="Y128">
            <v>0</v>
          </cell>
          <cell r="Z128" t="str">
            <v>kg CO2 eq.</v>
          </cell>
          <cell r="AA128">
            <v>0</v>
          </cell>
          <cell r="AB128" t="str">
            <v>kg CO2 eq.</v>
          </cell>
          <cell r="AC128">
            <v>0</v>
          </cell>
          <cell r="AD128" t="str">
            <v>kg CO2 eq.</v>
          </cell>
          <cell r="AE128">
            <v>0</v>
          </cell>
          <cell r="AF128" t="str">
            <v>MJ</v>
          </cell>
        </row>
        <row r="129">
          <cell r="D129" t="str">
            <v>Dämmung</v>
          </cell>
          <cell r="I129">
            <v>1000</v>
          </cell>
          <cell r="J129" t="str">
            <v>E2.D.03.b1</v>
          </cell>
          <cell r="O129">
            <v>0</v>
          </cell>
          <cell r="P129" t="str">
            <v>kg CO2 eq.</v>
          </cell>
          <cell r="Q129">
            <v>0</v>
          </cell>
          <cell r="R129" t="str">
            <v>kg CO2 eq.</v>
          </cell>
          <cell r="S129">
            <v>0</v>
          </cell>
          <cell r="T129" t="str">
            <v>kg CO2 eq.</v>
          </cell>
          <cell r="U129">
            <v>0</v>
          </cell>
          <cell r="V129" t="str">
            <v>MJ</v>
          </cell>
          <cell r="Y129">
            <v>0</v>
          </cell>
          <cell r="Z129" t="str">
            <v>kg CO2 eq.</v>
          </cell>
          <cell r="AA129">
            <v>0</v>
          </cell>
          <cell r="AB129" t="str">
            <v>kg CO2 eq.</v>
          </cell>
          <cell r="AC129">
            <v>0</v>
          </cell>
          <cell r="AD129" t="str">
            <v>kg CO2 eq.</v>
          </cell>
          <cell r="AE129">
            <v>0</v>
          </cell>
          <cell r="AF129" t="str">
            <v>MJ</v>
          </cell>
        </row>
        <row r="130">
          <cell r="D130" t="str">
            <v>Unterdach</v>
          </cell>
          <cell r="I130">
            <v>1000</v>
          </cell>
          <cell r="J130" t="str">
            <v>E2.D.03.b2</v>
          </cell>
          <cell r="O130">
            <v>0</v>
          </cell>
          <cell r="P130" t="str">
            <v>kg CO2 eq.</v>
          </cell>
          <cell r="Q130">
            <v>0</v>
          </cell>
          <cell r="R130" t="str">
            <v>kg CO2 eq.</v>
          </cell>
          <cell r="S130">
            <v>0</v>
          </cell>
          <cell r="T130" t="str">
            <v>kg CO2 eq.</v>
          </cell>
          <cell r="U130">
            <v>0</v>
          </cell>
          <cell r="V130" t="str">
            <v>MJ</v>
          </cell>
          <cell r="Y130">
            <v>0</v>
          </cell>
          <cell r="Z130" t="str">
            <v>kg CO2 eq.</v>
          </cell>
          <cell r="AA130">
            <v>0</v>
          </cell>
          <cell r="AB130" t="str">
            <v>kg CO2 eq.</v>
          </cell>
          <cell r="AC130">
            <v>0</v>
          </cell>
          <cell r="AD130" t="str">
            <v>kg CO2 eq.</v>
          </cell>
          <cell r="AE130">
            <v>0</v>
          </cell>
          <cell r="AF130" t="str">
            <v>MJ</v>
          </cell>
        </row>
        <row r="131">
          <cell r="D131" t="str">
            <v>Dachabdichtung</v>
          </cell>
          <cell r="I131">
            <v>1000</v>
          </cell>
          <cell r="J131" t="str">
            <v>E2.D.03.b3</v>
          </cell>
          <cell r="O131">
            <v>0</v>
          </cell>
          <cell r="P131" t="str">
            <v>kg CO2 eq.</v>
          </cell>
          <cell r="Q131">
            <v>0</v>
          </cell>
          <cell r="R131" t="str">
            <v>kg CO2 eq.</v>
          </cell>
          <cell r="S131">
            <v>0</v>
          </cell>
          <cell r="T131" t="str">
            <v>kg CO2 eq.</v>
          </cell>
          <cell r="U131">
            <v>0</v>
          </cell>
          <cell r="V131" t="str">
            <v>MJ</v>
          </cell>
          <cell r="Y131">
            <v>0</v>
          </cell>
          <cell r="Z131" t="str">
            <v>kg CO2 eq.</v>
          </cell>
          <cell r="AA131">
            <v>0</v>
          </cell>
          <cell r="AB131" t="str">
            <v>kg CO2 eq.</v>
          </cell>
          <cell r="AC131">
            <v>0</v>
          </cell>
          <cell r="AD131" t="str">
            <v>kg CO2 eq.</v>
          </cell>
          <cell r="AE131">
            <v>0</v>
          </cell>
          <cell r="AF131" t="str">
            <v>MJ</v>
          </cell>
        </row>
        <row r="132">
          <cell r="C132" t="str">
            <v>F7.1-2.E</v>
          </cell>
          <cell r="D132" t="str">
            <v>Vertikale Baukonstruktionen</v>
          </cell>
          <cell r="M132">
            <v>0</v>
          </cell>
          <cell r="N132" t="str">
            <v>€</v>
          </cell>
          <cell r="O132">
            <v>13812.684363509114</v>
          </cell>
          <cell r="Q132">
            <v>-17853.877039463889</v>
          </cell>
          <cell r="S132">
            <v>31666.561402973002</v>
          </cell>
          <cell r="U132">
            <v>482548.26792773639</v>
          </cell>
          <cell r="Y132">
            <v>0</v>
          </cell>
          <cell r="AA132">
            <v>0</v>
          </cell>
          <cell r="AC132">
            <v>0</v>
          </cell>
          <cell r="AE132">
            <v>0</v>
          </cell>
        </row>
        <row r="133">
          <cell r="C133" t="str">
            <v>F7.1-2.E.01</v>
          </cell>
          <cell r="D133" t="str">
            <v>Aussenwandkonstruktionen</v>
          </cell>
          <cell r="M133">
            <v>0</v>
          </cell>
          <cell r="N133" t="str">
            <v>€</v>
          </cell>
          <cell r="O133">
            <v>6596.3223565416265</v>
          </cell>
          <cell r="Q133">
            <v>-8715.740264188029</v>
          </cell>
          <cell r="S133">
            <v>15312.062620729654</v>
          </cell>
          <cell r="U133">
            <v>177860.97207922107</v>
          </cell>
          <cell r="Y133">
            <v>0</v>
          </cell>
          <cell r="AA133">
            <v>0</v>
          </cell>
          <cell r="AC133">
            <v>0</v>
          </cell>
          <cell r="AE133">
            <v>0</v>
          </cell>
        </row>
        <row r="134">
          <cell r="C134" t="str">
            <v>F7.1-2.E.01.a</v>
          </cell>
          <cell r="D134" t="str">
            <v>Aussenwandkonstruktion 1</v>
          </cell>
          <cell r="G134">
            <v>0</v>
          </cell>
          <cell r="H134" t="str">
            <v>€/Instandsetzung</v>
          </cell>
          <cell r="I134">
            <v>100</v>
          </cell>
          <cell r="J134" t="str">
            <v>E2.E.01.a</v>
          </cell>
          <cell r="M134">
            <v>0</v>
          </cell>
          <cell r="N134" t="str">
            <v>€</v>
          </cell>
          <cell r="O134">
            <v>12340.003184214589</v>
          </cell>
          <cell r="P134" t="str">
            <v>kg CO2 eq.</v>
          </cell>
          <cell r="Q134">
            <v>-22.626590737925582</v>
          </cell>
          <cell r="R134" t="str">
            <v>kg CO2 eq.</v>
          </cell>
          <cell r="S134">
            <v>12362.629774952511</v>
          </cell>
          <cell r="T134" t="str">
            <v>kg CO2 eq.</v>
          </cell>
          <cell r="U134">
            <v>121735.08964613421</v>
          </cell>
          <cell r="V134" t="str">
            <v>MJ</v>
          </cell>
          <cell r="Y134">
            <v>0</v>
          </cell>
          <cell r="Z134" t="str">
            <v>kg CO2 eq.</v>
          </cell>
          <cell r="AA134">
            <v>0</v>
          </cell>
          <cell r="AB134" t="str">
            <v>kg CO2 eq.</v>
          </cell>
          <cell r="AC134">
            <v>0</v>
          </cell>
          <cell r="AD134" t="str">
            <v>kg CO2 eq.</v>
          </cell>
          <cell r="AE134">
            <v>0</v>
          </cell>
          <cell r="AF134" t="str">
            <v>MJ</v>
          </cell>
        </row>
        <row r="135">
          <cell r="C135" t="str">
            <v>F7.1-2.E.01.b</v>
          </cell>
          <cell r="D135" t="str">
            <v>Aussenwandkonstruktion 2</v>
          </cell>
          <cell r="G135">
            <v>0</v>
          </cell>
          <cell r="H135" t="str">
            <v>€/Instandsetzung</v>
          </cell>
          <cell r="I135">
            <v>1000</v>
          </cell>
          <cell r="J135" t="str">
            <v>E2.E.01.b</v>
          </cell>
          <cell r="M135">
            <v>0</v>
          </cell>
          <cell r="N135" t="str">
            <v>€</v>
          </cell>
          <cell r="O135">
            <v>0</v>
          </cell>
          <cell r="P135" t="str">
            <v>kg CO2 eq.</v>
          </cell>
          <cell r="Q135">
            <v>0</v>
          </cell>
          <cell r="R135" t="str">
            <v>kg CO2 eq.</v>
          </cell>
          <cell r="S135">
            <v>0</v>
          </cell>
          <cell r="T135" t="str">
            <v>kg CO2 eq.</v>
          </cell>
          <cell r="U135">
            <v>0</v>
          </cell>
          <cell r="V135" t="str">
            <v>MJ</v>
          </cell>
          <cell r="Y135">
            <v>0</v>
          </cell>
          <cell r="Z135" t="str">
            <v>kg CO2 eq.</v>
          </cell>
          <cell r="AA135">
            <v>0</v>
          </cell>
          <cell r="AB135" t="str">
            <v>kg CO2 eq.</v>
          </cell>
          <cell r="AC135">
            <v>0</v>
          </cell>
          <cell r="AD135" t="str">
            <v>kg CO2 eq.</v>
          </cell>
          <cell r="AE135">
            <v>0</v>
          </cell>
          <cell r="AF135" t="str">
            <v>MJ</v>
          </cell>
        </row>
        <row r="136">
          <cell r="C136" t="str">
            <v>F7.1-2.E.01.d</v>
          </cell>
          <cell r="D136" t="str">
            <v>Aussenwandkonstruktionen Holzleichtbau</v>
          </cell>
          <cell r="G136">
            <v>0</v>
          </cell>
          <cell r="H136" t="str">
            <v>€/Instandsetzung</v>
          </cell>
          <cell r="I136">
            <v>50</v>
          </cell>
          <cell r="J136" t="str">
            <v>E2.E.01.d</v>
          </cell>
          <cell r="M136">
            <v>0</v>
          </cell>
          <cell r="N136" t="str">
            <v>€</v>
          </cell>
          <cell r="O136">
            <v>-5743.6808276729626</v>
          </cell>
          <cell r="P136" t="str">
            <v>kg CO2 eq.</v>
          </cell>
          <cell r="Q136">
            <v>-8693.1136734501033</v>
          </cell>
          <cell r="R136" t="str">
            <v>kg CO2 eq.</v>
          </cell>
          <cell r="S136">
            <v>2949.4328457771426</v>
          </cell>
          <cell r="T136" t="str">
            <v>kg CO2 eq.</v>
          </cell>
          <cell r="U136">
            <v>56125.882433086867</v>
          </cell>
          <cell r="V136" t="str">
            <v>MJ</v>
          </cell>
          <cell r="Y136">
            <v>0</v>
          </cell>
          <cell r="Z136" t="str">
            <v>kg CO2 eq.</v>
          </cell>
          <cell r="AA136">
            <v>0</v>
          </cell>
          <cell r="AB136" t="str">
            <v>kg CO2 eq.</v>
          </cell>
          <cell r="AC136">
            <v>0</v>
          </cell>
          <cell r="AD136" t="str">
            <v>kg CO2 eq.</v>
          </cell>
          <cell r="AE136">
            <v>0</v>
          </cell>
          <cell r="AF136" t="str">
            <v>MJ</v>
          </cell>
        </row>
        <row r="137">
          <cell r="D137" t="str">
            <v>Dämmung</v>
          </cell>
          <cell r="I137">
            <v>0</v>
          </cell>
          <cell r="J137" t="str">
            <v>E2.E.01.ds</v>
          </cell>
        </row>
        <row r="138">
          <cell r="C138" t="str">
            <v>F7.1-2.E.01.f</v>
          </cell>
          <cell r="D138" t="str">
            <v>Erdberührte Außenwände</v>
          </cell>
          <cell r="G138">
            <v>0</v>
          </cell>
          <cell r="H138" t="str">
            <v>€/Instandsetzung</v>
          </cell>
          <cell r="I138">
            <v>1000</v>
          </cell>
          <cell r="J138" t="str">
            <v>E2.E.01.f</v>
          </cell>
          <cell r="M138">
            <v>0</v>
          </cell>
          <cell r="N138" t="str">
            <v>€</v>
          </cell>
          <cell r="O138">
            <v>0</v>
          </cell>
          <cell r="P138" t="str">
            <v>kg CO2 eq.</v>
          </cell>
          <cell r="Q138">
            <v>0</v>
          </cell>
          <cell r="R138" t="str">
            <v>kg CO2 eq.</v>
          </cell>
          <cell r="S138">
            <v>0</v>
          </cell>
          <cell r="T138" t="str">
            <v>kg CO2 eq.</v>
          </cell>
          <cell r="U138">
            <v>0</v>
          </cell>
          <cell r="V138" t="str">
            <v>MJ</v>
          </cell>
          <cell r="Y138">
            <v>0</v>
          </cell>
          <cell r="Z138" t="str">
            <v>kg CO2 eq.</v>
          </cell>
          <cell r="AA138">
            <v>0</v>
          </cell>
          <cell r="AB138" t="str">
            <v>kg CO2 eq.</v>
          </cell>
          <cell r="AC138">
            <v>0</v>
          </cell>
          <cell r="AD138" t="str">
            <v>kg CO2 eq.</v>
          </cell>
          <cell r="AE138">
            <v>0</v>
          </cell>
          <cell r="AF138" t="str">
            <v>MJ</v>
          </cell>
        </row>
        <row r="139">
          <cell r="C139" t="str">
            <v>F7.1-2.E.02</v>
          </cell>
          <cell r="D139" t="str">
            <v>Innenwandkonstruktionen</v>
          </cell>
          <cell r="G139">
            <v>0</v>
          </cell>
          <cell r="H139" t="str">
            <v>€/Instandsetzung</v>
          </cell>
          <cell r="I139">
            <v>1000</v>
          </cell>
          <cell r="J139" t="str">
            <v>E2.E.02</v>
          </cell>
          <cell r="M139">
            <v>0</v>
          </cell>
          <cell r="N139" t="str">
            <v>€</v>
          </cell>
          <cell r="O139">
            <v>7216.3620069674871</v>
          </cell>
          <cell r="P139" t="str">
            <v>kg CO2 eq.</v>
          </cell>
          <cell r="Q139">
            <v>-9138.1367752758597</v>
          </cell>
          <cell r="R139" t="str">
            <v>kg CO2 eq.</v>
          </cell>
          <cell r="S139">
            <v>16354.498782243349</v>
          </cell>
          <cell r="T139" t="str">
            <v>kg CO2 eq.</v>
          </cell>
          <cell r="U139">
            <v>304687.29584851529</v>
          </cell>
          <cell r="V139" t="str">
            <v>MJ</v>
          </cell>
          <cell r="Y139">
            <v>0</v>
          </cell>
          <cell r="Z139" t="str">
            <v>kg CO2 eq.</v>
          </cell>
          <cell r="AA139">
            <v>0</v>
          </cell>
          <cell r="AB139" t="str">
            <v>kg CO2 eq.</v>
          </cell>
          <cell r="AC139">
            <v>0</v>
          </cell>
          <cell r="AD139" t="str">
            <v>kg CO2 eq.</v>
          </cell>
          <cell r="AE139">
            <v>0</v>
          </cell>
          <cell r="AF139" t="str">
            <v>MJ</v>
          </cell>
        </row>
        <row r="140">
          <cell r="D140" t="str">
            <v>Innenwandkonstruktion 1</v>
          </cell>
          <cell r="I140">
            <v>50</v>
          </cell>
          <cell r="J140" t="str">
            <v>E2.E.02a</v>
          </cell>
          <cell r="O140">
            <v>7216.3620069674871</v>
          </cell>
          <cell r="P140" t="str">
            <v>kg CO2 eq.</v>
          </cell>
          <cell r="Q140">
            <v>-9138.1367752758597</v>
          </cell>
          <cell r="R140" t="str">
            <v>kg CO2 eq.</v>
          </cell>
          <cell r="S140">
            <v>16354.498782243349</v>
          </cell>
          <cell r="T140" t="str">
            <v>kg CO2 eq.</v>
          </cell>
          <cell r="U140">
            <v>304687.29584851529</v>
          </cell>
          <cell r="V140" t="str">
            <v>MJ</v>
          </cell>
          <cell r="Y140">
            <v>0</v>
          </cell>
          <cell r="Z140" t="str">
            <v>kg CO2 eq.</v>
          </cell>
          <cell r="AA140">
            <v>0</v>
          </cell>
          <cell r="AB140" t="str">
            <v>kg CO2 eq.</v>
          </cell>
          <cell r="AC140">
            <v>0</v>
          </cell>
          <cell r="AD140" t="str">
            <v>kg CO2 eq.</v>
          </cell>
          <cell r="AE140">
            <v>0</v>
          </cell>
          <cell r="AF140" t="str">
            <v>MJ</v>
          </cell>
        </row>
        <row r="141">
          <cell r="D141" t="str">
            <v>Innenwandkonstruktion 2</v>
          </cell>
          <cell r="I141">
            <v>1000</v>
          </cell>
          <cell r="J141" t="str">
            <v>E2.E.02b</v>
          </cell>
          <cell r="O141">
            <v>0</v>
          </cell>
          <cell r="P141" t="str">
            <v>kg CO2 eq.</v>
          </cell>
          <cell r="Q141">
            <v>0</v>
          </cell>
          <cell r="R141" t="str">
            <v>kg CO2 eq.</v>
          </cell>
          <cell r="S141">
            <v>0</v>
          </cell>
          <cell r="T141" t="str">
            <v>kg CO2 eq.</v>
          </cell>
          <cell r="U141">
            <v>0</v>
          </cell>
          <cell r="V141" t="str">
            <v>MJ</v>
          </cell>
          <cell r="Y141">
            <v>0</v>
          </cell>
          <cell r="Z141" t="str">
            <v>kg CO2 eq.</v>
          </cell>
          <cell r="AA141">
            <v>0</v>
          </cell>
          <cell r="AB141" t="str">
            <v>kg CO2 eq.</v>
          </cell>
          <cell r="AC141">
            <v>0</v>
          </cell>
          <cell r="AD141" t="str">
            <v>kg CO2 eq.</v>
          </cell>
          <cell r="AE141">
            <v>0</v>
          </cell>
          <cell r="AF141" t="str">
            <v>MJ</v>
          </cell>
        </row>
        <row r="142">
          <cell r="D142" t="str">
            <v>Innenwandkonstruktion 3</v>
          </cell>
          <cell r="I142">
            <v>1000</v>
          </cell>
          <cell r="J142" t="str">
            <v>E2.E.02c</v>
          </cell>
          <cell r="O142">
            <v>0</v>
          </cell>
          <cell r="P142" t="str">
            <v>kg CO2 eq.</v>
          </cell>
          <cell r="Q142">
            <v>0</v>
          </cell>
          <cell r="R142" t="str">
            <v>kg CO2 eq.</v>
          </cell>
          <cell r="S142">
            <v>0</v>
          </cell>
          <cell r="T142" t="str">
            <v>kg CO2 eq.</v>
          </cell>
          <cell r="U142">
            <v>0</v>
          </cell>
          <cell r="V142" t="str">
            <v>MJ</v>
          </cell>
          <cell r="Y142">
            <v>0</v>
          </cell>
          <cell r="Z142" t="str">
            <v>kg CO2 eq.</v>
          </cell>
          <cell r="AA142">
            <v>0</v>
          </cell>
          <cell r="AB142" t="str">
            <v>kg CO2 eq.</v>
          </cell>
          <cell r="AC142">
            <v>0</v>
          </cell>
          <cell r="AD142" t="str">
            <v>kg CO2 eq.</v>
          </cell>
          <cell r="AE142">
            <v>0</v>
          </cell>
          <cell r="AF142" t="str">
            <v>MJ</v>
          </cell>
        </row>
        <row r="143">
          <cell r="C143" t="str">
            <v>F7.1-2.E.03</v>
          </cell>
          <cell r="D143" t="str">
            <v>Stützenkonstruktionen</v>
          </cell>
          <cell r="G143">
            <v>0</v>
          </cell>
          <cell r="H143" t="str">
            <v>€/Instandsetzung</v>
          </cell>
          <cell r="I143">
            <v>1000</v>
          </cell>
          <cell r="J143" t="str">
            <v>E2.E.03</v>
          </cell>
          <cell r="M143">
            <v>0</v>
          </cell>
          <cell r="N143" t="str">
            <v>€</v>
          </cell>
          <cell r="O143">
            <v>0</v>
          </cell>
          <cell r="P143" t="str">
            <v>kg CO2 eq.</v>
          </cell>
          <cell r="Q143">
            <v>0</v>
          </cell>
          <cell r="R143" t="str">
            <v>kg CO2 eq.</v>
          </cell>
          <cell r="S143">
            <v>0</v>
          </cell>
          <cell r="T143" t="str">
            <v>kg CO2 eq.</v>
          </cell>
          <cell r="U143">
            <v>0</v>
          </cell>
          <cell r="V143" t="str">
            <v>MJ</v>
          </cell>
          <cell r="Y143">
            <v>0</v>
          </cell>
          <cell r="Z143" t="str">
            <v>kg CO2 eq.</v>
          </cell>
          <cell r="AA143">
            <v>0</v>
          </cell>
          <cell r="AB143" t="str">
            <v>kg CO2 eq.</v>
          </cell>
          <cell r="AC143">
            <v>0</v>
          </cell>
          <cell r="AD143" t="str">
            <v>kg CO2 eq.</v>
          </cell>
          <cell r="AE143">
            <v>0</v>
          </cell>
          <cell r="AF143" t="str">
            <v>MJ</v>
          </cell>
        </row>
        <row r="144">
          <cell r="C144" t="str">
            <v>F7.1-2.E.04</v>
          </cell>
          <cell r="D144" t="str">
            <v>Spezielle Konstruktionen</v>
          </cell>
          <cell r="G144">
            <v>0</v>
          </cell>
          <cell r="H144" t="str">
            <v>€/Instandsetzung</v>
          </cell>
          <cell r="I144">
            <v>50</v>
          </cell>
          <cell r="J144" t="str">
            <v>E2.E.04</v>
          </cell>
          <cell r="M144">
            <v>0</v>
          </cell>
          <cell r="N144" t="str">
            <v>€</v>
          </cell>
        </row>
        <row r="145">
          <cell r="C145" t="str">
            <v>F7.1-2.E.S</v>
          </cell>
          <cell r="D145" t="str">
            <v>Sonstiges Vertikale Baukonstruktionen</v>
          </cell>
          <cell r="G145">
            <v>0</v>
          </cell>
          <cell r="H145" t="str">
            <v>€/Instandsetzung</v>
          </cell>
          <cell r="I145">
            <v>50</v>
          </cell>
          <cell r="J145" t="str">
            <v>E2.E.S</v>
          </cell>
          <cell r="M145">
            <v>0</v>
          </cell>
          <cell r="N145" t="str">
            <v>€</v>
          </cell>
        </row>
        <row r="146">
          <cell r="C146" t="str">
            <v>F7.1-2.S</v>
          </cell>
          <cell r="D146" t="str">
            <v>Sonstige Bauwerk Rohbau</v>
          </cell>
          <cell r="G146">
            <v>0</v>
          </cell>
          <cell r="H146" t="str">
            <v>€/Instandsetzung</v>
          </cell>
          <cell r="I146">
            <v>50</v>
          </cell>
          <cell r="J146" t="str">
            <v>E2.S</v>
          </cell>
          <cell r="M146">
            <v>0</v>
          </cell>
          <cell r="N146" t="str">
            <v>€</v>
          </cell>
        </row>
        <row r="147">
          <cell r="C147" t="str">
            <v>F7.1-3</v>
          </cell>
          <cell r="D147" t="str">
            <v>Bauwerk Technik</v>
          </cell>
          <cell r="M147">
            <v>468182.89016445057</v>
          </cell>
          <cell r="N147" t="str">
            <v>€</v>
          </cell>
          <cell r="O147">
            <v>0</v>
          </cell>
          <cell r="Q147">
            <v>0</v>
          </cell>
          <cell r="S147">
            <v>0</v>
          </cell>
          <cell r="U147">
            <v>0</v>
          </cell>
          <cell r="Y147">
            <v>0</v>
          </cell>
          <cell r="AA147">
            <v>0</v>
          </cell>
          <cell r="AC147">
            <v>0</v>
          </cell>
          <cell r="AE147">
            <v>0</v>
          </cell>
        </row>
        <row r="148">
          <cell r="C148" t="str">
            <v>F7.1-3.A</v>
          </cell>
          <cell r="D148" t="str">
            <v>Allgemein Bauwerk - Technik</v>
          </cell>
          <cell r="G148">
            <v>0</v>
          </cell>
          <cell r="H148" t="str">
            <v>€/Instandsetzung</v>
          </cell>
          <cell r="I148">
            <v>25</v>
          </cell>
          <cell r="J148" t="str">
            <v>E3.A</v>
          </cell>
          <cell r="M148">
            <v>0</v>
          </cell>
          <cell r="N148" t="str">
            <v>€</v>
          </cell>
        </row>
        <row r="149">
          <cell r="C149" t="str">
            <v>F7.1-3.B</v>
          </cell>
          <cell r="D149" t="str">
            <v>Förderanlagen</v>
          </cell>
          <cell r="G149">
            <v>0</v>
          </cell>
          <cell r="H149" t="str">
            <v>€/Instandsetzung</v>
          </cell>
          <cell r="I149">
            <v>25</v>
          </cell>
          <cell r="J149" t="str">
            <v>E3.B</v>
          </cell>
          <cell r="M149">
            <v>0</v>
          </cell>
          <cell r="N149" t="str">
            <v>€</v>
          </cell>
        </row>
        <row r="150">
          <cell r="C150" t="str">
            <v>F7.1-3.C</v>
          </cell>
          <cell r="D150" t="str">
            <v>Wärmeversorgungsanlagen</v>
          </cell>
          <cell r="M150">
            <v>70982.72240111421</v>
          </cell>
          <cell r="N150" t="str">
            <v>€</v>
          </cell>
          <cell r="O150">
            <v>0</v>
          </cell>
          <cell r="Q150">
            <v>0</v>
          </cell>
          <cell r="S150">
            <v>0</v>
          </cell>
          <cell r="U150">
            <v>0</v>
          </cell>
          <cell r="Y150">
            <v>0</v>
          </cell>
          <cell r="AA150">
            <v>0</v>
          </cell>
          <cell r="AC150">
            <v>0</v>
          </cell>
          <cell r="AE150">
            <v>0</v>
          </cell>
        </row>
        <row r="151">
          <cell r="C151" t="str">
            <v>F7.1-3.C.01</v>
          </cell>
          <cell r="D151" t="str">
            <v>Wärmeerzeugungsanlagen</v>
          </cell>
          <cell r="G151">
            <v>0</v>
          </cell>
          <cell r="H151" t="str">
            <v>€/Instandsetzung</v>
          </cell>
          <cell r="I151">
            <v>18</v>
          </cell>
          <cell r="J151" t="str">
            <v>E3.C.01</v>
          </cell>
          <cell r="M151">
            <v>0</v>
          </cell>
          <cell r="N151" t="str">
            <v>€</v>
          </cell>
          <cell r="O151">
            <v>0</v>
          </cell>
          <cell r="P151" t="str">
            <v>kg CO2 eq.</v>
          </cell>
          <cell r="Q151">
            <v>0</v>
          </cell>
          <cell r="R151" t="str">
            <v>kg CO2 eq.</v>
          </cell>
          <cell r="S151">
            <v>0</v>
          </cell>
          <cell r="T151" t="str">
            <v>kg CO2 eq.</v>
          </cell>
          <cell r="U151">
            <v>0</v>
          </cell>
          <cell r="V151" t="str">
            <v>MJ</v>
          </cell>
          <cell r="Y151">
            <v>0</v>
          </cell>
          <cell r="Z151" t="str">
            <v>kg CO2 eq.</v>
          </cell>
          <cell r="AA151">
            <v>0</v>
          </cell>
          <cell r="AB151" t="str">
            <v>kg CO2 eq.</v>
          </cell>
          <cell r="AC151">
            <v>0</v>
          </cell>
          <cell r="AD151" t="str">
            <v>kg CO2 eq.</v>
          </cell>
          <cell r="AE151">
            <v>0</v>
          </cell>
          <cell r="AF151" t="str">
            <v>MJ</v>
          </cell>
        </row>
        <row r="152">
          <cell r="C152" t="str">
            <v>F7.1-3.C.02</v>
          </cell>
          <cell r="D152" t="str">
            <v>Wärmeverteilnetze</v>
          </cell>
          <cell r="G152">
            <v>0</v>
          </cell>
          <cell r="H152" t="str">
            <v>€/Instandsetzung</v>
          </cell>
          <cell r="I152">
            <v>40</v>
          </cell>
          <cell r="J152" t="str">
            <v>E3.C.02</v>
          </cell>
          <cell r="M152">
            <v>0</v>
          </cell>
          <cell r="N152" t="str">
            <v>€</v>
          </cell>
        </row>
        <row r="153">
          <cell r="C153" t="str">
            <v>F7.1-3.C.03</v>
          </cell>
          <cell r="D153" t="str">
            <v>Raumheizflächen</v>
          </cell>
          <cell r="G153">
            <v>0</v>
          </cell>
          <cell r="H153" t="str">
            <v>€/Instandsetzung</v>
          </cell>
          <cell r="I153">
            <v>30</v>
          </cell>
          <cell r="J153" t="str">
            <v>E3.C.03</v>
          </cell>
          <cell r="M153">
            <v>0</v>
          </cell>
          <cell r="N153" t="str">
            <v>€</v>
          </cell>
        </row>
        <row r="154">
          <cell r="C154" t="str">
            <v>F7.1-3.C.S</v>
          </cell>
          <cell r="D154" t="str">
            <v>Sonstige Wärmeversorgungsanlagen</v>
          </cell>
          <cell r="G154">
            <v>62776.834680184096</v>
          </cell>
          <cell r="H154" t="str">
            <v>€/Instandsetzung</v>
          </cell>
          <cell r="I154">
            <v>25</v>
          </cell>
          <cell r="J154" t="str">
            <v>E3.C.S</v>
          </cell>
          <cell r="M154">
            <v>70982.72240111421</v>
          </cell>
          <cell r="N154" t="str">
            <v>€</v>
          </cell>
        </row>
        <row r="155">
          <cell r="C155" t="str">
            <v>F7.1-3.D</v>
          </cell>
          <cell r="D155" t="str">
            <v>Klima-/Lüftungsanlagen</v>
          </cell>
          <cell r="M155">
            <v>40946.429117588668</v>
          </cell>
          <cell r="N155" t="str">
            <v>€</v>
          </cell>
        </row>
        <row r="156">
          <cell r="C156" t="str">
            <v>F7.1-3.D.01</v>
          </cell>
          <cell r="D156" t="str">
            <v>Lüftungsanlagen</v>
          </cell>
          <cell r="M156">
            <v>0</v>
          </cell>
          <cell r="N156" t="str">
            <v>€</v>
          </cell>
        </row>
        <row r="157">
          <cell r="C157" t="str">
            <v>F7.1-3.D.01a</v>
          </cell>
          <cell r="D157" t="str">
            <v>Lüftungsanlagen Rohre</v>
          </cell>
          <cell r="G157">
            <v>0</v>
          </cell>
          <cell r="H157" t="str">
            <v>€/Instandsetzung</v>
          </cell>
          <cell r="I157">
            <v>20</v>
          </cell>
          <cell r="J157" t="str">
            <v>E3.D.01a</v>
          </cell>
          <cell r="M157">
            <v>0</v>
          </cell>
          <cell r="N157" t="str">
            <v>€</v>
          </cell>
        </row>
        <row r="158">
          <cell r="C158" t="str">
            <v>F7.1-3.D.01b</v>
          </cell>
          <cell r="D158" t="str">
            <v>Lüftungsanlagen Ventilatoren</v>
          </cell>
          <cell r="G158">
            <v>0</v>
          </cell>
          <cell r="H158" t="str">
            <v>€/Instandsetzung</v>
          </cell>
          <cell r="I158">
            <v>12</v>
          </cell>
          <cell r="J158" t="str">
            <v>E3.D.01b</v>
          </cell>
          <cell r="M158">
            <v>0</v>
          </cell>
          <cell r="N158" t="str">
            <v>€</v>
          </cell>
        </row>
        <row r="159">
          <cell r="C159" t="str">
            <v>F7.1-3.D.02</v>
          </cell>
          <cell r="D159" t="str">
            <v>Teilklimaanlagen</v>
          </cell>
          <cell r="G159">
            <v>0</v>
          </cell>
          <cell r="H159" t="str">
            <v>€/Instandsetzung</v>
          </cell>
          <cell r="I159">
            <v>20</v>
          </cell>
          <cell r="J159" t="str">
            <v>E3.D.02</v>
          </cell>
          <cell r="M159">
            <v>0</v>
          </cell>
          <cell r="N159" t="str">
            <v>€</v>
          </cell>
        </row>
        <row r="160">
          <cell r="C160" t="str">
            <v>F7.1-3.D.03</v>
          </cell>
          <cell r="D160" t="str">
            <v>Klimaanlagen</v>
          </cell>
          <cell r="G160">
            <v>0</v>
          </cell>
          <cell r="H160" t="str">
            <v>€/Instandsetzung</v>
          </cell>
          <cell r="I160">
            <v>15</v>
          </cell>
          <cell r="J160" t="str">
            <v>E3.D.03</v>
          </cell>
          <cell r="M160">
            <v>0</v>
          </cell>
          <cell r="N160" t="str">
            <v>€</v>
          </cell>
        </row>
        <row r="161">
          <cell r="C161" t="str">
            <v>F7.1-3.D.04</v>
          </cell>
          <cell r="D161" t="str">
            <v>Kälteanlagen</v>
          </cell>
          <cell r="G161">
            <v>0</v>
          </cell>
          <cell r="H161" t="str">
            <v>€/Instandsetzung</v>
          </cell>
          <cell r="I161">
            <v>15</v>
          </cell>
          <cell r="J161" t="str">
            <v>E3.D.04</v>
          </cell>
          <cell r="M161">
            <v>0</v>
          </cell>
          <cell r="N161" t="str">
            <v>€</v>
          </cell>
        </row>
        <row r="162">
          <cell r="C162" t="str">
            <v>F7.1-3.D.05</v>
          </cell>
          <cell r="D162" t="str">
            <v>Prozesslufttechnische Anlagen</v>
          </cell>
          <cell r="G162">
            <v>0</v>
          </cell>
          <cell r="H162" t="str">
            <v>€/Instandsetzung</v>
          </cell>
          <cell r="I162">
            <v>20</v>
          </cell>
          <cell r="J162" t="str">
            <v>E3.D.05</v>
          </cell>
          <cell r="M162">
            <v>0</v>
          </cell>
          <cell r="N162" t="str">
            <v>€</v>
          </cell>
        </row>
        <row r="163">
          <cell r="C163" t="str">
            <v>F7.1-3.D.S</v>
          </cell>
          <cell r="D163" t="str">
            <v>Sonstige Klima-/Lüftungsanlagen</v>
          </cell>
          <cell r="G163">
            <v>37113.630809966096</v>
          </cell>
          <cell r="H163" t="str">
            <v>€/Instandsetzung</v>
          </cell>
          <cell r="I163">
            <v>20</v>
          </cell>
          <cell r="J163" t="str">
            <v>E3.D.S</v>
          </cell>
          <cell r="M163">
            <v>40946.429117588668</v>
          </cell>
          <cell r="N163" t="str">
            <v>€</v>
          </cell>
        </row>
        <row r="164">
          <cell r="C164" t="str">
            <v>F7.1-3.E</v>
          </cell>
          <cell r="D164" t="str">
            <v>Sanitär-/Gasanlagen</v>
          </cell>
          <cell r="M164">
            <v>57013.725270531584</v>
          </cell>
          <cell r="N164" t="str">
            <v>€</v>
          </cell>
        </row>
        <row r="165">
          <cell r="C165" t="str">
            <v>F7.1-3.E.01</v>
          </cell>
          <cell r="D165" t="str">
            <v>Abwasseranlagen</v>
          </cell>
          <cell r="G165">
            <v>0</v>
          </cell>
          <cell r="H165" t="str">
            <v>€/Instandsetzung</v>
          </cell>
          <cell r="I165">
            <v>25</v>
          </cell>
          <cell r="J165" t="str">
            <v>E3.E.01</v>
          </cell>
          <cell r="M165">
            <v>0</v>
          </cell>
          <cell r="N165" t="str">
            <v>€</v>
          </cell>
        </row>
        <row r="166">
          <cell r="C166" t="str">
            <v>F7.1-3.E.02</v>
          </cell>
          <cell r="D166" t="str">
            <v>Wasseranlagen</v>
          </cell>
          <cell r="G166">
            <v>0</v>
          </cell>
          <cell r="H166" t="str">
            <v>€/Instandsetzung</v>
          </cell>
          <cell r="I166">
            <v>30</v>
          </cell>
          <cell r="J166" t="str">
            <v>E3.E.02</v>
          </cell>
          <cell r="M166">
            <v>0</v>
          </cell>
          <cell r="N166" t="str">
            <v>€</v>
          </cell>
        </row>
        <row r="167">
          <cell r="C167" t="str">
            <v>F7.1-3.E.03</v>
          </cell>
          <cell r="D167" t="str">
            <v>Gasanlagen</v>
          </cell>
          <cell r="G167">
            <v>0</v>
          </cell>
          <cell r="H167" t="str">
            <v>€/Instandsetzung</v>
          </cell>
          <cell r="I167">
            <v>20</v>
          </cell>
          <cell r="J167" t="str">
            <v>E3.E.03</v>
          </cell>
          <cell r="M167">
            <v>0</v>
          </cell>
          <cell r="N167" t="str">
            <v>€</v>
          </cell>
        </row>
        <row r="168">
          <cell r="C168" t="str">
            <v>F7.1-3.E.04</v>
          </cell>
          <cell r="D168" t="str">
            <v>Feuerlöschanlagen</v>
          </cell>
          <cell r="G168">
            <v>0</v>
          </cell>
          <cell r="H168" t="str">
            <v>€/Instandsetzung</v>
          </cell>
          <cell r="I168">
            <v>20</v>
          </cell>
          <cell r="J168" t="str">
            <v>E3.E.04</v>
          </cell>
          <cell r="M168">
            <v>0</v>
          </cell>
          <cell r="N168" t="str">
            <v>€</v>
          </cell>
        </row>
        <row r="169">
          <cell r="C169" t="str">
            <v>F7.1-3.E.S</v>
          </cell>
          <cell r="D169" t="str">
            <v>Sonstige Sanitär-/Gasanlagen</v>
          </cell>
          <cell r="G169">
            <v>51676.944641856819</v>
          </cell>
          <cell r="H169" t="str">
            <v>€/Instandsetzung</v>
          </cell>
          <cell r="I169">
            <v>20</v>
          </cell>
          <cell r="J169" t="str">
            <v>E3.E.S</v>
          </cell>
          <cell r="M169">
            <v>57013.725270531584</v>
          </cell>
          <cell r="N169" t="str">
            <v>€</v>
          </cell>
        </row>
        <row r="170">
          <cell r="C170" t="str">
            <v>F7.1-3.F</v>
          </cell>
          <cell r="D170" t="str">
            <v>Starkstromanlagen</v>
          </cell>
          <cell r="G170">
            <v>84425.725124024</v>
          </cell>
          <cell r="H170" t="str">
            <v>€/Instandsetzung</v>
          </cell>
          <cell r="I170">
            <v>14</v>
          </cell>
          <cell r="J170" t="str">
            <v>E3.F</v>
          </cell>
          <cell r="M170">
            <v>187317.51998143631</v>
          </cell>
          <cell r="N170" t="str">
            <v>€</v>
          </cell>
          <cell r="O170">
            <v>0</v>
          </cell>
          <cell r="P170" t="str">
            <v>kg CO2 eq.</v>
          </cell>
          <cell r="Q170">
            <v>0</v>
          </cell>
          <cell r="R170" t="str">
            <v>kg CO2 eq.</v>
          </cell>
          <cell r="S170">
            <v>0</v>
          </cell>
          <cell r="T170" t="str">
            <v>kg CO2 eq.</v>
          </cell>
          <cell r="U170">
            <v>0</v>
          </cell>
          <cell r="V170" t="str">
            <v>MJ</v>
          </cell>
          <cell r="Y170">
            <v>0</v>
          </cell>
          <cell r="Z170" t="str">
            <v>kg CO2 eq.</v>
          </cell>
          <cell r="AA170">
            <v>0</v>
          </cell>
          <cell r="AB170" t="str">
            <v>kg CO2 eq.</v>
          </cell>
          <cell r="AC170">
            <v>0</v>
          </cell>
          <cell r="AD170" t="str">
            <v>kg CO2 eq.</v>
          </cell>
          <cell r="AE170">
            <v>0</v>
          </cell>
          <cell r="AF170" t="str">
            <v>MJ</v>
          </cell>
        </row>
        <row r="171">
          <cell r="C171" t="str">
            <v>F7.1-3.G</v>
          </cell>
          <cell r="D171" t="str">
            <v>Fernmelde- und Informationstechnische Anlagen</v>
          </cell>
          <cell r="M171">
            <v>67839.200234647447</v>
          </cell>
          <cell r="N171" t="str">
            <v>€</v>
          </cell>
        </row>
        <row r="172">
          <cell r="C172" t="str">
            <v>F7.1-3.G.01</v>
          </cell>
          <cell r="D172" t="str">
            <v>Telekommunikationsanlagen</v>
          </cell>
          <cell r="G172">
            <v>0</v>
          </cell>
          <cell r="H172" t="str">
            <v>€/Instandsetzung</v>
          </cell>
          <cell r="I172">
            <v>10</v>
          </cell>
          <cell r="J172" t="str">
            <v>E3.G.01</v>
          </cell>
          <cell r="M172">
            <v>0</v>
          </cell>
          <cell r="N172" t="str">
            <v>€</v>
          </cell>
        </row>
        <row r="173">
          <cell r="C173" t="str">
            <v>F7.1-3.G.02</v>
          </cell>
          <cell r="D173" t="str">
            <v>Such-/Signalanlagen</v>
          </cell>
          <cell r="G173">
            <v>0</v>
          </cell>
          <cell r="H173" t="str">
            <v>€/Instandsetzung</v>
          </cell>
          <cell r="I173">
            <v>20</v>
          </cell>
          <cell r="J173" t="str">
            <v>E3.G.02</v>
          </cell>
          <cell r="M173">
            <v>0</v>
          </cell>
          <cell r="N173" t="str">
            <v>€</v>
          </cell>
        </row>
        <row r="174">
          <cell r="C174" t="str">
            <v>F7.1-3.G.03</v>
          </cell>
          <cell r="D174" t="str">
            <v>Zeitdienstanlagen</v>
          </cell>
          <cell r="G174">
            <v>0</v>
          </cell>
          <cell r="H174" t="str">
            <v>€/Instandsetzung</v>
          </cell>
          <cell r="I174">
            <v>14</v>
          </cell>
          <cell r="J174" t="str">
            <v>E3.G.03</v>
          </cell>
          <cell r="M174">
            <v>0</v>
          </cell>
          <cell r="N174" t="str">
            <v>€</v>
          </cell>
        </row>
        <row r="175">
          <cell r="C175" t="str">
            <v>F7.1-3.G.04</v>
          </cell>
          <cell r="D175" t="str">
            <v>Elektroakustische Anlagen</v>
          </cell>
          <cell r="G175">
            <v>0</v>
          </cell>
          <cell r="H175" t="str">
            <v>€/Instandsetzung</v>
          </cell>
          <cell r="I175">
            <v>15</v>
          </cell>
          <cell r="J175" t="str">
            <v>E3.G.04</v>
          </cell>
          <cell r="M175">
            <v>0</v>
          </cell>
          <cell r="N175" t="str">
            <v>€</v>
          </cell>
        </row>
        <row r="176">
          <cell r="C176" t="str">
            <v>F7.1-3.G.05</v>
          </cell>
          <cell r="D176" t="str">
            <v>Fernseh-/Antennenanlagen</v>
          </cell>
          <cell r="G176">
            <v>0</v>
          </cell>
          <cell r="H176" t="str">
            <v>€/Instandsetzung</v>
          </cell>
          <cell r="I176">
            <v>16</v>
          </cell>
          <cell r="J176" t="str">
            <v>E3.G.05</v>
          </cell>
          <cell r="M176">
            <v>0</v>
          </cell>
          <cell r="N176" t="str">
            <v>€</v>
          </cell>
        </row>
        <row r="177">
          <cell r="C177" t="str">
            <v>F7.1-3.G.06</v>
          </cell>
          <cell r="D177" t="str">
            <v>Gefahrenmelde-/Alarmanlagen</v>
          </cell>
          <cell r="G177">
            <v>0</v>
          </cell>
          <cell r="H177" t="str">
            <v>€/Instandsetzung</v>
          </cell>
          <cell r="I177">
            <v>10</v>
          </cell>
          <cell r="J177" t="str">
            <v>E3.G.06</v>
          </cell>
          <cell r="M177">
            <v>0</v>
          </cell>
          <cell r="N177" t="str">
            <v>€</v>
          </cell>
        </row>
        <row r="178">
          <cell r="C178" t="str">
            <v>F7.1-3.G.07</v>
          </cell>
          <cell r="D178" t="str">
            <v>Übertragungsnetze</v>
          </cell>
          <cell r="G178">
            <v>0</v>
          </cell>
          <cell r="H178" t="str">
            <v>€/Instandsetzung</v>
          </cell>
          <cell r="I178">
            <v>10</v>
          </cell>
          <cell r="J178" t="str">
            <v>E3.G.07</v>
          </cell>
          <cell r="M178">
            <v>0</v>
          </cell>
          <cell r="N178" t="str">
            <v>€</v>
          </cell>
        </row>
        <row r="179">
          <cell r="C179" t="str">
            <v>F7.1-3.G.S</v>
          </cell>
          <cell r="D179" t="str">
            <v>Sonstige Informationstechnische Anlagen</v>
          </cell>
          <cell r="G179">
            <v>29898.657149423841</v>
          </cell>
          <cell r="H179" t="str">
            <v>€/Instandsetzung</v>
          </cell>
          <cell r="I179">
            <v>17</v>
          </cell>
          <cell r="J179" t="str">
            <v>E3.G.S</v>
          </cell>
          <cell r="M179">
            <v>67839.200234647447</v>
          </cell>
          <cell r="N179" t="str">
            <v>€</v>
          </cell>
        </row>
        <row r="180">
          <cell r="C180" t="str">
            <v>F7.1-3.H</v>
          </cell>
          <cell r="D180" t="str">
            <v>Gebäudeautomation</v>
          </cell>
          <cell r="G180">
            <v>15486.739348298113</v>
          </cell>
          <cell r="H180" t="str">
            <v>€/Instandsetzung</v>
          </cell>
          <cell r="I180">
            <v>18</v>
          </cell>
          <cell r="J180" t="str">
            <v>E3.H</v>
          </cell>
          <cell r="M180">
            <v>35402.67452527921</v>
          </cell>
          <cell r="N180" t="str">
            <v>€</v>
          </cell>
        </row>
        <row r="181">
          <cell r="C181" t="str">
            <v>F7.1-3.S</v>
          </cell>
          <cell r="D181" t="str">
            <v>Sonstige Anlagen Bauwerk - Technik</v>
          </cell>
          <cell r="G181">
            <v>7868.0676709010113</v>
          </cell>
          <cell r="H181" t="str">
            <v>€/Instandsetzung</v>
          </cell>
          <cell r="I181">
            <v>20</v>
          </cell>
          <cell r="J181" t="str">
            <v>E3.S</v>
          </cell>
          <cell r="M181">
            <v>8680.6186338531807</v>
          </cell>
          <cell r="N181" t="str">
            <v>€</v>
          </cell>
        </row>
        <row r="182">
          <cell r="C182" t="str">
            <v>F7.1-4</v>
          </cell>
          <cell r="D182" t="str">
            <v>Bauwerk Ausbau</v>
          </cell>
          <cell r="M182">
            <v>482633.07524492638</v>
          </cell>
          <cell r="N182" t="str">
            <v>€</v>
          </cell>
        </row>
        <row r="183">
          <cell r="C183" t="str">
            <v>F7.1-4.A</v>
          </cell>
          <cell r="D183" t="str">
            <v>Allgemein Bauwerk - Ausbau</v>
          </cell>
          <cell r="G183">
            <v>0</v>
          </cell>
          <cell r="H183" t="str">
            <v>€/Instandsetzung</v>
          </cell>
          <cell r="I183">
            <v>30</v>
          </cell>
          <cell r="J183" t="str">
            <v>E4.A</v>
          </cell>
          <cell r="M183">
            <v>0</v>
          </cell>
          <cell r="N183" t="str">
            <v>€</v>
          </cell>
        </row>
        <row r="184">
          <cell r="C184" t="str">
            <v>F7.1-4.B</v>
          </cell>
          <cell r="D184" t="str">
            <v>Dachverkleidung</v>
          </cell>
          <cell r="M184">
            <v>320380.492567198</v>
          </cell>
          <cell r="N184" t="str">
            <v>€</v>
          </cell>
          <cell r="O184">
            <v>582.16946257359973</v>
          </cell>
          <cell r="Q184">
            <v>-41.288572682395603</v>
          </cell>
          <cell r="S184">
            <v>623.45803525599524</v>
          </cell>
          <cell r="U184">
            <v>13496.73529679286</v>
          </cell>
          <cell r="Y184">
            <v>554.03870949275552</v>
          </cell>
          <cell r="AA184">
            <v>-1.8756945562810254</v>
          </cell>
          <cell r="AC184">
            <v>555.91440404903653</v>
          </cell>
          <cell r="AE184">
            <v>12510.76375618465</v>
          </cell>
        </row>
        <row r="185">
          <cell r="C185" t="str">
            <v>F7.1-4.B.01</v>
          </cell>
          <cell r="D185" t="str">
            <v>Dachbeläge</v>
          </cell>
          <cell r="M185">
            <v>320380.492567198</v>
          </cell>
          <cell r="N185" t="str">
            <v>€</v>
          </cell>
          <cell r="O185">
            <v>554.03870949275552</v>
          </cell>
          <cell r="Q185">
            <v>-1.8756945562810254</v>
          </cell>
          <cell r="S185">
            <v>555.91440404903653</v>
          </cell>
          <cell r="U185">
            <v>12510.76375618465</v>
          </cell>
          <cell r="Y185">
            <v>554.03870949275552</v>
          </cell>
          <cell r="AA185">
            <v>-1.8756945562810254</v>
          </cell>
          <cell r="AC185">
            <v>555.91440404903653</v>
          </cell>
          <cell r="AE185">
            <v>12510.76375618465</v>
          </cell>
        </row>
        <row r="186">
          <cell r="C186" t="str">
            <v>F7.1-4.B.01.a</v>
          </cell>
          <cell r="D186" t="str">
            <v>Dachbelag 1</v>
          </cell>
          <cell r="G186">
            <v>206447.24087468957</v>
          </cell>
          <cell r="H186" t="str">
            <v>€/Instandsetzung</v>
          </cell>
          <cell r="I186">
            <v>25</v>
          </cell>
          <cell r="J186" t="str">
            <v>E4.B.01.a</v>
          </cell>
          <cell r="M186">
            <v>320380.492567198</v>
          </cell>
          <cell r="N186" t="str">
            <v>€</v>
          </cell>
          <cell r="O186">
            <v>554.03870949275552</v>
          </cell>
          <cell r="P186" t="str">
            <v>kg CO2 eq.</v>
          </cell>
          <cell r="Q186">
            <v>-1.8756945562810254</v>
          </cell>
          <cell r="R186" t="str">
            <v>kg CO2 eq.</v>
          </cell>
          <cell r="S186">
            <v>555.91440404903653</v>
          </cell>
          <cell r="T186" t="str">
            <v>kg CO2 eq.</v>
          </cell>
          <cell r="U186">
            <v>12510.76375618465</v>
          </cell>
          <cell r="V186" t="str">
            <v>MJ</v>
          </cell>
          <cell r="Y186">
            <v>554.03870949275552</v>
          </cell>
          <cell r="Z186" t="str">
            <v>kg CO2 eq.</v>
          </cell>
          <cell r="AA186">
            <v>-1.8756945562810254</v>
          </cell>
          <cell r="AB186" t="str">
            <v>kg CO2 eq.</v>
          </cell>
          <cell r="AC186">
            <v>555.91440404903653</v>
          </cell>
          <cell r="AD186" t="str">
            <v>kg CO2 eq.</v>
          </cell>
          <cell r="AE186">
            <v>12510.76375618465</v>
          </cell>
          <cell r="AF186" t="str">
            <v>MJ</v>
          </cell>
        </row>
        <row r="187">
          <cell r="C187" t="str">
            <v>F7.1-4.B.01.b</v>
          </cell>
          <cell r="D187" t="str">
            <v>Dachbelag 2</v>
          </cell>
          <cell r="G187">
            <v>0</v>
          </cell>
          <cell r="H187" t="str">
            <v>€/Instandsetzung</v>
          </cell>
          <cell r="I187">
            <v>1000</v>
          </cell>
          <cell r="J187" t="str">
            <v>E4.B.01.b</v>
          </cell>
          <cell r="M187">
            <v>0</v>
          </cell>
          <cell r="N187" t="str">
            <v>€</v>
          </cell>
          <cell r="O187">
            <v>0</v>
          </cell>
          <cell r="P187" t="str">
            <v>kg CO2 eq.</v>
          </cell>
          <cell r="Q187">
            <v>0</v>
          </cell>
          <cell r="R187" t="str">
            <v>kg CO2 eq.</v>
          </cell>
          <cell r="S187">
            <v>0</v>
          </cell>
          <cell r="T187" t="str">
            <v>kg CO2 eq.</v>
          </cell>
          <cell r="U187">
            <v>0</v>
          </cell>
          <cell r="V187" t="str">
            <v>MJ</v>
          </cell>
          <cell r="Y187">
            <v>0</v>
          </cell>
          <cell r="Z187" t="str">
            <v>kg CO2 eq.</v>
          </cell>
          <cell r="AA187">
            <v>0</v>
          </cell>
          <cell r="AB187" t="str">
            <v>kg CO2 eq.</v>
          </cell>
          <cell r="AC187">
            <v>0</v>
          </cell>
          <cell r="AD187" t="str">
            <v>kg CO2 eq.</v>
          </cell>
          <cell r="AE187">
            <v>0</v>
          </cell>
          <cell r="AF187" t="str">
            <v>MJ</v>
          </cell>
        </row>
        <row r="188">
          <cell r="C188" t="str">
            <v>F7.1-4.B.02</v>
          </cell>
          <cell r="D188" t="str">
            <v>Dachfenster/-öffnungen</v>
          </cell>
          <cell r="G188">
            <v>0</v>
          </cell>
          <cell r="H188" t="str">
            <v>€/Instandsetzung</v>
          </cell>
          <cell r="I188">
            <v>161.92347165959501</v>
          </cell>
          <cell r="J188" t="str">
            <v>E4.B.02</v>
          </cell>
          <cell r="M188">
            <v>0</v>
          </cell>
          <cell r="N188" t="str">
            <v>€</v>
          </cell>
          <cell r="O188">
            <v>28.130753080844229</v>
          </cell>
          <cell r="P188" t="str">
            <v>kg CO2 eq.</v>
          </cell>
          <cell r="Q188">
            <v>-39.412878126114578</v>
          </cell>
          <cell r="R188" t="str">
            <v>kg CO2 eq.</v>
          </cell>
          <cell r="S188">
            <v>67.54363120695875</v>
          </cell>
          <cell r="T188" t="str">
            <v>kg CO2 eq.</v>
          </cell>
          <cell r="U188">
            <v>985.97154060821049</v>
          </cell>
          <cell r="V188" t="str">
            <v>MJ</v>
          </cell>
          <cell r="Y188">
            <v>0</v>
          </cell>
          <cell r="Z188" t="str">
            <v>kg CO2 eq.</v>
          </cell>
          <cell r="AA188">
            <v>0</v>
          </cell>
          <cell r="AB188" t="str">
            <v>kg CO2 eq.</v>
          </cell>
          <cell r="AC188">
            <v>0</v>
          </cell>
          <cell r="AD188" t="str">
            <v>kg CO2 eq.</v>
          </cell>
          <cell r="AE188">
            <v>0</v>
          </cell>
          <cell r="AF188" t="str">
            <v>MJ</v>
          </cell>
        </row>
        <row r="189">
          <cell r="C189" t="str">
            <v>F7.1-4.B.03</v>
          </cell>
          <cell r="D189" t="str">
            <v>Balkon-/Terrassenbeläge</v>
          </cell>
          <cell r="G189">
            <v>0</v>
          </cell>
          <cell r="H189" t="str">
            <v>€/Instandsetzung</v>
          </cell>
          <cell r="I189">
            <v>15</v>
          </cell>
          <cell r="J189" t="str">
            <v>E4.B.03</v>
          </cell>
          <cell r="M189">
            <v>0</v>
          </cell>
          <cell r="N189" t="str">
            <v>€</v>
          </cell>
        </row>
        <row r="190">
          <cell r="C190" t="str">
            <v>F7.1-4.B.S</v>
          </cell>
          <cell r="D190" t="str">
            <v>Sonstige Dachverkleidung</v>
          </cell>
          <cell r="G190">
            <v>0</v>
          </cell>
          <cell r="H190" t="str">
            <v>€/Instandsetzung</v>
          </cell>
          <cell r="I190">
            <v>30</v>
          </cell>
          <cell r="J190" t="str">
            <v>E4.B.S</v>
          </cell>
          <cell r="M190">
            <v>0</v>
          </cell>
          <cell r="N190" t="str">
            <v>€</v>
          </cell>
        </row>
        <row r="191">
          <cell r="C191" t="str">
            <v>F7.1-4.C</v>
          </cell>
          <cell r="D191" t="str">
            <v>Fassadenhülle</v>
          </cell>
          <cell r="G191">
            <v>157929.53061523978</v>
          </cell>
          <cell r="H191" t="str">
            <v>€/Instandsetzung</v>
          </cell>
          <cell r="I191">
            <v>1000</v>
          </cell>
          <cell r="J191" t="str">
            <v>E4.C</v>
          </cell>
          <cell r="M191">
            <v>0</v>
          </cell>
          <cell r="N191" t="str">
            <v>€</v>
          </cell>
          <cell r="O191">
            <v>8615.1285801251597</v>
          </cell>
          <cell r="P191" t="str">
            <v>kg CO2 eq.</v>
          </cell>
          <cell r="Q191">
            <v>-3764.8397232909319</v>
          </cell>
          <cell r="R191" t="str">
            <v>kg CO2 eq.</v>
          </cell>
          <cell r="S191">
            <v>12379.968303416093</v>
          </cell>
          <cell r="T191" t="str">
            <v>kg CO2 eq.</v>
          </cell>
          <cell r="U191">
            <v>165929.12546492362</v>
          </cell>
          <cell r="V191" t="str">
            <v>MJ</v>
          </cell>
          <cell r="Y191">
            <v>0</v>
          </cell>
          <cell r="Z191" t="str">
            <v>kg CO2 eq.</v>
          </cell>
          <cell r="AA191">
            <v>0</v>
          </cell>
          <cell r="AB191" t="str">
            <v>kg CO2 eq.</v>
          </cell>
          <cell r="AC191">
            <v>0</v>
          </cell>
          <cell r="AD191" t="str">
            <v>kg CO2 eq.</v>
          </cell>
          <cell r="AE191">
            <v>0</v>
          </cell>
          <cell r="AF191" t="str">
            <v>MJ</v>
          </cell>
        </row>
        <row r="192">
          <cell r="D192" t="str">
            <v>Fassadenverkleidungen</v>
          </cell>
          <cell r="I192">
            <v>1000</v>
          </cell>
          <cell r="J192" t="str">
            <v>E4.C.01</v>
          </cell>
          <cell r="O192">
            <v>3987.4847398020206</v>
          </cell>
          <cell r="P192" t="str">
            <v>kg CO2 eq.</v>
          </cell>
          <cell r="Q192">
            <v>-1059.0859234511574</v>
          </cell>
          <cell r="R192" t="str">
            <v>kg CO2 eq.</v>
          </cell>
          <cell r="S192">
            <v>5046.5706632531837</v>
          </cell>
          <cell r="T192" t="str">
            <v>kg CO2 eq.</v>
          </cell>
          <cell r="U192">
            <v>62927.623695989001</v>
          </cell>
          <cell r="V192" t="str">
            <v>MJ</v>
          </cell>
          <cell r="Y192">
            <v>0</v>
          </cell>
          <cell r="AA192">
            <v>0</v>
          </cell>
          <cell r="AC192">
            <v>0</v>
          </cell>
          <cell r="AE192">
            <v>0</v>
          </cell>
        </row>
        <row r="193">
          <cell r="D193" t="str">
            <v>Putzfassade</v>
          </cell>
          <cell r="I193">
            <v>1000</v>
          </cell>
          <cell r="J193" t="str">
            <v>E4.C.01a</v>
          </cell>
          <cell r="O193">
            <v>0</v>
          </cell>
          <cell r="P193" t="str">
            <v>kg CO2 eq.</v>
          </cell>
          <cell r="Q193">
            <v>0</v>
          </cell>
          <cell r="R193" t="str">
            <v>kg CO2 eq.</v>
          </cell>
          <cell r="S193">
            <v>0</v>
          </cell>
          <cell r="T193" t="str">
            <v>kg CO2 eq.</v>
          </cell>
          <cell r="U193">
            <v>0</v>
          </cell>
          <cell r="V193" t="str">
            <v>MJ</v>
          </cell>
          <cell r="Y193">
            <v>0</v>
          </cell>
          <cell r="Z193" t="str">
            <v>kg CO2 eq.</v>
          </cell>
          <cell r="AA193">
            <v>0</v>
          </cell>
          <cell r="AB193" t="str">
            <v>kg CO2 eq.</v>
          </cell>
          <cell r="AC193">
            <v>0</v>
          </cell>
          <cell r="AD193" t="str">
            <v>kg CO2 eq.</v>
          </cell>
          <cell r="AE193">
            <v>0</v>
          </cell>
          <cell r="AF193" t="str">
            <v>MJ</v>
          </cell>
        </row>
        <row r="194">
          <cell r="D194" t="str">
            <v>Vorgehängte Fassade</v>
          </cell>
          <cell r="I194">
            <v>50</v>
          </cell>
          <cell r="J194" t="str">
            <v>E4.C.01b</v>
          </cell>
          <cell r="O194">
            <v>3987.4847398020206</v>
          </cell>
          <cell r="P194" t="str">
            <v>kg CO2 eq.</v>
          </cell>
          <cell r="Q194">
            <v>-1059.0859234511574</v>
          </cell>
          <cell r="R194" t="str">
            <v>kg CO2 eq.</v>
          </cell>
          <cell r="S194">
            <v>5046.5706632531837</v>
          </cell>
          <cell r="T194" t="str">
            <v>kg CO2 eq.</v>
          </cell>
          <cell r="U194">
            <v>62927.623695989001</v>
          </cell>
          <cell r="V194" t="str">
            <v>MJ</v>
          </cell>
          <cell r="Y194">
            <v>0</v>
          </cell>
          <cell r="Z194" t="str">
            <v>kg CO2 eq.</v>
          </cell>
          <cell r="AA194">
            <v>0</v>
          </cell>
          <cell r="AB194" t="str">
            <v>kg CO2 eq.</v>
          </cell>
          <cell r="AC194">
            <v>0</v>
          </cell>
          <cell r="AD194" t="str">
            <v>kg CO2 eq.</v>
          </cell>
          <cell r="AE194">
            <v>0</v>
          </cell>
          <cell r="AF194" t="str">
            <v>MJ</v>
          </cell>
        </row>
        <row r="195">
          <cell r="D195" t="str">
            <v>Fassadenöffnungen</v>
          </cell>
          <cell r="I195">
            <v>1000</v>
          </cell>
          <cell r="J195" t="str">
            <v>E4.C.02</v>
          </cell>
          <cell r="O195">
            <v>4627.6438403231386</v>
          </cell>
          <cell r="P195" t="str">
            <v>kg CO2 eq.</v>
          </cell>
          <cell r="Q195">
            <v>-2705.7537998397747</v>
          </cell>
          <cell r="R195" t="str">
            <v>kg CO2 eq.</v>
          </cell>
          <cell r="S195">
            <v>7333.3976401629097</v>
          </cell>
          <cell r="T195" t="str">
            <v>kg CO2 eq.</v>
          </cell>
          <cell r="U195">
            <v>103001.50176893463</v>
          </cell>
          <cell r="V195" t="str">
            <v>MJ</v>
          </cell>
          <cell r="Y195">
            <v>0</v>
          </cell>
          <cell r="AA195">
            <v>0</v>
          </cell>
          <cell r="AC195">
            <v>0</v>
          </cell>
          <cell r="AE195">
            <v>0</v>
          </cell>
        </row>
        <row r="196">
          <cell r="D196" t="str">
            <v>Fenster</v>
          </cell>
          <cell r="I196">
            <v>161.92347165959501</v>
          </cell>
          <cell r="J196" t="str">
            <v>E4.C.02a</v>
          </cell>
          <cell r="O196">
            <v>1085.5913348016707</v>
          </cell>
          <cell r="P196" t="str">
            <v>kg CO2 eq.</v>
          </cell>
          <cell r="Q196">
            <v>-1520.9787967759673</v>
          </cell>
          <cell r="R196" t="str">
            <v>kg CO2 eq.</v>
          </cell>
          <cell r="S196">
            <v>2606.5701315776355</v>
          </cell>
          <cell r="T196" t="str">
            <v>kg CO2 eq.</v>
          </cell>
          <cell r="U196">
            <v>38049.538089835034</v>
          </cell>
          <cell r="V196" t="str">
            <v>MJ</v>
          </cell>
          <cell r="Y196">
            <v>0</v>
          </cell>
          <cell r="Z196" t="str">
            <v>kg CO2 eq.</v>
          </cell>
          <cell r="AA196">
            <v>0</v>
          </cell>
          <cell r="AB196" t="str">
            <v>kg CO2 eq.</v>
          </cell>
          <cell r="AC196">
            <v>0</v>
          </cell>
          <cell r="AD196" t="str">
            <v>kg CO2 eq.</v>
          </cell>
          <cell r="AE196">
            <v>0</v>
          </cell>
          <cell r="AF196" t="str">
            <v>MJ</v>
          </cell>
        </row>
        <row r="197">
          <cell r="D197" t="str">
            <v>Türen</v>
          </cell>
          <cell r="I197">
            <v>1000</v>
          </cell>
          <cell r="J197" t="str">
            <v>E4.C.02b</v>
          </cell>
          <cell r="O197">
            <v>0</v>
          </cell>
          <cell r="P197" t="str">
            <v>kg CO2 eq.</v>
          </cell>
          <cell r="Q197">
            <v>0</v>
          </cell>
          <cell r="R197" t="str">
            <v>kg CO2 eq.</v>
          </cell>
          <cell r="S197">
            <v>0</v>
          </cell>
          <cell r="T197" t="str">
            <v>kg CO2 eq.</v>
          </cell>
          <cell r="U197">
            <v>0</v>
          </cell>
          <cell r="V197" t="str">
            <v>MJ</v>
          </cell>
          <cell r="Y197">
            <v>0</v>
          </cell>
          <cell r="Z197" t="str">
            <v>kg CO2 eq.</v>
          </cell>
          <cell r="AA197">
            <v>0</v>
          </cell>
          <cell r="AB197" t="str">
            <v>kg CO2 eq.</v>
          </cell>
          <cell r="AC197">
            <v>0</v>
          </cell>
          <cell r="AD197" t="str">
            <v>kg CO2 eq.</v>
          </cell>
          <cell r="AE197">
            <v>0</v>
          </cell>
          <cell r="AF197" t="str">
            <v>MJ</v>
          </cell>
        </row>
        <row r="198">
          <cell r="D198" t="str">
            <v>Glasfassade</v>
          </cell>
          <cell r="I198">
            <v>161.92347165959501</v>
          </cell>
          <cell r="J198" t="str">
            <v>E4.C.02c</v>
          </cell>
          <cell r="O198">
            <v>3542.0525055214684</v>
          </cell>
          <cell r="P198" t="str">
            <v>kg CO2 eq.</v>
          </cell>
          <cell r="Q198">
            <v>-1184.7750030638076</v>
          </cell>
          <cell r="R198" t="str">
            <v>kg CO2 eq.</v>
          </cell>
          <cell r="S198">
            <v>4726.8275085852747</v>
          </cell>
          <cell r="T198" t="str">
            <v>kg CO2 eq.</v>
          </cell>
          <cell r="U198">
            <v>64951.963679099586</v>
          </cell>
          <cell r="V198" t="str">
            <v>MJ</v>
          </cell>
          <cell r="Y198">
            <v>0</v>
          </cell>
          <cell r="Z198" t="str">
            <v>kg CO2 eq.</v>
          </cell>
          <cell r="AA198">
            <v>0</v>
          </cell>
          <cell r="AB198" t="str">
            <v>kg CO2 eq.</v>
          </cell>
          <cell r="AC198">
            <v>0</v>
          </cell>
          <cell r="AD198" t="str">
            <v>kg CO2 eq.</v>
          </cell>
          <cell r="AE198">
            <v>0</v>
          </cell>
          <cell r="AF198" t="str">
            <v>MJ</v>
          </cell>
        </row>
        <row r="199">
          <cell r="D199" t="str">
            <v>Sonnenschutz</v>
          </cell>
          <cell r="I199">
            <v>1000</v>
          </cell>
          <cell r="J199" t="str">
            <v>E4.C.03</v>
          </cell>
        </row>
        <row r="200">
          <cell r="D200" t="str">
            <v>Außenhülle erdberührt</v>
          </cell>
          <cell r="I200">
            <v>1000</v>
          </cell>
          <cell r="J200" t="str">
            <v>E4.C.04</v>
          </cell>
          <cell r="O200">
            <v>0</v>
          </cell>
          <cell r="P200" t="str">
            <v>kg CO2 eq.</v>
          </cell>
          <cell r="Q200">
            <v>0</v>
          </cell>
          <cell r="R200" t="str">
            <v>kg CO2 eq.</v>
          </cell>
          <cell r="S200">
            <v>0</v>
          </cell>
          <cell r="T200" t="str">
            <v>kg CO2 eq.</v>
          </cell>
          <cell r="U200">
            <v>0</v>
          </cell>
          <cell r="V200" t="str">
            <v>MJ</v>
          </cell>
          <cell r="Y200">
            <v>0</v>
          </cell>
          <cell r="Z200" t="str">
            <v>kg CO2 eq.</v>
          </cell>
          <cell r="AA200">
            <v>0</v>
          </cell>
          <cell r="AB200" t="str">
            <v>kg CO2 eq.</v>
          </cell>
          <cell r="AC200">
            <v>0</v>
          </cell>
          <cell r="AD200" t="str">
            <v>kg CO2 eq.</v>
          </cell>
          <cell r="AE200">
            <v>0</v>
          </cell>
          <cell r="AF200" t="str">
            <v>MJ</v>
          </cell>
        </row>
        <row r="201">
          <cell r="D201" t="str">
            <v>Sockeldämmung</v>
          </cell>
          <cell r="I201">
            <v>35</v>
          </cell>
          <cell r="J201" t="str">
            <v>E4.C.04a</v>
          </cell>
          <cell r="O201">
            <v>0</v>
          </cell>
          <cell r="P201" t="str">
            <v>kg CO2 eq.</v>
          </cell>
          <cell r="Q201">
            <v>0</v>
          </cell>
          <cell r="R201" t="str">
            <v>kg CO2 eq.</v>
          </cell>
          <cell r="S201">
            <v>0</v>
          </cell>
          <cell r="T201" t="str">
            <v>kg CO2 eq.</v>
          </cell>
          <cell r="U201">
            <v>0</v>
          </cell>
          <cell r="V201" t="str">
            <v>MJ</v>
          </cell>
          <cell r="Y201">
            <v>0</v>
          </cell>
          <cell r="Z201" t="str">
            <v>kg CO2 eq.</v>
          </cell>
          <cell r="AA201">
            <v>0</v>
          </cell>
          <cell r="AB201" t="str">
            <v>kg CO2 eq.</v>
          </cell>
          <cell r="AC201">
            <v>0</v>
          </cell>
          <cell r="AD201" t="str">
            <v>kg CO2 eq.</v>
          </cell>
          <cell r="AE201">
            <v>0</v>
          </cell>
          <cell r="AF201" t="str">
            <v>MJ</v>
          </cell>
        </row>
        <row r="202">
          <cell r="D202" t="str">
            <v>Perimeterdämmung</v>
          </cell>
          <cell r="I202">
            <v>35</v>
          </cell>
          <cell r="J202" t="str">
            <v>E4.C.04b</v>
          </cell>
          <cell r="O202">
            <v>0</v>
          </cell>
          <cell r="P202" t="str">
            <v>kg CO2 eq.</v>
          </cell>
          <cell r="Q202">
            <v>0</v>
          </cell>
          <cell r="R202" t="str">
            <v>kg CO2 eq.</v>
          </cell>
          <cell r="S202">
            <v>0</v>
          </cell>
          <cell r="T202" t="str">
            <v>kg CO2 eq.</v>
          </cell>
          <cell r="U202">
            <v>0</v>
          </cell>
          <cell r="V202" t="str">
            <v>MJ</v>
          </cell>
          <cell r="Y202">
            <v>0</v>
          </cell>
          <cell r="Z202" t="str">
            <v>kg CO2 eq.</v>
          </cell>
          <cell r="AA202">
            <v>0</v>
          </cell>
          <cell r="AB202" t="str">
            <v>kg CO2 eq.</v>
          </cell>
          <cell r="AC202">
            <v>0</v>
          </cell>
          <cell r="AD202" t="str">
            <v>kg CO2 eq.</v>
          </cell>
          <cell r="AE202">
            <v>0</v>
          </cell>
          <cell r="AF202" t="str">
            <v>MJ</v>
          </cell>
        </row>
        <row r="203">
          <cell r="D203" t="str">
            <v>Sonstige Fassadenhülle</v>
          </cell>
          <cell r="I203">
            <v>30</v>
          </cell>
          <cell r="J203" t="str">
            <v>E4.C.S</v>
          </cell>
        </row>
        <row r="204">
          <cell r="C204" t="str">
            <v>F7.1-4.D</v>
          </cell>
          <cell r="D204" t="str">
            <v>Innenausbau</v>
          </cell>
          <cell r="M204">
            <v>162252.58267772835</v>
          </cell>
          <cell r="N204" t="str">
            <v>€</v>
          </cell>
          <cell r="O204">
            <v>3971.5936244301279</v>
          </cell>
          <cell r="Q204">
            <v>-9473.4048400715401</v>
          </cell>
          <cell r="S204">
            <v>13444.998464501668</v>
          </cell>
          <cell r="U204">
            <v>220522.40354055341</v>
          </cell>
          <cell r="Y204">
            <v>2088.0781583984144</v>
          </cell>
          <cell r="AA204">
            <v>-2702.6470753194781</v>
          </cell>
          <cell r="AC204">
            <v>4790.7252337178925</v>
          </cell>
          <cell r="AE204">
            <v>98099.512878708993</v>
          </cell>
        </row>
        <row r="205">
          <cell r="C205" t="str">
            <v>F7.1-4.D.01</v>
          </cell>
          <cell r="D205" t="str">
            <v>Bodenbeläge</v>
          </cell>
          <cell r="G205">
            <v>0</v>
          </cell>
          <cell r="H205" t="str">
            <v>€/Instandsetzung</v>
          </cell>
          <cell r="I205">
            <v>20</v>
          </cell>
          <cell r="J205" t="str">
            <v>E4.D.01</v>
          </cell>
          <cell r="M205">
            <v>0</v>
          </cell>
          <cell r="N205" t="str">
            <v>€</v>
          </cell>
          <cell r="O205">
            <v>2088.0781583984144</v>
          </cell>
          <cell r="P205" t="str">
            <v>kg CO2 eq.</v>
          </cell>
          <cell r="Q205">
            <v>-2702.6470753194781</v>
          </cell>
          <cell r="R205" t="str">
            <v>kg CO2 eq.</v>
          </cell>
          <cell r="S205">
            <v>4790.7252337178925</v>
          </cell>
          <cell r="T205" t="str">
            <v>kg CO2 eq.</v>
          </cell>
          <cell r="U205">
            <v>98099.512878708993</v>
          </cell>
          <cell r="V205" t="str">
            <v>MJ</v>
          </cell>
          <cell r="Y205">
            <v>2088.0781583984144</v>
          </cell>
          <cell r="Z205" t="str">
            <v>kg CO2 eq.</v>
          </cell>
          <cell r="AA205">
            <v>-2702.6470753194781</v>
          </cell>
          <cell r="AB205" t="str">
            <v>kg CO2 eq.</v>
          </cell>
          <cell r="AC205">
            <v>4790.7252337178925</v>
          </cell>
          <cell r="AD205" t="str">
            <v>kg CO2 eq.</v>
          </cell>
          <cell r="AE205">
            <v>98099.512878708993</v>
          </cell>
          <cell r="AF205" t="str">
            <v>MJ</v>
          </cell>
        </row>
        <row r="206">
          <cell r="D206" t="str">
            <v>Bodenbelag 1</v>
          </cell>
          <cell r="I206">
            <v>25</v>
          </cell>
          <cell r="J206" t="str">
            <v>E4.D.01a</v>
          </cell>
          <cell r="O206">
            <v>210.38661405326874</v>
          </cell>
          <cell r="P206" t="str">
            <v>kg CO2 eq.</v>
          </cell>
          <cell r="Q206">
            <v>-149.88673074392901</v>
          </cell>
          <cell r="R206" t="str">
            <v>kg CO2 eq.</v>
          </cell>
          <cell r="S206">
            <v>360.27334479719775</v>
          </cell>
          <cell r="T206" t="str">
            <v>kg CO2 eq.</v>
          </cell>
          <cell r="U206">
            <v>7248.7843418952125</v>
          </cell>
          <cell r="V206" t="str">
            <v>MJ</v>
          </cell>
          <cell r="Y206">
            <v>210.38661405326874</v>
          </cell>
          <cell r="Z206" t="str">
            <v>kg CO2 eq.</v>
          </cell>
          <cell r="AA206">
            <v>-149.88673074392901</v>
          </cell>
          <cell r="AB206" t="str">
            <v>kg CO2 eq.</v>
          </cell>
          <cell r="AC206">
            <v>360.27334479719775</v>
          </cell>
          <cell r="AD206" t="str">
            <v>kg CO2 eq.</v>
          </cell>
          <cell r="AE206">
            <v>7248.7843418952125</v>
          </cell>
          <cell r="AF206" t="str">
            <v>MJ</v>
          </cell>
        </row>
        <row r="207">
          <cell r="D207" t="str">
            <v>Bodenbelag 2</v>
          </cell>
          <cell r="I207">
            <v>25</v>
          </cell>
          <cell r="J207" t="str">
            <v>E4.D.01b</v>
          </cell>
          <cell r="O207">
            <v>1096.8705431008204</v>
          </cell>
          <cell r="P207" t="str">
            <v>kg CO2 eq.</v>
          </cell>
          <cell r="Q207">
            <v>-2.3576021564857351E-2</v>
          </cell>
          <cell r="R207" t="str">
            <v>kg CO2 eq.</v>
          </cell>
          <cell r="S207">
            <v>1096.8941191223855</v>
          </cell>
          <cell r="T207" t="str">
            <v>kg CO2 eq.</v>
          </cell>
          <cell r="U207">
            <v>18636.821373640691</v>
          </cell>
          <cell r="V207" t="str">
            <v>MJ</v>
          </cell>
          <cell r="Y207">
            <v>1096.8705431008204</v>
          </cell>
          <cell r="Z207" t="str">
            <v>kg CO2 eq.</v>
          </cell>
          <cell r="AA207">
            <v>-2.3576021564857351E-2</v>
          </cell>
          <cell r="AB207" t="str">
            <v>kg CO2 eq.</v>
          </cell>
          <cell r="AC207">
            <v>1096.8941191223855</v>
          </cell>
          <cell r="AD207" t="str">
            <v>kg CO2 eq.</v>
          </cell>
          <cell r="AE207">
            <v>18636.821373640691</v>
          </cell>
          <cell r="AF207" t="str">
            <v>MJ</v>
          </cell>
        </row>
        <row r="208">
          <cell r="D208" t="str">
            <v>Bodenbelag 3</v>
          </cell>
          <cell r="I208">
            <v>25</v>
          </cell>
          <cell r="J208" t="str">
            <v>E4.D.01c</v>
          </cell>
          <cell r="O208">
            <v>780.82100124432532</v>
          </cell>
          <cell r="P208" t="str">
            <v>kg CO2 eq.</v>
          </cell>
          <cell r="Q208">
            <v>-2552.7367685539843</v>
          </cell>
          <cell r="R208" t="str">
            <v>kg CO2 eq.</v>
          </cell>
          <cell r="S208">
            <v>3333.5577697983094</v>
          </cell>
          <cell r="T208" t="str">
            <v>kg CO2 eq.</v>
          </cell>
          <cell r="U208">
            <v>72213.907163173091</v>
          </cell>
          <cell r="V208" t="str">
            <v>MJ</v>
          </cell>
          <cell r="Y208">
            <v>780.82100124432532</v>
          </cell>
          <cell r="Z208" t="str">
            <v>kg CO2 eq.</v>
          </cell>
          <cell r="AA208">
            <v>-2552.7367685539843</v>
          </cell>
          <cell r="AB208" t="str">
            <v>kg CO2 eq.</v>
          </cell>
          <cell r="AC208">
            <v>3333.5577697983094</v>
          </cell>
          <cell r="AD208" t="str">
            <v>kg CO2 eq.</v>
          </cell>
          <cell r="AE208">
            <v>72213.907163173091</v>
          </cell>
          <cell r="AF208" t="str">
            <v>MJ</v>
          </cell>
        </row>
        <row r="209">
          <cell r="C209" t="str">
            <v>F7.1-4.D.02</v>
          </cell>
          <cell r="D209" t="str">
            <v>Wandverkleidungen</v>
          </cell>
          <cell r="M209">
            <v>162252.58267772835</v>
          </cell>
          <cell r="N209" t="str">
            <v>€</v>
          </cell>
          <cell r="O209">
            <v>1783.4931136337498</v>
          </cell>
          <cell r="Q209">
            <v>-2675.9053456071406</v>
          </cell>
          <cell r="S209">
            <v>4459.3984592408906</v>
          </cell>
          <cell r="U209">
            <v>71554.727346664469</v>
          </cell>
          <cell r="Y209">
            <v>0</v>
          </cell>
          <cell r="AA209">
            <v>0</v>
          </cell>
          <cell r="AC209">
            <v>0</v>
          </cell>
          <cell r="AE209">
            <v>0</v>
          </cell>
        </row>
        <row r="210">
          <cell r="C210" t="str">
            <v>F7.1-4.D.02a</v>
          </cell>
          <cell r="D210" t="str">
            <v>Ausmalen</v>
          </cell>
          <cell r="G210">
            <v>2711.52</v>
          </cell>
          <cell r="H210" t="str">
            <v>€/Instandsetzung</v>
          </cell>
          <cell r="I210">
            <v>10</v>
          </cell>
          <cell r="J210" t="str">
            <v>F7.1-4.D.02a</v>
          </cell>
          <cell r="M210">
            <v>11681.039970962078</v>
          </cell>
          <cell r="N210" t="str">
            <v>€</v>
          </cell>
        </row>
        <row r="211">
          <cell r="C211" t="str">
            <v>F7.1-4.D.02b</v>
          </cell>
          <cell r="D211" t="str">
            <v>Instandsetzung Wandverkleidungen</v>
          </cell>
          <cell r="G211">
            <v>102279.53764172536</v>
          </cell>
          <cell r="H211" t="str">
            <v>€/Instandsetzung</v>
          </cell>
          <cell r="I211">
            <v>22</v>
          </cell>
          <cell r="J211" t="str">
            <v>E4.D.02</v>
          </cell>
          <cell r="M211">
            <v>150571.54270676628</v>
          </cell>
          <cell r="N211" t="str">
            <v>€</v>
          </cell>
          <cell r="O211">
            <v>1783.4931136337498</v>
          </cell>
          <cell r="P211" t="str">
            <v>kg CO2 eq.</v>
          </cell>
          <cell r="Q211">
            <v>-2675.9053456071406</v>
          </cell>
          <cell r="R211" t="str">
            <v>kg CO2 eq.</v>
          </cell>
          <cell r="S211">
            <v>4459.3984592408906</v>
          </cell>
          <cell r="T211" t="str">
            <v>kg CO2 eq.</v>
          </cell>
          <cell r="U211">
            <v>71554.727346664469</v>
          </cell>
          <cell r="V211" t="str">
            <v>MJ</v>
          </cell>
          <cell r="Y211">
            <v>0</v>
          </cell>
          <cell r="Z211" t="str">
            <v>kg CO2 eq.</v>
          </cell>
          <cell r="AA211">
            <v>0</v>
          </cell>
          <cell r="AB211" t="str">
            <v>kg CO2 eq.</v>
          </cell>
          <cell r="AC211">
            <v>0</v>
          </cell>
          <cell r="AD211" t="str">
            <v>kg CO2 eq.</v>
          </cell>
          <cell r="AE211">
            <v>0</v>
          </cell>
          <cell r="AF211" t="str">
            <v>MJ</v>
          </cell>
        </row>
        <row r="212">
          <cell r="D212" t="str">
            <v>Wandverkleidung 1</v>
          </cell>
          <cell r="I212">
            <v>50</v>
          </cell>
          <cell r="J212" t="str">
            <v>E4.D.02a</v>
          </cell>
          <cell r="O212">
            <v>1783.4931136337498</v>
          </cell>
          <cell r="P212" t="str">
            <v>kg CO2 eq.</v>
          </cell>
          <cell r="Q212">
            <v>-2675.9053456071406</v>
          </cell>
          <cell r="R212" t="str">
            <v>kg CO2 eq.</v>
          </cell>
          <cell r="S212">
            <v>4459.3984592408906</v>
          </cell>
          <cell r="T212" t="str">
            <v>kg CO2 eq.</v>
          </cell>
          <cell r="U212">
            <v>71554.727346664469</v>
          </cell>
          <cell r="V212" t="str">
            <v>MJ</v>
          </cell>
          <cell r="Y212">
            <v>0</v>
          </cell>
          <cell r="Z212" t="str">
            <v>kg CO2 eq.</v>
          </cell>
          <cell r="AA212">
            <v>0</v>
          </cell>
          <cell r="AB212" t="str">
            <v>kg CO2 eq.</v>
          </cell>
          <cell r="AC212">
            <v>0</v>
          </cell>
          <cell r="AD212" t="str">
            <v>kg CO2 eq.</v>
          </cell>
          <cell r="AE212">
            <v>0</v>
          </cell>
          <cell r="AF212" t="str">
            <v>MJ</v>
          </cell>
        </row>
        <row r="213">
          <cell r="D213" t="str">
            <v>Wandverkleidung 2</v>
          </cell>
          <cell r="I213">
            <v>1000</v>
          </cell>
          <cell r="J213" t="str">
            <v>E4.D.02b</v>
          </cell>
          <cell r="O213">
            <v>0</v>
          </cell>
          <cell r="P213" t="str">
            <v>kg CO2 eq.</v>
          </cell>
          <cell r="Q213">
            <v>0</v>
          </cell>
          <cell r="R213" t="str">
            <v>kg CO2 eq.</v>
          </cell>
          <cell r="S213">
            <v>0</v>
          </cell>
          <cell r="T213" t="str">
            <v>kg CO2 eq.</v>
          </cell>
          <cell r="U213">
            <v>0</v>
          </cell>
          <cell r="V213" t="str">
            <v>MJ</v>
          </cell>
          <cell r="Y213">
            <v>0</v>
          </cell>
          <cell r="Z213" t="str">
            <v>kg CO2 eq.</v>
          </cell>
          <cell r="AA213">
            <v>0</v>
          </cell>
          <cell r="AB213" t="str">
            <v>kg CO2 eq.</v>
          </cell>
          <cell r="AC213">
            <v>0</v>
          </cell>
          <cell r="AD213" t="str">
            <v>kg CO2 eq.</v>
          </cell>
          <cell r="AE213">
            <v>0</v>
          </cell>
          <cell r="AF213" t="str">
            <v>MJ</v>
          </cell>
        </row>
        <row r="214">
          <cell r="C214" t="str">
            <v>F7.1-4.D.03</v>
          </cell>
          <cell r="D214" t="str">
            <v>Deckenverkleidungen</v>
          </cell>
          <cell r="M214">
            <v>0</v>
          </cell>
          <cell r="N214" t="str">
            <v>€</v>
          </cell>
          <cell r="O214">
            <v>100.0223523979638</v>
          </cell>
          <cell r="Q214">
            <v>-4094.852419144921</v>
          </cell>
          <cell r="S214">
            <v>4194.8747715428844</v>
          </cell>
          <cell r="U214">
            <v>50868.16331517994</v>
          </cell>
          <cell r="Y214">
            <v>0</v>
          </cell>
          <cell r="AA214">
            <v>0</v>
          </cell>
          <cell r="AC214">
            <v>0</v>
          </cell>
          <cell r="AE214">
            <v>0</v>
          </cell>
        </row>
        <row r="215">
          <cell r="C215" t="str">
            <v>F7.1-4.D.03a</v>
          </cell>
          <cell r="D215" t="str">
            <v>Ausmalen</v>
          </cell>
          <cell r="G215">
            <v>0</v>
          </cell>
          <cell r="H215" t="str">
            <v>€/Instandsetzung</v>
          </cell>
          <cell r="I215">
            <v>10</v>
          </cell>
          <cell r="J215" t="str">
            <v>F7.1-4.D.03a</v>
          </cell>
          <cell r="M215">
            <v>0</v>
          </cell>
          <cell r="N215" t="str">
            <v>€</v>
          </cell>
        </row>
        <row r="216">
          <cell r="C216" t="str">
            <v>F7.1-4.D.03b</v>
          </cell>
          <cell r="D216" t="str">
            <v>Instandsetzung Deckenverkleidungen</v>
          </cell>
          <cell r="G216">
            <v>0</v>
          </cell>
          <cell r="H216" t="str">
            <v>€/Instandsetzung</v>
          </cell>
          <cell r="I216">
            <v>22</v>
          </cell>
          <cell r="J216" t="str">
            <v>E4.D.03</v>
          </cell>
          <cell r="M216">
            <v>0</v>
          </cell>
          <cell r="N216" t="str">
            <v>€</v>
          </cell>
          <cell r="O216">
            <v>100.0223523979638</v>
          </cell>
          <cell r="P216" t="str">
            <v>kg CO2 eq.</v>
          </cell>
          <cell r="Q216">
            <v>-4094.852419144921</v>
          </cell>
          <cell r="R216" t="str">
            <v>kg CO2 eq.</v>
          </cell>
          <cell r="S216">
            <v>4194.8747715428844</v>
          </cell>
          <cell r="T216" t="str">
            <v>kg CO2 eq.</v>
          </cell>
          <cell r="U216">
            <v>50868.16331517994</v>
          </cell>
          <cell r="V216" t="str">
            <v>MJ</v>
          </cell>
          <cell r="Y216">
            <v>0</v>
          </cell>
          <cell r="Z216" t="str">
            <v>kg CO2 eq.</v>
          </cell>
          <cell r="AA216">
            <v>0</v>
          </cell>
          <cell r="AB216" t="str">
            <v>kg CO2 eq.</v>
          </cell>
          <cell r="AC216">
            <v>0</v>
          </cell>
          <cell r="AD216" t="str">
            <v>kg CO2 eq.</v>
          </cell>
          <cell r="AE216">
            <v>0</v>
          </cell>
          <cell r="AF216" t="str">
            <v>MJ</v>
          </cell>
        </row>
        <row r="217">
          <cell r="D217" t="str">
            <v>Kellerdeckenverkleidungen</v>
          </cell>
          <cell r="I217">
            <v>1000</v>
          </cell>
          <cell r="J217" t="str">
            <v>E4.D.03a</v>
          </cell>
          <cell r="O217">
            <v>0</v>
          </cell>
          <cell r="P217" t="str">
            <v>kg CO2 eq.</v>
          </cell>
          <cell r="Q217">
            <v>0</v>
          </cell>
          <cell r="R217" t="str">
            <v>kg CO2 eq.</v>
          </cell>
          <cell r="S217">
            <v>0</v>
          </cell>
          <cell r="T217" t="str">
            <v>kg CO2 eq.</v>
          </cell>
          <cell r="U217">
            <v>0</v>
          </cell>
          <cell r="V217" t="str">
            <v>MJ</v>
          </cell>
          <cell r="Y217">
            <v>0</v>
          </cell>
          <cell r="Z217" t="str">
            <v>kg CO2 eq.</v>
          </cell>
          <cell r="AA217">
            <v>0</v>
          </cell>
          <cell r="AB217" t="str">
            <v>kg CO2 eq.</v>
          </cell>
          <cell r="AC217">
            <v>0</v>
          </cell>
          <cell r="AD217" t="str">
            <v>kg CO2 eq.</v>
          </cell>
          <cell r="AE217">
            <v>0</v>
          </cell>
          <cell r="AF217" t="str">
            <v>MJ</v>
          </cell>
        </row>
        <row r="218">
          <cell r="D218" t="str">
            <v>Geschoßdeckenverkleidungen</v>
          </cell>
          <cell r="I218">
            <v>50</v>
          </cell>
          <cell r="J218" t="str">
            <v>E4.D.03b</v>
          </cell>
          <cell r="O218">
            <v>-661.99336548937367</v>
          </cell>
          <cell r="P218" t="str">
            <v>kg CO2 eq.</v>
          </cell>
          <cell r="Q218">
            <v>-2951.5444257785243</v>
          </cell>
          <cell r="R218" t="str">
            <v>kg CO2 eq.</v>
          </cell>
          <cell r="S218">
            <v>2289.5510602891504</v>
          </cell>
          <cell r="T218" t="str">
            <v>kg CO2 eq.</v>
          </cell>
          <cell r="U218">
            <v>20295.672448529807</v>
          </cell>
          <cell r="V218" t="str">
            <v>MJ</v>
          </cell>
          <cell r="Y218">
            <v>0</v>
          </cell>
          <cell r="Z218" t="str">
            <v>kg CO2 eq.</v>
          </cell>
          <cell r="AA218">
            <v>0</v>
          </cell>
          <cell r="AB218" t="str">
            <v>kg CO2 eq.</v>
          </cell>
          <cell r="AC218">
            <v>0</v>
          </cell>
          <cell r="AD218" t="str">
            <v>kg CO2 eq.</v>
          </cell>
          <cell r="AE218">
            <v>0</v>
          </cell>
          <cell r="AF218" t="str">
            <v>MJ</v>
          </cell>
        </row>
        <row r="219">
          <cell r="D219" t="str">
            <v>Dachverkleidungen</v>
          </cell>
          <cell r="I219">
            <v>50</v>
          </cell>
          <cell r="J219" t="str">
            <v>E4.D.03c</v>
          </cell>
          <cell r="O219">
            <v>762.01571788733747</v>
          </cell>
          <cell r="P219" t="str">
            <v>kg CO2 eq.</v>
          </cell>
          <cell r="Q219">
            <v>-1143.3079933663967</v>
          </cell>
          <cell r="R219" t="str">
            <v>kg CO2 eq.</v>
          </cell>
          <cell r="S219">
            <v>1905.3237112537342</v>
          </cell>
          <cell r="T219" t="str">
            <v>kg CO2 eq.</v>
          </cell>
          <cell r="U219">
            <v>30572.490866650132</v>
          </cell>
          <cell r="V219" t="str">
            <v>MJ</v>
          </cell>
          <cell r="Y219">
            <v>0</v>
          </cell>
          <cell r="Z219" t="str">
            <v>kg CO2 eq.</v>
          </cell>
          <cell r="AA219">
            <v>0</v>
          </cell>
          <cell r="AB219" t="str">
            <v>kg CO2 eq.</v>
          </cell>
          <cell r="AC219">
            <v>0</v>
          </cell>
          <cell r="AD219" t="str">
            <v>kg CO2 eq.</v>
          </cell>
          <cell r="AE219">
            <v>0</v>
          </cell>
          <cell r="AF219" t="str">
            <v>MJ</v>
          </cell>
        </row>
        <row r="220">
          <cell r="C220" t="str">
            <v>F7.1-4.D.04</v>
          </cell>
          <cell r="D220" t="str">
            <v>Innentüren, Innenfenster</v>
          </cell>
          <cell r="G220">
            <v>0</v>
          </cell>
          <cell r="H220" t="str">
            <v>€/Instandsetzung</v>
          </cell>
          <cell r="I220">
            <v>24</v>
          </cell>
          <cell r="J220" t="str">
            <v>E4.D.04</v>
          </cell>
          <cell r="M220">
            <v>0</v>
          </cell>
          <cell r="N220" t="str">
            <v>€</v>
          </cell>
          <cell r="O220">
            <v>0</v>
          </cell>
          <cell r="P220" t="str">
            <v>kg CO2 eq.</v>
          </cell>
          <cell r="Q220">
            <v>0</v>
          </cell>
          <cell r="R220" t="str">
            <v>kg CO2 eq.</v>
          </cell>
          <cell r="S220">
            <v>0</v>
          </cell>
          <cell r="T220" t="str">
            <v>kg CO2 eq.</v>
          </cell>
          <cell r="U220">
            <v>0</v>
          </cell>
          <cell r="V220" t="str">
            <v>MJ</v>
          </cell>
          <cell r="Z220" t="str">
            <v>kg CO2 eq.</v>
          </cell>
          <cell r="AA220">
            <v>0</v>
          </cell>
          <cell r="AB220" t="str">
            <v>kg CO2 eq.</v>
          </cell>
          <cell r="AC220">
            <v>0</v>
          </cell>
          <cell r="AD220" t="str">
            <v>kg CO2 eq.</v>
          </cell>
          <cell r="AE220">
            <v>0</v>
          </cell>
          <cell r="AF220" t="str">
            <v>MJ</v>
          </cell>
        </row>
        <row r="221">
          <cell r="C221" t="str">
            <v>F7.1-4.D.05</v>
          </cell>
          <cell r="D221" t="str">
            <v>Innenwandelemente</v>
          </cell>
          <cell r="G221">
            <v>0</v>
          </cell>
          <cell r="H221" t="str">
            <v>€/Instandsetzung</v>
          </cell>
          <cell r="I221">
            <v>1000</v>
          </cell>
          <cell r="J221" t="str">
            <v>E4.D.05</v>
          </cell>
          <cell r="M221">
            <v>0</v>
          </cell>
          <cell r="N221" t="str">
            <v>€</v>
          </cell>
          <cell r="O221">
            <v>0</v>
          </cell>
          <cell r="P221" t="str">
            <v>kg CO2 eq.</v>
          </cell>
          <cell r="Q221">
            <v>0</v>
          </cell>
          <cell r="R221" t="str">
            <v>kg CO2 eq.</v>
          </cell>
          <cell r="S221">
            <v>0</v>
          </cell>
          <cell r="T221" t="str">
            <v>kg CO2 eq.</v>
          </cell>
          <cell r="U221">
            <v>0</v>
          </cell>
          <cell r="V221" t="str">
            <v>MJ</v>
          </cell>
          <cell r="Y221">
            <v>0</v>
          </cell>
          <cell r="Z221" t="str">
            <v>kg CO2 eq.</v>
          </cell>
          <cell r="AA221">
            <v>0</v>
          </cell>
          <cell r="AB221" t="str">
            <v>kg CO2 eq.</v>
          </cell>
          <cell r="AC221">
            <v>0</v>
          </cell>
          <cell r="AD221" t="str">
            <v>kg CO2 eq.</v>
          </cell>
          <cell r="AE221">
            <v>0</v>
          </cell>
          <cell r="AF221" t="str">
            <v>MJ</v>
          </cell>
        </row>
        <row r="222">
          <cell r="C222" t="str">
            <v>F7.1-4.D.S</v>
          </cell>
          <cell r="D222" t="str">
            <v>Sonstiger Innenausbau</v>
          </cell>
          <cell r="G222">
            <v>0</v>
          </cell>
          <cell r="H222" t="str">
            <v>€/Instandsetzung</v>
          </cell>
          <cell r="I222">
            <v>24</v>
          </cell>
          <cell r="J222" t="str">
            <v>E4.D.S</v>
          </cell>
          <cell r="M222">
            <v>0</v>
          </cell>
          <cell r="N222" t="str">
            <v>€</v>
          </cell>
        </row>
        <row r="223">
          <cell r="C223" t="str">
            <v>F7.1-5</v>
          </cell>
          <cell r="D223" t="str">
            <v>Einrichtung</v>
          </cell>
          <cell r="M223">
            <v>87403.938474655253</v>
          </cell>
          <cell r="N223" t="str">
            <v>€</v>
          </cell>
        </row>
        <row r="224">
          <cell r="C224" t="str">
            <v>F7.1-5.A</v>
          </cell>
          <cell r="D224" t="str">
            <v>Allgemeine Einrichtung</v>
          </cell>
          <cell r="G224">
            <v>0</v>
          </cell>
          <cell r="H224" t="str">
            <v>€/Instandsetzung</v>
          </cell>
          <cell r="I224">
            <v>25</v>
          </cell>
          <cell r="J224" t="str">
            <v>E5.A</v>
          </cell>
          <cell r="M224">
            <v>0</v>
          </cell>
          <cell r="N224" t="str">
            <v>€</v>
          </cell>
        </row>
        <row r="225">
          <cell r="C225" t="str">
            <v>F7.1-5.B</v>
          </cell>
          <cell r="D225" t="str">
            <v>Betriebseinrichtung</v>
          </cell>
          <cell r="G225">
            <v>0</v>
          </cell>
          <cell r="H225" t="str">
            <v>€/Instandsetzung</v>
          </cell>
          <cell r="I225">
            <v>15</v>
          </cell>
          <cell r="J225" t="str">
            <v>E5.B</v>
          </cell>
          <cell r="M225">
            <v>0</v>
          </cell>
          <cell r="N225" t="str">
            <v>€</v>
          </cell>
        </row>
        <row r="226">
          <cell r="C226" t="str">
            <v>F7.1-5.C</v>
          </cell>
          <cell r="D226" t="str">
            <v>Ausstattungen, Kunstwerke</v>
          </cell>
          <cell r="G226">
            <v>0</v>
          </cell>
          <cell r="H226" t="str">
            <v>€/Instandsetzung</v>
          </cell>
          <cell r="I226">
            <v>25</v>
          </cell>
          <cell r="J226" t="str">
            <v>E5.C</v>
          </cell>
          <cell r="M226">
            <v>0</v>
          </cell>
          <cell r="N226" t="str">
            <v>€</v>
          </cell>
        </row>
        <row r="227">
          <cell r="C227" t="str">
            <v>F7.1-5.S</v>
          </cell>
          <cell r="D227" t="str">
            <v>Einrichtung Sonstiges</v>
          </cell>
          <cell r="G227">
            <v>56321.475115682988</v>
          </cell>
          <cell r="H227" t="str">
            <v>€/Instandsetzung</v>
          </cell>
          <cell r="I227">
            <v>25</v>
          </cell>
          <cell r="J227" t="str">
            <v>E5.S</v>
          </cell>
          <cell r="M227">
            <v>87403.938474655253</v>
          </cell>
          <cell r="N227" t="str">
            <v>€</v>
          </cell>
        </row>
        <row r="228">
          <cell r="C228" t="str">
            <v>F7.1-6</v>
          </cell>
          <cell r="D228" t="str">
            <v>Außenanlagen</v>
          </cell>
          <cell r="M228">
            <v>0</v>
          </cell>
          <cell r="N228" t="str">
            <v>€</v>
          </cell>
        </row>
        <row r="229">
          <cell r="C229" t="str">
            <v>F7.1-6.A</v>
          </cell>
          <cell r="D229" t="str">
            <v>Allgemeine Außenanlagen</v>
          </cell>
          <cell r="G229">
            <v>0</v>
          </cell>
          <cell r="H229" t="str">
            <v>€/Instandsetzung</v>
          </cell>
          <cell r="I229">
            <v>50</v>
          </cell>
          <cell r="J229" t="str">
            <v>E6.A</v>
          </cell>
          <cell r="M229">
            <v>0</v>
          </cell>
          <cell r="N229" t="str">
            <v>€</v>
          </cell>
        </row>
        <row r="230">
          <cell r="C230" t="str">
            <v>F7.1-6.B</v>
          </cell>
          <cell r="D230" t="str">
            <v>Geländeflächen</v>
          </cell>
          <cell r="G230">
            <v>0</v>
          </cell>
          <cell r="H230" t="str">
            <v>€/Instandsetzung</v>
          </cell>
          <cell r="I230">
            <v>50</v>
          </cell>
          <cell r="J230" t="str">
            <v>E6.B</v>
          </cell>
          <cell r="M230">
            <v>0</v>
          </cell>
          <cell r="N230" t="str">
            <v>€</v>
          </cell>
        </row>
        <row r="231">
          <cell r="C231" t="str">
            <v>F7.1-6.C</v>
          </cell>
          <cell r="D231" t="str">
            <v>Befestigte Flächen</v>
          </cell>
          <cell r="G231">
            <v>0</v>
          </cell>
          <cell r="H231" t="str">
            <v>€/Instandsetzung</v>
          </cell>
          <cell r="I231">
            <v>37</v>
          </cell>
          <cell r="J231" t="str">
            <v>E6.C</v>
          </cell>
          <cell r="M231">
            <v>0</v>
          </cell>
          <cell r="N231" t="str">
            <v>€</v>
          </cell>
        </row>
        <row r="232">
          <cell r="C232" t="str">
            <v>F7.1-6.D</v>
          </cell>
          <cell r="D232" t="str">
            <v>Bauteile Außenanlagen</v>
          </cell>
          <cell r="G232">
            <v>0</v>
          </cell>
          <cell r="H232" t="str">
            <v>€/Instandsetzung</v>
          </cell>
          <cell r="I232">
            <v>30</v>
          </cell>
          <cell r="J232" t="str">
            <v>E6.D</v>
          </cell>
          <cell r="M232">
            <v>0</v>
          </cell>
          <cell r="N232" t="str">
            <v>€</v>
          </cell>
        </row>
        <row r="233">
          <cell r="C233" t="str">
            <v>F7.1-6.S</v>
          </cell>
          <cell r="D233" t="str">
            <v>Außenanlagen Sonstiges</v>
          </cell>
          <cell r="G233">
            <v>58631.071461513937</v>
          </cell>
          <cell r="H233" t="str">
            <v>€/Instandsetzung</v>
          </cell>
          <cell r="I233">
            <v>50</v>
          </cell>
          <cell r="J233" t="str">
            <v>E6.S</v>
          </cell>
          <cell r="M233">
            <v>0</v>
          </cell>
          <cell r="N233" t="str">
            <v>€</v>
          </cell>
        </row>
        <row r="234">
          <cell r="C234" t="str">
            <v>F7.2</v>
          </cell>
          <cell r="D234" t="str">
            <v>Verbesserung und Umnutzung</v>
          </cell>
          <cell r="G234">
            <v>0</v>
          </cell>
          <cell r="H234" t="str">
            <v>€</v>
          </cell>
          <cell r="I234">
            <v>1000</v>
          </cell>
          <cell r="J234" t="str">
            <v>LEBENT</v>
          </cell>
          <cell r="M234">
            <v>0</v>
          </cell>
          <cell r="N234" t="str">
            <v>€</v>
          </cell>
        </row>
        <row r="235">
          <cell r="C235" t="str">
            <v>F8</v>
          </cell>
          <cell r="D235" t="str">
            <v>Sonstiges</v>
          </cell>
          <cell r="G235">
            <v>0</v>
          </cell>
          <cell r="H235" t="str">
            <v>€</v>
          </cell>
          <cell r="M235">
            <v>0</v>
          </cell>
          <cell r="N235" t="str">
            <v>€</v>
          </cell>
        </row>
        <row r="236">
          <cell r="C236" t="str">
            <v>F8.1</v>
          </cell>
          <cell r="D236" t="str">
            <v>Sonstiges</v>
          </cell>
          <cell r="G236">
            <v>0</v>
          </cell>
          <cell r="H236" t="str">
            <v>€</v>
          </cell>
          <cell r="I236">
            <v>1000</v>
          </cell>
          <cell r="J236" t="str">
            <v>LEBENT</v>
          </cell>
          <cell r="M236">
            <v>0</v>
          </cell>
          <cell r="N236" t="str">
            <v>€</v>
          </cell>
        </row>
        <row r="237">
          <cell r="C237" t="str">
            <v>F9</v>
          </cell>
          <cell r="D237" t="str">
            <v>Objektbeseitigung, Abbruch</v>
          </cell>
          <cell r="G237">
            <v>1773468.395406276</v>
          </cell>
          <cell r="H237" t="str">
            <v>€</v>
          </cell>
          <cell r="M237">
            <v>3183394.4492431721</v>
          </cell>
          <cell r="N237" t="str">
            <v>€</v>
          </cell>
        </row>
        <row r="238">
          <cell r="C238" t="str">
            <v>F9.1</v>
          </cell>
          <cell r="D238" t="str">
            <v>Planung und Organisation</v>
          </cell>
          <cell r="G238">
            <v>339197.12110761483</v>
          </cell>
          <cell r="H238" t="str">
            <v>€</v>
          </cell>
          <cell r="I238">
            <v>1000</v>
          </cell>
          <cell r="J238" t="str">
            <v>LEBENT</v>
          </cell>
          <cell r="M238">
            <v>482762.79244143621</v>
          </cell>
          <cell r="N238" t="str">
            <v>€</v>
          </cell>
        </row>
        <row r="239">
          <cell r="C239" t="str">
            <v>F9.2</v>
          </cell>
          <cell r="D239" t="str">
            <v>Abbruch und Entsorgung</v>
          </cell>
          <cell r="G239">
            <v>1433676.0142986611</v>
          </cell>
          <cell r="H239" t="str">
            <v>€</v>
          </cell>
          <cell r="I239">
            <v>1000</v>
          </cell>
          <cell r="J239" t="str">
            <v>LEBENT</v>
          </cell>
          <cell r="M239">
            <v>2699510.8242027466</v>
          </cell>
          <cell r="N239" t="str">
            <v>€</v>
          </cell>
          <cell r="P239" t="str">
            <v>kg CO2 eq.</v>
          </cell>
          <cell r="R239" t="str">
            <v>kg CO2 eq.</v>
          </cell>
          <cell r="T239" t="str">
            <v>kg CO2 eq.</v>
          </cell>
          <cell r="V239" t="str">
            <v>MJ</v>
          </cell>
          <cell r="Z239" t="str">
            <v>kg CO2 eq.</v>
          </cell>
          <cell r="AB239" t="str">
            <v>kg CO2 eq.</v>
          </cell>
          <cell r="AD239" t="str">
            <v>kg CO2 eq.</v>
          </cell>
          <cell r="AF239" t="str">
            <v>MJ</v>
          </cell>
        </row>
        <row r="240">
          <cell r="C240" t="str">
            <v>F9.3</v>
          </cell>
          <cell r="D240" t="str">
            <v>Herstellung des Vertragszustands</v>
          </cell>
          <cell r="G240">
            <v>595.25999999999988</v>
          </cell>
          <cell r="H240" t="str">
            <v>€</v>
          </cell>
          <cell r="I240">
            <v>1000</v>
          </cell>
          <cell r="J240" t="str">
            <v>LEBENT</v>
          </cell>
          <cell r="M240">
            <v>1120.8325989892564</v>
          </cell>
          <cell r="N240" t="str">
            <v>€</v>
          </cell>
        </row>
        <row r="241">
          <cell r="D241" t="str">
            <v>Kostenkennwerte</v>
          </cell>
          <cell r="N241" t="str">
            <v>€</v>
          </cell>
        </row>
        <row r="242">
          <cell r="C242" t="str">
            <v>KGB</v>
          </cell>
          <cell r="D242" t="str">
            <v>Kosten des Gebäudebetriebs [F1-F5]</v>
          </cell>
          <cell r="F242" t="str">
            <v>#F1+#F2+#F3+#F4+#F5</v>
          </cell>
          <cell r="G242">
            <v>72532.606149031417</v>
          </cell>
          <cell r="H242" t="str">
            <v>€/Jahr</v>
          </cell>
          <cell r="M242">
            <v>3144036.3106415286</v>
          </cell>
          <cell r="N242" t="str">
            <v>€</v>
          </cell>
        </row>
        <row r="243">
          <cell r="C243" t="str">
            <v>GBK</v>
          </cell>
          <cell r="D243" t="str">
            <v>Gebäudebasiskosten [E1-F5]</v>
          </cell>
          <cell r="F243" t="str">
            <v>EK+KGB</v>
          </cell>
          <cell r="M243">
            <v>4606385.2406415287</v>
          </cell>
          <cell r="N243" t="str">
            <v>€</v>
          </cell>
        </row>
        <row r="244">
          <cell r="C244" t="str">
            <v>ONK</v>
          </cell>
          <cell r="D244" t="str">
            <v>Nutzungskosten [F1-F8]</v>
          </cell>
          <cell r="F244" t="str">
            <v>KGB+#F6+#F7+#F8</v>
          </cell>
          <cell r="M244">
            <v>5302336.9732964206</v>
          </cell>
          <cell r="N244" t="str">
            <v>€</v>
          </cell>
        </row>
        <row r="245">
          <cell r="C245" t="str">
            <v>OFK</v>
          </cell>
          <cell r="D245" t="str">
            <v>Folgekosten [F1-F9]</v>
          </cell>
          <cell r="F245" t="str">
            <v>ONK+#F9</v>
          </cell>
          <cell r="M245">
            <v>8485731.4225395918</v>
          </cell>
          <cell r="N245" t="str">
            <v>€</v>
          </cell>
        </row>
        <row r="246">
          <cell r="C246" t="str">
            <v>LZK</v>
          </cell>
          <cell r="D246" t="str">
            <v>Lebenszykluskosten [E1-F9]</v>
          </cell>
          <cell r="F246" t="str">
            <v>EK+OFK</v>
          </cell>
          <cell r="M246">
            <v>9948080.3525395915</v>
          </cell>
          <cell r="N246" t="str">
            <v>€</v>
          </cell>
        </row>
      </sheetData>
      <sheetData sheetId="8" refreshError="1"/>
      <sheetData sheetId="9" refreshError="1"/>
      <sheetData sheetId="10">
        <row r="3">
          <cell r="C3" t="str">
            <v>F</v>
          </cell>
          <cell r="D3" t="str">
            <v>Objekt-Folgekosten</v>
          </cell>
          <cell r="G3" t="str">
            <v>zurück zu "Nutzung und Betrieb"</v>
          </cell>
        </row>
        <row r="4">
          <cell r="C4" t="str">
            <v>F1</v>
          </cell>
          <cell r="D4" t="str">
            <v>Verwaltung</v>
          </cell>
          <cell r="F4" t="str">
            <v>#SUM</v>
          </cell>
          <cell r="G4">
            <v>1619.6241599999998</v>
          </cell>
          <cell r="J4" t="str">
            <v>€/Jahr</v>
          </cell>
          <cell r="O4">
            <v>70264.59711880442</v>
          </cell>
          <cell r="P4" t="str">
            <v>€</v>
          </cell>
        </row>
        <row r="5">
          <cell r="C5" t="str">
            <v>F1.1</v>
          </cell>
          <cell r="D5" t="str">
            <v>Verwaltung und Management</v>
          </cell>
          <cell r="F5" t="str">
            <v>NF*VWKm2</v>
          </cell>
          <cell r="G5">
            <v>1619.6241599999998</v>
          </cell>
          <cell r="H5">
            <v>1619.6241599999998</v>
          </cell>
          <cell r="J5" t="str">
            <v>€/Jahr</v>
          </cell>
          <cell r="K5" t="str">
            <v>1</v>
          </cell>
          <cell r="L5" t="str">
            <v>PALLG</v>
          </cell>
          <cell r="M5">
            <v>2.5</v>
          </cell>
          <cell r="N5">
            <v>1.0098522167487685</v>
          </cell>
          <cell r="O5">
            <v>70264.59711880442</v>
          </cell>
          <cell r="P5" t="str">
            <v>€</v>
          </cell>
          <cell r="Q5">
            <v>0</v>
          </cell>
          <cell r="R5">
            <v>1635.5810482758618</v>
          </cell>
          <cell r="S5">
            <v>3287.2761955495148</v>
          </cell>
          <cell r="T5">
            <v>4955.2442014170101</v>
          </cell>
          <cell r="U5">
            <v>6639.645389608293</v>
          </cell>
          <cell r="V5">
            <v>8340.6416633975296</v>
          </cell>
          <cell r="W5">
            <v>10058.396521165005</v>
          </cell>
          <cell r="X5">
            <v>11793.07507211245</v>
          </cell>
          <cell r="Y5">
            <v>13544.844052133238</v>
          </cell>
          <cell r="Z5">
            <v>15313.871839838983</v>
          </cell>
          <cell r="AA5">
            <v>17100.328472743808</v>
          </cell>
          <cell r="AB5">
            <v>18904.385663608282</v>
          </cell>
          <cell r="AC5">
            <v>20726.216816944303</v>
          </cell>
          <cell r="AD5">
            <v>22565.997045682656</v>
          </cell>
          <cell r="AE5">
            <v>24423.903188004679</v>
          </cell>
          <cell r="AF5">
            <v>26300.113824339696</v>
          </cell>
          <cell r="AG5">
            <v>28194.809294530209</v>
          </cell>
          <cell r="AH5">
            <v>30108.17171516599</v>
          </cell>
          <cell r="AI5">
            <v>32040.384997088779</v>
          </cell>
          <cell r="AJ5">
            <v>33991.634863069958</v>
          </cell>
          <cell r="AK5">
            <v>35962.108865661779</v>
          </cell>
          <cell r="AL5">
            <v>37951.996405224927</v>
          </cell>
          <cell r="AM5">
            <v>39961.48874813359</v>
          </cell>
          <cell r="AN5">
            <v>41990.779045159521</v>
          </cell>
          <cell r="AO5">
            <v>44040.062350037901</v>
          </cell>
          <cell r="AP5">
            <v>46109.535638215646</v>
          </cell>
          <cell r="AQ5">
            <v>48199.397825784246</v>
          </cell>
          <cell r="AR5">
            <v>50309.84978859988</v>
          </cell>
          <cell r="AS5">
            <v>52441.094381590992</v>
          </cell>
          <cell r="AT5">
            <v>54593.336458256883</v>
          </cell>
          <cell r="AU5">
            <v>56766.782890357965</v>
          </cell>
          <cell r="AV5">
            <v>58961.642587799914</v>
          </cell>
          <cell r="AW5">
            <v>61178.126518714162</v>
          </cell>
          <cell r="AX5">
            <v>63416.447729735992</v>
          </cell>
          <cell r="AY5">
            <v>65676.821366482152</v>
          </cell>
          <cell r="AZ5">
            <v>67959.464694230774</v>
          </cell>
          <cell r="BA5">
            <v>70264.59711880442</v>
          </cell>
          <cell r="BB5" t="e">
            <v>#VALUE!</v>
          </cell>
          <cell r="BC5" t="e">
            <v>#VALUE!</v>
          </cell>
          <cell r="BD5" t="e">
            <v>#VALUE!</v>
          </cell>
          <cell r="BE5" t="e">
            <v>#VALUE!</v>
          </cell>
          <cell r="BF5" t="e">
            <v>#VALUE!</v>
          </cell>
          <cell r="BG5" t="e">
            <v>#VALUE!</v>
          </cell>
          <cell r="BH5" t="e">
            <v>#VALUE!</v>
          </cell>
          <cell r="BI5" t="e">
            <v>#VALUE!</v>
          </cell>
          <cell r="BJ5" t="e">
            <v>#VALUE!</v>
          </cell>
          <cell r="BK5" t="e">
            <v>#VALUE!</v>
          </cell>
          <cell r="BL5" t="e">
            <v>#VALUE!</v>
          </cell>
          <cell r="BM5" t="e">
            <v>#VALUE!</v>
          </cell>
          <cell r="BN5" t="e">
            <v>#VALUE!</v>
          </cell>
          <cell r="BO5" t="e">
            <v>#VALUE!</v>
          </cell>
          <cell r="BP5" t="e">
            <v>#VALUE!</v>
          </cell>
          <cell r="BQ5" t="e">
            <v>#VALUE!</v>
          </cell>
          <cell r="BR5" t="e">
            <v>#VALUE!</v>
          </cell>
          <cell r="BS5" t="e">
            <v>#VALUE!</v>
          </cell>
          <cell r="BT5" t="e">
            <v>#VALUE!</v>
          </cell>
          <cell r="BU5" t="e">
            <v>#VALUE!</v>
          </cell>
          <cell r="BV5" t="e">
            <v>#VALUE!</v>
          </cell>
          <cell r="BW5" t="e">
            <v>#VALUE!</v>
          </cell>
          <cell r="BX5" t="e">
            <v>#VALUE!</v>
          </cell>
          <cell r="BY5" t="e">
            <v>#VALUE!</v>
          </cell>
          <cell r="BZ5" t="e">
            <v>#VALUE!</v>
          </cell>
          <cell r="CA5" t="e">
            <v>#VALUE!</v>
          </cell>
          <cell r="CB5" t="e">
            <v>#VALUE!</v>
          </cell>
          <cell r="CC5" t="e">
            <v>#VALUE!</v>
          </cell>
          <cell r="CD5" t="e">
            <v>#VALUE!</v>
          </cell>
          <cell r="CE5" t="e">
            <v>#VALUE!</v>
          </cell>
          <cell r="CF5" t="e">
            <v>#VALUE!</v>
          </cell>
          <cell r="CG5" t="e">
            <v>#VALUE!</v>
          </cell>
          <cell r="CH5" t="e">
            <v>#VALUE!</v>
          </cell>
          <cell r="CI5" t="e">
            <v>#VALUE!</v>
          </cell>
          <cell r="CJ5" t="e">
            <v>#VALUE!</v>
          </cell>
          <cell r="CK5" t="e">
            <v>#VALUE!</v>
          </cell>
          <cell r="CL5" t="e">
            <v>#VALUE!</v>
          </cell>
          <cell r="CM5" t="e">
            <v>#VALUE!</v>
          </cell>
          <cell r="CN5" t="e">
            <v>#VALUE!</v>
          </cell>
          <cell r="CO5" t="e">
            <v>#VALUE!</v>
          </cell>
          <cell r="CP5" t="e">
            <v>#VALUE!</v>
          </cell>
          <cell r="CQ5" t="e">
            <v>#VALUE!</v>
          </cell>
          <cell r="CR5" t="e">
            <v>#VALUE!</v>
          </cell>
          <cell r="CS5" t="e">
            <v>#VALUE!</v>
          </cell>
          <cell r="CT5" t="e">
            <v>#VALUE!</v>
          </cell>
          <cell r="CU5" t="e">
            <v>#VALUE!</v>
          </cell>
          <cell r="CV5" t="e">
            <v>#VALUE!</v>
          </cell>
          <cell r="CW5" t="e">
            <v>#VALUE!</v>
          </cell>
          <cell r="CX5" t="e">
            <v>#VALUE!</v>
          </cell>
          <cell r="CY5" t="e">
            <v>#VALUE!</v>
          </cell>
          <cell r="CZ5" t="e">
            <v>#VALUE!</v>
          </cell>
          <cell r="DA5" t="e">
            <v>#VALUE!</v>
          </cell>
          <cell r="DB5" t="e">
            <v>#VALUE!</v>
          </cell>
          <cell r="DC5" t="e">
            <v>#VALUE!</v>
          </cell>
          <cell r="DD5" t="e">
            <v>#VALUE!</v>
          </cell>
          <cell r="DE5" t="e">
            <v>#VALUE!</v>
          </cell>
          <cell r="DF5" t="e">
            <v>#VALUE!</v>
          </cell>
          <cell r="DG5" t="e">
            <v>#VALUE!</v>
          </cell>
          <cell r="DH5" t="e">
            <v>#VALUE!</v>
          </cell>
          <cell r="DI5" t="e">
            <v>#VALUE!</v>
          </cell>
          <cell r="DJ5" t="e">
            <v>#VALUE!</v>
          </cell>
          <cell r="DK5" t="e">
            <v>#VALUE!</v>
          </cell>
          <cell r="DL5" t="e">
            <v>#VALUE!</v>
          </cell>
          <cell r="DM5" t="e">
            <v>#VALUE!</v>
          </cell>
        </row>
        <row r="6">
          <cell r="C6" t="str">
            <v>F1.2</v>
          </cell>
          <cell r="D6" t="str">
            <v>Gebühren, Steuern und Abgaben</v>
          </cell>
          <cell r="G6">
            <v>0</v>
          </cell>
          <cell r="J6" t="str">
            <v>€/Jahr</v>
          </cell>
          <cell r="K6" t="str">
            <v>1</v>
          </cell>
          <cell r="L6" t="str">
            <v>PALLG</v>
          </cell>
          <cell r="M6">
            <v>2.5</v>
          </cell>
          <cell r="N6">
            <v>1.0098522167487685</v>
          </cell>
          <cell r="O6">
            <v>0</v>
          </cell>
          <cell r="P6" t="str">
            <v>€</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t="e">
            <v>#VALUE!</v>
          </cell>
          <cell r="BC6" t="e">
            <v>#VALUE!</v>
          </cell>
          <cell r="BD6" t="e">
            <v>#VALUE!</v>
          </cell>
          <cell r="BE6" t="e">
            <v>#VALUE!</v>
          </cell>
          <cell r="BF6" t="e">
            <v>#VALUE!</v>
          </cell>
          <cell r="BG6" t="e">
            <v>#VALUE!</v>
          </cell>
          <cell r="BH6" t="e">
            <v>#VALUE!</v>
          </cell>
          <cell r="BI6" t="e">
            <v>#VALUE!</v>
          </cell>
          <cell r="BJ6" t="e">
            <v>#VALUE!</v>
          </cell>
          <cell r="BK6" t="e">
            <v>#VALUE!</v>
          </cell>
          <cell r="BL6" t="e">
            <v>#VALUE!</v>
          </cell>
          <cell r="BM6" t="e">
            <v>#VALUE!</v>
          </cell>
          <cell r="BN6" t="e">
            <v>#VALUE!</v>
          </cell>
          <cell r="BO6" t="e">
            <v>#VALUE!</v>
          </cell>
          <cell r="BP6" t="e">
            <v>#VALUE!</v>
          </cell>
          <cell r="BQ6" t="e">
            <v>#VALUE!</v>
          </cell>
          <cell r="BR6" t="e">
            <v>#VALUE!</v>
          </cell>
          <cell r="BS6" t="e">
            <v>#VALUE!</v>
          </cell>
          <cell r="BT6" t="e">
            <v>#VALUE!</v>
          </cell>
          <cell r="BU6" t="e">
            <v>#VALUE!</v>
          </cell>
          <cell r="BV6" t="e">
            <v>#VALUE!</v>
          </cell>
          <cell r="BW6" t="e">
            <v>#VALUE!</v>
          </cell>
          <cell r="BX6" t="e">
            <v>#VALUE!</v>
          </cell>
          <cell r="BY6" t="e">
            <v>#VALUE!</v>
          </cell>
          <cell r="BZ6" t="e">
            <v>#VALUE!</v>
          </cell>
          <cell r="CA6" t="e">
            <v>#VALUE!</v>
          </cell>
          <cell r="CB6" t="e">
            <v>#VALUE!</v>
          </cell>
          <cell r="CC6" t="e">
            <v>#VALUE!</v>
          </cell>
          <cell r="CD6" t="e">
            <v>#VALUE!</v>
          </cell>
          <cell r="CE6" t="e">
            <v>#VALUE!</v>
          </cell>
          <cell r="CF6" t="e">
            <v>#VALUE!</v>
          </cell>
          <cell r="CG6" t="e">
            <v>#VALUE!</v>
          </cell>
          <cell r="CH6" t="e">
            <v>#VALUE!</v>
          </cell>
          <cell r="CI6" t="e">
            <v>#VALUE!</v>
          </cell>
          <cell r="CJ6" t="e">
            <v>#VALUE!</v>
          </cell>
          <cell r="CK6" t="e">
            <v>#VALUE!</v>
          </cell>
          <cell r="CL6" t="e">
            <v>#VALUE!</v>
          </cell>
          <cell r="CM6" t="e">
            <v>#VALUE!</v>
          </cell>
          <cell r="CN6" t="e">
            <v>#VALUE!</v>
          </cell>
          <cell r="CO6" t="e">
            <v>#VALUE!</v>
          </cell>
          <cell r="CP6" t="e">
            <v>#VALUE!</v>
          </cell>
          <cell r="CQ6" t="e">
            <v>#VALUE!</v>
          </cell>
          <cell r="CR6" t="e">
            <v>#VALUE!</v>
          </cell>
          <cell r="CS6" t="e">
            <v>#VALUE!</v>
          </cell>
          <cell r="CT6" t="e">
            <v>#VALUE!</v>
          </cell>
          <cell r="CU6" t="e">
            <v>#VALUE!</v>
          </cell>
          <cell r="CV6" t="e">
            <v>#VALUE!</v>
          </cell>
          <cell r="CW6" t="e">
            <v>#VALUE!</v>
          </cell>
          <cell r="CX6" t="e">
            <v>#VALUE!</v>
          </cell>
          <cell r="CY6" t="e">
            <v>#VALUE!</v>
          </cell>
          <cell r="CZ6" t="e">
            <v>#VALUE!</v>
          </cell>
          <cell r="DA6" t="e">
            <v>#VALUE!</v>
          </cell>
          <cell r="DB6" t="e">
            <v>#VALUE!</v>
          </cell>
          <cell r="DC6" t="e">
            <v>#VALUE!</v>
          </cell>
          <cell r="DD6" t="e">
            <v>#VALUE!</v>
          </cell>
          <cell r="DE6" t="e">
            <v>#VALUE!</v>
          </cell>
          <cell r="DF6" t="e">
            <v>#VALUE!</v>
          </cell>
          <cell r="DG6" t="e">
            <v>#VALUE!</v>
          </cell>
          <cell r="DH6" t="e">
            <v>#VALUE!</v>
          </cell>
          <cell r="DI6" t="e">
            <v>#VALUE!</v>
          </cell>
          <cell r="DJ6" t="e">
            <v>#VALUE!</v>
          </cell>
          <cell r="DK6" t="e">
            <v>#VALUE!</v>
          </cell>
          <cell r="DL6" t="e">
            <v>#VALUE!</v>
          </cell>
          <cell r="DM6" t="e">
            <v>#VALUE!</v>
          </cell>
        </row>
        <row r="7">
          <cell r="C7" t="str">
            <v>F1.3</v>
          </cell>
          <cell r="D7" t="str">
            <v>Flächenmanagement</v>
          </cell>
          <cell r="G7">
            <v>0</v>
          </cell>
          <cell r="J7" t="str">
            <v>€/Jahr</v>
          </cell>
          <cell r="K7" t="str">
            <v>1</v>
          </cell>
          <cell r="L7" t="str">
            <v>PALLG</v>
          </cell>
          <cell r="M7">
            <v>2.5</v>
          </cell>
          <cell r="N7">
            <v>1.0098522167487685</v>
          </cell>
          <cell r="O7">
            <v>0</v>
          </cell>
          <cell r="P7" t="str">
            <v>€</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t="e">
            <v>#VALUE!</v>
          </cell>
          <cell r="BC7" t="e">
            <v>#VALUE!</v>
          </cell>
          <cell r="BD7" t="e">
            <v>#VALUE!</v>
          </cell>
          <cell r="BE7" t="e">
            <v>#VALUE!</v>
          </cell>
          <cell r="BF7" t="e">
            <v>#VALUE!</v>
          </cell>
          <cell r="BG7" t="e">
            <v>#VALUE!</v>
          </cell>
          <cell r="BH7" t="e">
            <v>#VALUE!</v>
          </cell>
          <cell r="BI7" t="e">
            <v>#VALUE!</v>
          </cell>
          <cell r="BJ7" t="e">
            <v>#VALUE!</v>
          </cell>
          <cell r="BK7" t="e">
            <v>#VALUE!</v>
          </cell>
          <cell r="BL7" t="e">
            <v>#VALUE!</v>
          </cell>
          <cell r="BM7" t="e">
            <v>#VALUE!</v>
          </cell>
          <cell r="BN7" t="e">
            <v>#VALUE!</v>
          </cell>
          <cell r="BO7" t="e">
            <v>#VALUE!</v>
          </cell>
          <cell r="BP7" t="e">
            <v>#VALUE!</v>
          </cell>
          <cell r="BQ7" t="e">
            <v>#VALUE!</v>
          </cell>
          <cell r="BR7" t="e">
            <v>#VALUE!</v>
          </cell>
          <cell r="BS7" t="e">
            <v>#VALUE!</v>
          </cell>
          <cell r="BT7" t="e">
            <v>#VALUE!</v>
          </cell>
          <cell r="BU7" t="e">
            <v>#VALUE!</v>
          </cell>
          <cell r="BV7" t="e">
            <v>#VALUE!</v>
          </cell>
          <cell r="BW7" t="e">
            <v>#VALUE!</v>
          </cell>
          <cell r="BX7" t="e">
            <v>#VALUE!</v>
          </cell>
          <cell r="BY7" t="e">
            <v>#VALUE!</v>
          </cell>
          <cell r="BZ7" t="e">
            <v>#VALUE!</v>
          </cell>
          <cell r="CA7" t="e">
            <v>#VALUE!</v>
          </cell>
          <cell r="CB7" t="e">
            <v>#VALUE!</v>
          </cell>
          <cell r="CC7" t="e">
            <v>#VALUE!</v>
          </cell>
          <cell r="CD7" t="e">
            <v>#VALUE!</v>
          </cell>
          <cell r="CE7" t="e">
            <v>#VALUE!</v>
          </cell>
          <cell r="CF7" t="e">
            <v>#VALUE!</v>
          </cell>
          <cell r="CG7" t="e">
            <v>#VALUE!</v>
          </cell>
          <cell r="CH7" t="e">
            <v>#VALUE!</v>
          </cell>
          <cell r="CI7" t="e">
            <v>#VALUE!</v>
          </cell>
          <cell r="CJ7" t="e">
            <v>#VALUE!</v>
          </cell>
          <cell r="CK7" t="e">
            <v>#VALUE!</v>
          </cell>
          <cell r="CL7" t="e">
            <v>#VALUE!</v>
          </cell>
          <cell r="CM7" t="e">
            <v>#VALUE!</v>
          </cell>
          <cell r="CN7" t="e">
            <v>#VALUE!</v>
          </cell>
          <cell r="CO7" t="e">
            <v>#VALUE!</v>
          </cell>
          <cell r="CP7" t="e">
            <v>#VALUE!</v>
          </cell>
          <cell r="CQ7" t="e">
            <v>#VALUE!</v>
          </cell>
          <cell r="CR7" t="e">
            <v>#VALUE!</v>
          </cell>
          <cell r="CS7" t="e">
            <v>#VALUE!</v>
          </cell>
          <cell r="CT7" t="e">
            <v>#VALUE!</v>
          </cell>
          <cell r="CU7" t="e">
            <v>#VALUE!</v>
          </cell>
          <cell r="CV7" t="e">
            <v>#VALUE!</v>
          </cell>
          <cell r="CW7" t="e">
            <v>#VALUE!</v>
          </cell>
          <cell r="CX7" t="e">
            <v>#VALUE!</v>
          </cell>
          <cell r="CY7" t="e">
            <v>#VALUE!</v>
          </cell>
          <cell r="CZ7" t="e">
            <v>#VALUE!</v>
          </cell>
          <cell r="DA7" t="e">
            <v>#VALUE!</v>
          </cell>
          <cell r="DB7" t="e">
            <v>#VALUE!</v>
          </cell>
          <cell r="DC7" t="e">
            <v>#VALUE!</v>
          </cell>
          <cell r="DD7" t="e">
            <v>#VALUE!</v>
          </cell>
          <cell r="DE7" t="e">
            <v>#VALUE!</v>
          </cell>
          <cell r="DF7" t="e">
            <v>#VALUE!</v>
          </cell>
          <cell r="DG7" t="e">
            <v>#VALUE!</v>
          </cell>
          <cell r="DH7" t="e">
            <v>#VALUE!</v>
          </cell>
          <cell r="DI7" t="e">
            <v>#VALUE!</v>
          </cell>
          <cell r="DJ7" t="e">
            <v>#VALUE!</v>
          </cell>
          <cell r="DK7" t="e">
            <v>#VALUE!</v>
          </cell>
          <cell r="DL7" t="e">
            <v>#VALUE!</v>
          </cell>
          <cell r="DM7" t="e">
            <v>#VALUE!</v>
          </cell>
        </row>
        <row r="8">
          <cell r="C8" t="str">
            <v>F1.4</v>
          </cell>
          <cell r="D8" t="str">
            <v>Sonstiges</v>
          </cell>
          <cell r="G8">
            <v>0</v>
          </cell>
          <cell r="J8" t="str">
            <v>€/Jahr</v>
          </cell>
          <cell r="K8" t="str">
            <v>1</v>
          </cell>
          <cell r="L8" t="str">
            <v>PALLG</v>
          </cell>
          <cell r="M8">
            <v>2.5</v>
          </cell>
          <cell r="N8">
            <v>1.0098522167487685</v>
          </cell>
          <cell r="O8">
            <v>0</v>
          </cell>
          <cell r="P8" t="str">
            <v>€</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t="e">
            <v>#VALUE!</v>
          </cell>
          <cell r="BC8" t="e">
            <v>#VALUE!</v>
          </cell>
          <cell r="BD8" t="e">
            <v>#VALUE!</v>
          </cell>
          <cell r="BE8" t="e">
            <v>#VALUE!</v>
          </cell>
          <cell r="BF8" t="e">
            <v>#VALUE!</v>
          </cell>
          <cell r="BG8" t="e">
            <v>#VALUE!</v>
          </cell>
          <cell r="BH8" t="e">
            <v>#VALUE!</v>
          </cell>
          <cell r="BI8" t="e">
            <v>#VALUE!</v>
          </cell>
          <cell r="BJ8" t="e">
            <v>#VALUE!</v>
          </cell>
          <cell r="BK8" t="e">
            <v>#VALUE!</v>
          </cell>
          <cell r="BL8" t="e">
            <v>#VALUE!</v>
          </cell>
          <cell r="BM8" t="e">
            <v>#VALUE!</v>
          </cell>
          <cell r="BN8" t="e">
            <v>#VALUE!</v>
          </cell>
          <cell r="BO8" t="e">
            <v>#VALUE!</v>
          </cell>
          <cell r="BP8" t="e">
            <v>#VALUE!</v>
          </cell>
          <cell r="BQ8" t="e">
            <v>#VALUE!</v>
          </cell>
          <cell r="BR8" t="e">
            <v>#VALUE!</v>
          </cell>
          <cell r="BS8" t="e">
            <v>#VALUE!</v>
          </cell>
          <cell r="BT8" t="e">
            <v>#VALUE!</v>
          </cell>
          <cell r="BU8" t="e">
            <v>#VALUE!</v>
          </cell>
          <cell r="BV8" t="e">
            <v>#VALUE!</v>
          </cell>
          <cell r="BW8" t="e">
            <v>#VALUE!</v>
          </cell>
          <cell r="BX8" t="e">
            <v>#VALUE!</v>
          </cell>
          <cell r="BY8" t="e">
            <v>#VALUE!</v>
          </cell>
          <cell r="BZ8" t="e">
            <v>#VALUE!</v>
          </cell>
          <cell r="CA8" t="e">
            <v>#VALUE!</v>
          </cell>
          <cell r="CB8" t="e">
            <v>#VALUE!</v>
          </cell>
          <cell r="CC8" t="e">
            <v>#VALUE!</v>
          </cell>
          <cell r="CD8" t="e">
            <v>#VALUE!</v>
          </cell>
          <cell r="CE8" t="e">
            <v>#VALUE!</v>
          </cell>
          <cell r="CF8" t="e">
            <v>#VALUE!</v>
          </cell>
          <cell r="CG8" t="e">
            <v>#VALUE!</v>
          </cell>
          <cell r="CH8" t="e">
            <v>#VALUE!</v>
          </cell>
          <cell r="CI8" t="e">
            <v>#VALUE!</v>
          </cell>
          <cell r="CJ8" t="e">
            <v>#VALUE!</v>
          </cell>
          <cell r="CK8" t="e">
            <v>#VALUE!</v>
          </cell>
          <cell r="CL8" t="e">
            <v>#VALUE!</v>
          </cell>
          <cell r="CM8" t="e">
            <v>#VALUE!</v>
          </cell>
          <cell r="CN8" t="e">
            <v>#VALUE!</v>
          </cell>
          <cell r="CO8" t="e">
            <v>#VALUE!</v>
          </cell>
          <cell r="CP8" t="e">
            <v>#VALUE!</v>
          </cell>
          <cell r="CQ8" t="e">
            <v>#VALUE!</v>
          </cell>
          <cell r="CR8" t="e">
            <v>#VALUE!</v>
          </cell>
          <cell r="CS8" t="e">
            <v>#VALUE!</v>
          </cell>
          <cell r="CT8" t="e">
            <v>#VALUE!</v>
          </cell>
          <cell r="CU8" t="e">
            <v>#VALUE!</v>
          </cell>
          <cell r="CV8" t="e">
            <v>#VALUE!</v>
          </cell>
          <cell r="CW8" t="e">
            <v>#VALUE!</v>
          </cell>
          <cell r="CX8" t="e">
            <v>#VALUE!</v>
          </cell>
          <cell r="CY8" t="e">
            <v>#VALUE!</v>
          </cell>
          <cell r="CZ8" t="e">
            <v>#VALUE!</v>
          </cell>
          <cell r="DA8" t="e">
            <v>#VALUE!</v>
          </cell>
          <cell r="DB8" t="e">
            <v>#VALUE!</v>
          </cell>
          <cell r="DC8" t="e">
            <v>#VALUE!</v>
          </cell>
          <cell r="DD8" t="e">
            <v>#VALUE!</v>
          </cell>
          <cell r="DE8" t="e">
            <v>#VALUE!</v>
          </cell>
          <cell r="DF8" t="e">
            <v>#VALUE!</v>
          </cell>
          <cell r="DG8" t="e">
            <v>#VALUE!</v>
          </cell>
          <cell r="DH8" t="e">
            <v>#VALUE!</v>
          </cell>
          <cell r="DI8" t="e">
            <v>#VALUE!</v>
          </cell>
          <cell r="DJ8" t="e">
            <v>#VALUE!</v>
          </cell>
          <cell r="DK8" t="e">
            <v>#VALUE!</v>
          </cell>
          <cell r="DL8" t="e">
            <v>#VALUE!</v>
          </cell>
          <cell r="DM8" t="e">
            <v>#VALUE!</v>
          </cell>
        </row>
        <row r="9">
          <cell r="C9" t="str">
            <v>F2</v>
          </cell>
          <cell r="D9" t="str">
            <v>Technischer Gebäudebetrieb</v>
          </cell>
          <cell r="F9" t="str">
            <v>#SUM</v>
          </cell>
          <cell r="G9">
            <v>7694.1727300000002</v>
          </cell>
          <cell r="J9" t="str">
            <v>€/Jahr</v>
          </cell>
          <cell r="O9">
            <v>303746.68698055256</v>
          </cell>
          <cell r="P9" t="str">
            <v>€</v>
          </cell>
        </row>
        <row r="10">
          <cell r="C10" t="str">
            <v>F2.1</v>
          </cell>
          <cell r="D10" t="str">
            <v>Technisches Gebäudemanagement</v>
          </cell>
          <cell r="F10" t="str">
            <v>TGM*NF</v>
          </cell>
          <cell r="G10">
            <v>1051.704</v>
          </cell>
          <cell r="H10">
            <v>1051.704</v>
          </cell>
          <cell r="J10" t="str">
            <v>€/Jahr</v>
          </cell>
          <cell r="K10">
            <v>1</v>
          </cell>
          <cell r="L10" t="str">
            <v>PTECHNIK</v>
          </cell>
          <cell r="M10">
            <v>2</v>
          </cell>
          <cell r="N10">
            <v>1.0049261083743843</v>
          </cell>
          <cell r="O10">
            <v>41518.642340668513</v>
          </cell>
          <cell r="P10" t="str">
            <v>€</v>
          </cell>
          <cell r="Q10">
            <v>0</v>
          </cell>
          <cell r="R10">
            <v>1056.8848078817734</v>
          </cell>
          <cell r="S10">
            <v>2118.9759448664245</v>
          </cell>
          <cell r="T10">
            <v>3186.2990578953427</v>
          </cell>
          <cell r="U10">
            <v>4258.8799202494902</v>
          </cell>
          <cell r="V10">
            <v>5336.7444321719022</v>
          </cell>
          <cell r="W10">
            <v>6419.9186214929514</v>
          </cell>
          <cell r="X10">
            <v>7508.4286442589446</v>
          </cell>
          <cell r="Y10">
            <v>8602.3007853636791</v>
          </cell>
          <cell r="Z10">
            <v>9701.5614591832273</v>
          </cell>
          <cell r="AA10">
            <v>10806.237210213691</v>
          </cell>
          <cell r="AB10">
            <v>11916.35471371227</v>
          </cell>
          <cell r="AC10">
            <v>13031.940776341402</v>
          </cell>
          <cell r="AD10">
            <v>14153.02233681598</v>
          </cell>
          <cell r="AE10">
            <v>15279.626466554013</v>
          </cell>
          <cell r="AF10">
            <v>16411.780370330136</v>
          </cell>
          <cell r="AG10">
            <v>17549.511386932794</v>
          </cell>
          <cell r="AH10">
            <v>18692.846989824095</v>
          </cell>
          <cell r="AI10">
            <v>19841.814787803556</v>
          </cell>
          <cell r="AJ10">
            <v>20996.442525674527</v>
          </cell>
          <cell r="AK10">
            <v>22156.758084914265</v>
          </cell>
          <cell r="AL10">
            <v>23322.789484347362</v>
          </cell>
          <cell r="AM10">
            <v>24494.56488082197</v>
          </cell>
          <cell r="AN10">
            <v>25672.112569890072</v>
          </cell>
          <cell r="AO10">
            <v>26855.46098649054</v>
          </cell>
          <cell r="AP10">
            <v>28044.63870563584</v>
          </cell>
          <cell r="AQ10">
            <v>29239.674443102012</v>
          </cell>
          <cell r="AR10">
            <v>30440.597056122231</v>
          </cell>
          <cell r="AS10">
            <v>31647.43554408343</v>
          </cell>
          <cell r="AT10">
            <v>32860.219049226711</v>
          </cell>
          <cell r="AU10">
            <v>34078.976857351001</v>
          </cell>
          <cell r="AV10">
            <v>35303.738398520181</v>
          </cell>
          <cell r="AW10">
            <v>36534.53324777403</v>
          </cell>
          <cell r="AX10">
            <v>37771.391125841874</v>
          </cell>
          <cell r="AY10">
            <v>39014.341899860847</v>
          </cell>
          <cell r="AZ10">
            <v>40263.415584096634</v>
          </cell>
          <cell r="BA10">
            <v>41518.642340668513</v>
          </cell>
          <cell r="BB10" t="e">
            <v>#VALUE!</v>
          </cell>
          <cell r="BC10" t="e">
            <v>#VALUE!</v>
          </cell>
          <cell r="BD10" t="e">
            <v>#VALUE!</v>
          </cell>
          <cell r="BE10" t="e">
            <v>#VALUE!</v>
          </cell>
          <cell r="BF10" t="e">
            <v>#VALUE!</v>
          </cell>
          <cell r="BG10" t="e">
            <v>#VALUE!</v>
          </cell>
          <cell r="BH10" t="e">
            <v>#VALUE!</v>
          </cell>
          <cell r="BI10" t="e">
            <v>#VALUE!</v>
          </cell>
          <cell r="BJ10" t="e">
            <v>#VALUE!</v>
          </cell>
          <cell r="BK10" t="e">
            <v>#VALUE!</v>
          </cell>
          <cell r="BL10" t="e">
            <v>#VALUE!</v>
          </cell>
          <cell r="BM10" t="e">
            <v>#VALUE!</v>
          </cell>
          <cell r="BN10" t="e">
            <v>#VALUE!</v>
          </cell>
          <cell r="BO10" t="e">
            <v>#VALUE!</v>
          </cell>
          <cell r="BP10" t="e">
            <v>#VALUE!</v>
          </cell>
          <cell r="BQ10" t="e">
            <v>#VALUE!</v>
          </cell>
          <cell r="BR10" t="e">
            <v>#VALUE!</v>
          </cell>
          <cell r="BS10" t="e">
            <v>#VALUE!</v>
          </cell>
          <cell r="BT10" t="e">
            <v>#VALUE!</v>
          </cell>
          <cell r="BU10" t="e">
            <v>#VALUE!</v>
          </cell>
          <cell r="BV10" t="e">
            <v>#VALUE!</v>
          </cell>
          <cell r="BW10" t="e">
            <v>#VALUE!</v>
          </cell>
          <cell r="BX10" t="e">
            <v>#VALUE!</v>
          </cell>
          <cell r="BY10" t="e">
            <v>#VALUE!</v>
          </cell>
          <cell r="BZ10" t="e">
            <v>#VALUE!</v>
          </cell>
          <cell r="CA10" t="e">
            <v>#VALUE!</v>
          </cell>
          <cell r="CB10" t="e">
            <v>#VALUE!</v>
          </cell>
          <cell r="CC10" t="e">
            <v>#VALUE!</v>
          </cell>
          <cell r="CD10" t="e">
            <v>#VALUE!</v>
          </cell>
          <cell r="CE10" t="e">
            <v>#VALUE!</v>
          </cell>
          <cell r="CF10" t="e">
            <v>#VALUE!</v>
          </cell>
          <cell r="CG10" t="e">
            <v>#VALUE!</v>
          </cell>
          <cell r="CH10" t="e">
            <v>#VALUE!</v>
          </cell>
          <cell r="CI10" t="e">
            <v>#VALUE!</v>
          </cell>
          <cell r="CJ10" t="e">
            <v>#VALUE!</v>
          </cell>
          <cell r="CK10" t="e">
            <v>#VALUE!</v>
          </cell>
          <cell r="CL10" t="e">
            <v>#VALUE!</v>
          </cell>
          <cell r="CM10" t="e">
            <v>#VALUE!</v>
          </cell>
          <cell r="CN10" t="e">
            <v>#VALUE!</v>
          </cell>
          <cell r="CO10" t="e">
            <v>#VALUE!</v>
          </cell>
          <cell r="CP10" t="e">
            <v>#VALUE!</v>
          </cell>
          <cell r="CQ10" t="e">
            <v>#VALUE!</v>
          </cell>
          <cell r="CR10" t="e">
            <v>#VALUE!</v>
          </cell>
          <cell r="CS10" t="e">
            <v>#VALUE!</v>
          </cell>
          <cell r="CT10" t="e">
            <v>#VALUE!</v>
          </cell>
          <cell r="CU10" t="e">
            <v>#VALUE!</v>
          </cell>
          <cell r="CV10" t="e">
            <v>#VALUE!</v>
          </cell>
          <cell r="CW10" t="e">
            <v>#VALUE!</v>
          </cell>
          <cell r="CX10" t="e">
            <v>#VALUE!</v>
          </cell>
          <cell r="CY10" t="e">
            <v>#VALUE!</v>
          </cell>
          <cell r="CZ10" t="e">
            <v>#VALUE!</v>
          </cell>
          <cell r="DA10" t="e">
            <v>#VALUE!</v>
          </cell>
          <cell r="DB10" t="e">
            <v>#VALUE!</v>
          </cell>
          <cell r="DC10" t="e">
            <v>#VALUE!</v>
          </cell>
          <cell r="DD10" t="e">
            <v>#VALUE!</v>
          </cell>
          <cell r="DE10" t="e">
            <v>#VALUE!</v>
          </cell>
          <cell r="DF10" t="e">
            <v>#VALUE!</v>
          </cell>
          <cell r="DG10" t="e">
            <v>#VALUE!</v>
          </cell>
          <cell r="DH10" t="e">
            <v>#VALUE!</v>
          </cell>
          <cell r="DI10" t="e">
            <v>#VALUE!</v>
          </cell>
          <cell r="DJ10" t="e">
            <v>#VALUE!</v>
          </cell>
          <cell r="DK10" t="e">
            <v>#VALUE!</v>
          </cell>
          <cell r="DL10" t="e">
            <v>#VALUE!</v>
          </cell>
          <cell r="DM10" t="e">
            <v>#VALUE!</v>
          </cell>
        </row>
        <row r="11">
          <cell r="C11" t="str">
            <v>F2.2</v>
          </cell>
          <cell r="D11" t="str">
            <v>Inspektionen</v>
          </cell>
          <cell r="G11">
            <v>0</v>
          </cell>
          <cell r="J11" t="str">
            <v>€/Jahr</v>
          </cell>
          <cell r="K11" t="str">
            <v>1</v>
          </cell>
          <cell r="L11" t="str">
            <v>PTECHNIK</v>
          </cell>
          <cell r="M11">
            <v>2</v>
          </cell>
          <cell r="N11">
            <v>1.0049261083743843</v>
          </cell>
          <cell r="O11">
            <v>0</v>
          </cell>
          <cell r="P11" t="str">
            <v>€</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t="e">
            <v>#VALUE!</v>
          </cell>
          <cell r="BC11" t="e">
            <v>#VALUE!</v>
          </cell>
          <cell r="BD11" t="e">
            <v>#VALUE!</v>
          </cell>
          <cell r="BE11" t="e">
            <v>#VALUE!</v>
          </cell>
          <cell r="BF11" t="e">
            <v>#VALUE!</v>
          </cell>
          <cell r="BG11" t="e">
            <v>#VALUE!</v>
          </cell>
          <cell r="BH11" t="e">
            <v>#VALUE!</v>
          </cell>
          <cell r="BI11" t="e">
            <v>#VALUE!</v>
          </cell>
          <cell r="BJ11" t="e">
            <v>#VALUE!</v>
          </cell>
          <cell r="BK11" t="e">
            <v>#VALUE!</v>
          </cell>
          <cell r="BL11" t="e">
            <v>#VALUE!</v>
          </cell>
          <cell r="BM11" t="e">
            <v>#VALUE!</v>
          </cell>
          <cell r="BN11" t="e">
            <v>#VALUE!</v>
          </cell>
          <cell r="BO11" t="e">
            <v>#VALUE!</v>
          </cell>
          <cell r="BP11" t="e">
            <v>#VALUE!</v>
          </cell>
          <cell r="BQ11" t="e">
            <v>#VALUE!</v>
          </cell>
          <cell r="BR11" t="e">
            <v>#VALUE!</v>
          </cell>
          <cell r="BS11" t="e">
            <v>#VALUE!</v>
          </cell>
          <cell r="BT11" t="e">
            <v>#VALUE!</v>
          </cell>
          <cell r="BU11" t="e">
            <v>#VALUE!</v>
          </cell>
          <cell r="BV11" t="e">
            <v>#VALUE!</v>
          </cell>
          <cell r="BW11" t="e">
            <v>#VALUE!</v>
          </cell>
          <cell r="BX11" t="e">
            <v>#VALUE!</v>
          </cell>
          <cell r="BY11" t="e">
            <v>#VALUE!</v>
          </cell>
          <cell r="BZ11" t="e">
            <v>#VALUE!</v>
          </cell>
          <cell r="CA11" t="e">
            <v>#VALUE!</v>
          </cell>
          <cell r="CB11" t="e">
            <v>#VALUE!</v>
          </cell>
          <cell r="CC11" t="e">
            <v>#VALUE!</v>
          </cell>
          <cell r="CD11" t="e">
            <v>#VALUE!</v>
          </cell>
          <cell r="CE11" t="e">
            <v>#VALUE!</v>
          </cell>
          <cell r="CF11" t="e">
            <v>#VALUE!</v>
          </cell>
          <cell r="CG11" t="e">
            <v>#VALUE!</v>
          </cell>
          <cell r="CH11" t="e">
            <v>#VALUE!</v>
          </cell>
          <cell r="CI11" t="e">
            <v>#VALUE!</v>
          </cell>
          <cell r="CJ11" t="e">
            <v>#VALUE!</v>
          </cell>
          <cell r="CK11" t="e">
            <v>#VALUE!</v>
          </cell>
          <cell r="CL11" t="e">
            <v>#VALUE!</v>
          </cell>
          <cell r="CM11" t="e">
            <v>#VALUE!</v>
          </cell>
          <cell r="CN11" t="e">
            <v>#VALUE!</v>
          </cell>
          <cell r="CO11" t="e">
            <v>#VALUE!</v>
          </cell>
          <cell r="CP11" t="e">
            <v>#VALUE!</v>
          </cell>
          <cell r="CQ11" t="e">
            <v>#VALUE!</v>
          </cell>
          <cell r="CR11" t="e">
            <v>#VALUE!</v>
          </cell>
          <cell r="CS11" t="e">
            <v>#VALUE!</v>
          </cell>
          <cell r="CT11" t="e">
            <v>#VALUE!</v>
          </cell>
          <cell r="CU11" t="e">
            <v>#VALUE!</v>
          </cell>
          <cell r="CV11" t="e">
            <v>#VALUE!</v>
          </cell>
          <cell r="CW11" t="e">
            <v>#VALUE!</v>
          </cell>
          <cell r="CX11" t="e">
            <v>#VALUE!</v>
          </cell>
          <cell r="CY11" t="e">
            <v>#VALUE!</v>
          </cell>
          <cell r="CZ11" t="e">
            <v>#VALUE!</v>
          </cell>
          <cell r="DA11" t="e">
            <v>#VALUE!</v>
          </cell>
          <cell r="DB11" t="e">
            <v>#VALUE!</v>
          </cell>
          <cell r="DC11" t="e">
            <v>#VALUE!</v>
          </cell>
          <cell r="DD11" t="e">
            <v>#VALUE!</v>
          </cell>
          <cell r="DE11" t="e">
            <v>#VALUE!</v>
          </cell>
          <cell r="DF11" t="e">
            <v>#VALUE!</v>
          </cell>
          <cell r="DG11" t="e">
            <v>#VALUE!</v>
          </cell>
          <cell r="DH11" t="e">
            <v>#VALUE!</v>
          </cell>
          <cell r="DI11" t="e">
            <v>#VALUE!</v>
          </cell>
          <cell r="DJ11" t="e">
            <v>#VALUE!</v>
          </cell>
          <cell r="DK11" t="e">
            <v>#VALUE!</v>
          </cell>
          <cell r="DL11" t="e">
            <v>#VALUE!</v>
          </cell>
          <cell r="DM11" t="e">
            <v>#VALUE!</v>
          </cell>
        </row>
        <row r="12">
          <cell r="C12" t="str">
            <v>F2.3</v>
          </cell>
          <cell r="D12" t="str">
            <v>Wartung</v>
          </cell>
          <cell r="F12" t="str">
            <v>#SUM</v>
          </cell>
          <cell r="G12">
            <v>1537.22208</v>
          </cell>
          <cell r="J12" t="str">
            <v>€/Jahr</v>
          </cell>
          <cell r="O12">
            <v>60685.681273151502</v>
          </cell>
          <cell r="P12" t="str">
            <v>€</v>
          </cell>
        </row>
        <row r="13">
          <cell r="C13" t="str">
            <v>F2.3-3.B</v>
          </cell>
          <cell r="D13" t="str">
            <v>Förderanlagen</v>
          </cell>
          <cell r="F13" t="str">
            <v>E3.B*E3Bw/100</v>
          </cell>
          <cell r="G13">
            <v>0</v>
          </cell>
          <cell r="H13">
            <v>0</v>
          </cell>
          <cell r="J13" t="str">
            <v>€/Jahr</v>
          </cell>
          <cell r="K13" t="str">
            <v>1</v>
          </cell>
          <cell r="L13" t="str">
            <v>PTECHNIK</v>
          </cell>
          <cell r="M13">
            <v>2</v>
          </cell>
          <cell r="N13">
            <v>1.0049261083743843</v>
          </cell>
          <cell r="O13">
            <v>0</v>
          </cell>
          <cell r="P13" t="str">
            <v>€</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t="e">
            <v>#VALUE!</v>
          </cell>
          <cell r="BC13" t="e">
            <v>#VALUE!</v>
          </cell>
          <cell r="BD13" t="e">
            <v>#VALUE!</v>
          </cell>
          <cell r="BE13" t="e">
            <v>#VALUE!</v>
          </cell>
          <cell r="BF13" t="e">
            <v>#VALUE!</v>
          </cell>
          <cell r="BG13" t="e">
            <v>#VALUE!</v>
          </cell>
          <cell r="BH13" t="e">
            <v>#VALUE!</v>
          </cell>
          <cell r="BI13" t="e">
            <v>#VALUE!</v>
          </cell>
          <cell r="BJ13" t="e">
            <v>#VALUE!</v>
          </cell>
          <cell r="BK13" t="e">
            <v>#VALUE!</v>
          </cell>
          <cell r="BL13" t="e">
            <v>#VALUE!</v>
          </cell>
          <cell r="BM13" t="e">
            <v>#VALUE!</v>
          </cell>
          <cell r="BN13" t="e">
            <v>#VALUE!</v>
          </cell>
          <cell r="BO13" t="e">
            <v>#VALUE!</v>
          </cell>
          <cell r="BP13" t="e">
            <v>#VALUE!</v>
          </cell>
          <cell r="BQ13" t="e">
            <v>#VALUE!</v>
          </cell>
          <cell r="BR13" t="e">
            <v>#VALUE!</v>
          </cell>
          <cell r="BS13" t="e">
            <v>#VALUE!</v>
          </cell>
          <cell r="BT13" t="e">
            <v>#VALUE!</v>
          </cell>
          <cell r="BU13" t="e">
            <v>#VALUE!</v>
          </cell>
          <cell r="BV13" t="e">
            <v>#VALUE!</v>
          </cell>
          <cell r="BW13" t="e">
            <v>#VALUE!</v>
          </cell>
          <cell r="BX13" t="e">
            <v>#VALUE!</v>
          </cell>
          <cell r="BY13" t="e">
            <v>#VALUE!</v>
          </cell>
          <cell r="BZ13" t="e">
            <v>#VALUE!</v>
          </cell>
          <cell r="CA13" t="e">
            <v>#VALUE!</v>
          </cell>
          <cell r="CB13" t="e">
            <v>#VALUE!</v>
          </cell>
          <cell r="CC13" t="e">
            <v>#VALUE!</v>
          </cell>
          <cell r="CD13" t="e">
            <v>#VALUE!</v>
          </cell>
          <cell r="CE13" t="e">
            <v>#VALUE!</v>
          </cell>
          <cell r="CF13" t="e">
            <v>#VALUE!</v>
          </cell>
          <cell r="CG13" t="e">
            <v>#VALUE!</v>
          </cell>
          <cell r="CH13" t="e">
            <v>#VALUE!</v>
          </cell>
          <cell r="CI13" t="e">
            <v>#VALUE!</v>
          </cell>
          <cell r="CJ13" t="e">
            <v>#VALUE!</v>
          </cell>
          <cell r="CK13" t="e">
            <v>#VALUE!</v>
          </cell>
          <cell r="CL13" t="e">
            <v>#VALUE!</v>
          </cell>
          <cell r="CM13" t="e">
            <v>#VALUE!</v>
          </cell>
          <cell r="CN13" t="e">
            <v>#VALUE!</v>
          </cell>
          <cell r="CO13" t="e">
            <v>#VALUE!</v>
          </cell>
          <cell r="CP13" t="e">
            <v>#VALUE!</v>
          </cell>
          <cell r="CQ13" t="e">
            <v>#VALUE!</v>
          </cell>
          <cell r="CR13" t="e">
            <v>#VALUE!</v>
          </cell>
          <cell r="CS13" t="e">
            <v>#VALUE!</v>
          </cell>
          <cell r="CT13" t="e">
            <v>#VALUE!</v>
          </cell>
          <cell r="CU13" t="e">
            <v>#VALUE!</v>
          </cell>
          <cell r="CV13" t="e">
            <v>#VALUE!</v>
          </cell>
          <cell r="CW13" t="e">
            <v>#VALUE!</v>
          </cell>
          <cell r="CX13" t="e">
            <v>#VALUE!</v>
          </cell>
          <cell r="CY13" t="e">
            <v>#VALUE!</v>
          </cell>
          <cell r="CZ13" t="e">
            <v>#VALUE!</v>
          </cell>
          <cell r="DA13" t="e">
            <v>#VALUE!</v>
          </cell>
          <cell r="DB13" t="e">
            <v>#VALUE!</v>
          </cell>
          <cell r="DC13" t="e">
            <v>#VALUE!</v>
          </cell>
          <cell r="DD13" t="e">
            <v>#VALUE!</v>
          </cell>
          <cell r="DE13" t="e">
            <v>#VALUE!</v>
          </cell>
          <cell r="DF13" t="e">
            <v>#VALUE!</v>
          </cell>
          <cell r="DG13" t="e">
            <v>#VALUE!</v>
          </cell>
          <cell r="DH13" t="e">
            <v>#VALUE!</v>
          </cell>
          <cell r="DI13" t="e">
            <v>#VALUE!</v>
          </cell>
          <cell r="DJ13" t="e">
            <v>#VALUE!</v>
          </cell>
          <cell r="DK13" t="e">
            <v>#VALUE!</v>
          </cell>
          <cell r="DL13" t="e">
            <v>#VALUE!</v>
          </cell>
          <cell r="DM13" t="e">
            <v>#VALUE!</v>
          </cell>
        </row>
        <row r="14">
          <cell r="C14" t="str">
            <v>F2.3-3.C</v>
          </cell>
          <cell r="D14" t="str">
            <v>Wärmeversorgungsanlagen</v>
          </cell>
          <cell r="F14" t="str">
            <v>E3.C.01*E3C01w/100+E3.C.02*E3C02w/100+E3.C.03*E3C03w/100+E3.C.S*E3CSw/100</v>
          </cell>
          <cell r="G14">
            <v>253.82990000000001</v>
          </cell>
          <cell r="H14">
            <v>253.82990000000001</v>
          </cell>
          <cell r="J14" t="str">
            <v>€/Jahr</v>
          </cell>
          <cell r="K14" t="str">
            <v>1</v>
          </cell>
          <cell r="L14" t="str">
            <v>PTECHNIK</v>
          </cell>
          <cell r="M14">
            <v>2</v>
          </cell>
          <cell r="N14">
            <v>1.0049261083743843</v>
          </cell>
          <cell r="O14">
            <v>10020.569317476833</v>
          </cell>
          <cell r="P14" t="str">
            <v>€</v>
          </cell>
          <cell r="Q14">
            <v>0</v>
          </cell>
          <cell r="R14">
            <v>255.08029359605914</v>
          </cell>
          <cell r="S14">
            <v>511.41714036254507</v>
          </cell>
          <cell r="T14">
            <v>769.01673021655245</v>
          </cell>
          <cell r="U14">
            <v>1027.8852835673688</v>
          </cell>
          <cell r="V14">
            <v>1288.0290514667158</v>
          </cell>
          <cell r="W14">
            <v>1549.4543157596565</v>
          </cell>
          <cell r="X14">
            <v>1812.1673892363094</v>
          </cell>
          <cell r="Y14">
            <v>2076.1746157842745</v>
          </cell>
          <cell r="Z14">
            <v>2341.4823705418376</v>
          </cell>
          <cell r="AA14">
            <v>2608.0970600518972</v>
          </cell>
          <cell r="AB14">
            <v>2876.0251224166823</v>
          </cell>
          <cell r="AC14">
            <v>3145.2730274532191</v>
          </cell>
          <cell r="AD14">
            <v>3415.847276849538</v>
          </cell>
          <cell r="AE14">
            <v>3687.754404321709</v>
          </cell>
          <cell r="AF14">
            <v>3961.0009757715684</v>
          </cell>
          <cell r="AG14">
            <v>4235.5935894453314</v>
          </cell>
          <cell r="AH14">
            <v>4511.5388760928472</v>
          </cell>
          <cell r="AI14">
            <v>4788.8434991277945</v>
          </cell>
          <cell r="AJ14">
            <v>5067.5141547885269</v>
          </cell>
          <cell r="AK14">
            <v>5347.557572299791</v>
          </cell>
          <cell r="AL14">
            <v>5628.9805140352637</v>
          </cell>
          <cell r="AM14">
            <v>5911.7897756807552</v>
          </cell>
          <cell r="AN14">
            <v>6195.9921863983973</v>
          </cell>
          <cell r="AO14">
            <v>6481.5946089914987</v>
          </cell>
          <cell r="AP14">
            <v>6768.6039400702812</v>
          </cell>
          <cell r="AQ14">
            <v>7057.027110218407</v>
          </cell>
          <cell r="AR14">
            <v>7346.8710841603724</v>
          </cell>
          <cell r="AS14">
            <v>7638.1428609296372</v>
          </cell>
          <cell r="AT14">
            <v>7930.8494740376673</v>
          </cell>
          <cell r="AU14">
            <v>8224.9979916437696</v>
          </cell>
          <cell r="AV14">
            <v>8520.5955167257489</v>
          </cell>
          <cell r="AW14">
            <v>8817.6491872515053</v>
          </cell>
          <cell r="AX14">
            <v>9116.1661763512657</v>
          </cell>
          <cell r="AY14">
            <v>9416.1536924909378</v>
          </cell>
          <cell r="AZ14">
            <v>9717.6189796460712</v>
          </cell>
          <cell r="BA14">
            <v>10020.569317476833</v>
          </cell>
          <cell r="BB14" t="e">
            <v>#VALUE!</v>
          </cell>
          <cell r="BC14" t="e">
            <v>#VALUE!</v>
          </cell>
          <cell r="BD14" t="e">
            <v>#VALUE!</v>
          </cell>
          <cell r="BE14" t="e">
            <v>#VALUE!</v>
          </cell>
          <cell r="BF14" t="e">
            <v>#VALUE!</v>
          </cell>
          <cell r="BG14" t="e">
            <v>#VALUE!</v>
          </cell>
          <cell r="BH14" t="e">
            <v>#VALUE!</v>
          </cell>
          <cell r="BI14" t="e">
            <v>#VALUE!</v>
          </cell>
          <cell r="BJ14" t="e">
            <v>#VALUE!</v>
          </cell>
          <cell r="BK14" t="e">
            <v>#VALUE!</v>
          </cell>
          <cell r="BL14" t="e">
            <v>#VALUE!</v>
          </cell>
          <cell r="BM14" t="e">
            <v>#VALUE!</v>
          </cell>
          <cell r="BN14" t="e">
            <v>#VALUE!</v>
          </cell>
          <cell r="BO14" t="e">
            <v>#VALUE!</v>
          </cell>
          <cell r="BP14" t="e">
            <v>#VALUE!</v>
          </cell>
          <cell r="BQ14" t="e">
            <v>#VALUE!</v>
          </cell>
          <cell r="BR14" t="e">
            <v>#VALUE!</v>
          </cell>
          <cell r="BS14" t="e">
            <v>#VALUE!</v>
          </cell>
          <cell r="BT14" t="e">
            <v>#VALUE!</v>
          </cell>
          <cell r="BU14" t="e">
            <v>#VALUE!</v>
          </cell>
          <cell r="BV14" t="e">
            <v>#VALUE!</v>
          </cell>
          <cell r="BW14" t="e">
            <v>#VALUE!</v>
          </cell>
          <cell r="BX14" t="e">
            <v>#VALUE!</v>
          </cell>
          <cell r="BY14" t="e">
            <v>#VALUE!</v>
          </cell>
          <cell r="BZ14" t="e">
            <v>#VALUE!</v>
          </cell>
          <cell r="CA14" t="e">
            <v>#VALUE!</v>
          </cell>
          <cell r="CB14" t="e">
            <v>#VALUE!</v>
          </cell>
          <cell r="CC14" t="e">
            <v>#VALUE!</v>
          </cell>
          <cell r="CD14" t="e">
            <v>#VALUE!</v>
          </cell>
          <cell r="CE14" t="e">
            <v>#VALUE!</v>
          </cell>
          <cell r="CF14" t="e">
            <v>#VALUE!</v>
          </cell>
          <cell r="CG14" t="e">
            <v>#VALUE!</v>
          </cell>
          <cell r="CH14" t="e">
            <v>#VALUE!</v>
          </cell>
          <cell r="CI14" t="e">
            <v>#VALUE!</v>
          </cell>
          <cell r="CJ14" t="e">
            <v>#VALUE!</v>
          </cell>
          <cell r="CK14" t="e">
            <v>#VALUE!</v>
          </cell>
          <cell r="CL14" t="e">
            <v>#VALUE!</v>
          </cell>
          <cell r="CM14" t="e">
            <v>#VALUE!</v>
          </cell>
          <cell r="CN14" t="e">
            <v>#VALUE!</v>
          </cell>
          <cell r="CO14" t="e">
            <v>#VALUE!</v>
          </cell>
          <cell r="CP14" t="e">
            <v>#VALUE!</v>
          </cell>
          <cell r="CQ14" t="e">
            <v>#VALUE!</v>
          </cell>
          <cell r="CR14" t="e">
            <v>#VALUE!</v>
          </cell>
          <cell r="CS14" t="e">
            <v>#VALUE!</v>
          </cell>
          <cell r="CT14" t="e">
            <v>#VALUE!</v>
          </cell>
          <cell r="CU14" t="e">
            <v>#VALUE!</v>
          </cell>
          <cell r="CV14" t="e">
            <v>#VALUE!</v>
          </cell>
          <cell r="CW14" t="e">
            <v>#VALUE!</v>
          </cell>
          <cell r="CX14" t="e">
            <v>#VALUE!</v>
          </cell>
          <cell r="CY14" t="e">
            <v>#VALUE!</v>
          </cell>
          <cell r="CZ14" t="e">
            <v>#VALUE!</v>
          </cell>
          <cell r="DA14" t="e">
            <v>#VALUE!</v>
          </cell>
          <cell r="DB14" t="e">
            <v>#VALUE!</v>
          </cell>
          <cell r="DC14" t="e">
            <v>#VALUE!</v>
          </cell>
          <cell r="DD14" t="e">
            <v>#VALUE!</v>
          </cell>
          <cell r="DE14" t="e">
            <v>#VALUE!</v>
          </cell>
          <cell r="DF14" t="e">
            <v>#VALUE!</v>
          </cell>
          <cell r="DG14" t="e">
            <v>#VALUE!</v>
          </cell>
          <cell r="DH14" t="e">
            <v>#VALUE!</v>
          </cell>
          <cell r="DI14" t="e">
            <v>#VALUE!</v>
          </cell>
          <cell r="DJ14" t="e">
            <v>#VALUE!</v>
          </cell>
          <cell r="DK14" t="e">
            <v>#VALUE!</v>
          </cell>
          <cell r="DL14" t="e">
            <v>#VALUE!</v>
          </cell>
          <cell r="DM14" t="e">
            <v>#VALUE!</v>
          </cell>
        </row>
        <row r="15">
          <cell r="C15" t="str">
            <v>F2.3-3.D</v>
          </cell>
          <cell r="D15" t="str">
            <v>Klima-/Lüftungsanlagen</v>
          </cell>
          <cell r="F15" t="str">
            <v>E3.D.01*E3D01Rw/100*(1-E3D01VAnteil/100) + E3.D.01*E3D01Vw/100*E3D01VAnteil/100 + E3.D.02*E3D02w/100+E3.D.03*E3D03w/100+E3.D.04*E3D04w/100+E3.D.05*E3D05w/100+E3.D.S*E3DSw/100</v>
          </cell>
          <cell r="G15">
            <v>150.0641</v>
          </cell>
          <cell r="H15">
            <v>150.0641</v>
          </cell>
          <cell r="J15" t="str">
            <v>€/Jahr</v>
          </cell>
          <cell r="K15" t="str">
            <v>1</v>
          </cell>
          <cell r="L15" t="str">
            <v>PTECHNIK</v>
          </cell>
          <cell r="M15">
            <v>2</v>
          </cell>
          <cell r="N15">
            <v>1.0049261083743843</v>
          </cell>
          <cell r="O15">
            <v>5924.1551768124054</v>
          </cell>
          <cell r="P15" t="str">
            <v>€</v>
          </cell>
          <cell r="Q15">
            <v>0</v>
          </cell>
          <cell r="R15">
            <v>150.80333201970444</v>
          </cell>
          <cell r="S15">
            <v>302.34953759615786</v>
          </cell>
          <cell r="T15">
            <v>454.64227620500873</v>
          </cell>
          <cell r="U15">
            <v>607.68522534887336</v>
          </cell>
          <cell r="V15">
            <v>761.48208064615858</v>
          </cell>
          <cell r="W15">
            <v>916.03655592027837</v>
          </cell>
          <cell r="X15">
            <v>1071.3523832893463</v>
          </cell>
          <cell r="Y15">
            <v>1227.4333132562906</v>
          </cell>
          <cell r="Z15">
            <v>1384.2831147994282</v>
          </cell>
          <cell r="AA15">
            <v>1541.9055754634653</v>
          </cell>
          <cell r="AB15">
            <v>1700.3045014509685</v>
          </cell>
          <cell r="AC15">
            <v>1859.4837177142749</v>
          </cell>
          <cell r="AD15">
            <v>2019.4470680478414</v>
          </cell>
          <cell r="AE15">
            <v>2180.1984151810852</v>
          </cell>
          <cell r="AF15">
            <v>2341.7416408716317</v>
          </cell>
          <cell r="AG15">
            <v>2504.0806459990849</v>
          </cell>
          <cell r="AH15">
            <v>2667.2193506591798</v>
          </cell>
          <cell r="AI15">
            <v>2831.1616942584906</v>
          </cell>
          <cell r="AJ15">
            <v>2995.9116356095201</v>
          </cell>
          <cell r="AK15">
            <v>3161.4731530263102</v>
          </cell>
          <cell r="AL15">
            <v>3327.8502444205319</v>
          </cell>
          <cell r="AM15">
            <v>3495.0469273979716</v>
          </cell>
          <cell r="AN15">
            <v>3663.0672393555988</v>
          </cell>
          <cell r="AO15">
            <v>3831.9152375790286</v>
          </cell>
          <cell r="AP15">
            <v>4001.5949993405056</v>
          </cell>
          <cell r="AQ15">
            <v>4172.1106219973535</v>
          </cell>
          <cell r="AR15">
            <v>4343.466223090938</v>
          </cell>
          <cell r="AS15">
            <v>4515.665940446067</v>
          </cell>
          <cell r="AT15">
            <v>4688.7139322709263</v>
          </cell>
          <cell r="AU15">
            <v>4862.614377257486</v>
          </cell>
          <cell r="AV15">
            <v>5037.3714746823935</v>
          </cell>
          <cell r="AW15">
            <v>5212.9894445084228</v>
          </cell>
          <cell r="AX15">
            <v>5389.4725274862967</v>
          </cell>
          <cell r="AY15">
            <v>5566.8249852571707</v>
          </cell>
          <cell r="AZ15">
            <v>5745.0511004554855</v>
          </cell>
          <cell r="BA15">
            <v>5924.1551768124054</v>
          </cell>
          <cell r="BB15" t="e">
            <v>#VALUE!</v>
          </cell>
          <cell r="BC15" t="e">
            <v>#VALUE!</v>
          </cell>
          <cell r="BD15" t="e">
            <v>#VALUE!</v>
          </cell>
          <cell r="BE15" t="e">
            <v>#VALUE!</v>
          </cell>
          <cell r="BF15" t="e">
            <v>#VALUE!</v>
          </cell>
          <cell r="BG15" t="e">
            <v>#VALUE!</v>
          </cell>
          <cell r="BH15" t="e">
            <v>#VALUE!</v>
          </cell>
          <cell r="BI15" t="e">
            <v>#VALUE!</v>
          </cell>
          <cell r="BJ15" t="e">
            <v>#VALUE!</v>
          </cell>
          <cell r="BK15" t="e">
            <v>#VALUE!</v>
          </cell>
          <cell r="BL15" t="e">
            <v>#VALUE!</v>
          </cell>
          <cell r="BM15" t="e">
            <v>#VALUE!</v>
          </cell>
          <cell r="BN15" t="e">
            <v>#VALUE!</v>
          </cell>
          <cell r="BO15" t="e">
            <v>#VALUE!</v>
          </cell>
          <cell r="BP15" t="e">
            <v>#VALUE!</v>
          </cell>
          <cell r="BQ15" t="e">
            <v>#VALUE!</v>
          </cell>
          <cell r="BR15" t="e">
            <v>#VALUE!</v>
          </cell>
          <cell r="BS15" t="e">
            <v>#VALUE!</v>
          </cell>
          <cell r="BT15" t="e">
            <v>#VALUE!</v>
          </cell>
          <cell r="BU15" t="e">
            <v>#VALUE!</v>
          </cell>
          <cell r="BV15" t="e">
            <v>#VALUE!</v>
          </cell>
          <cell r="BW15" t="e">
            <v>#VALUE!</v>
          </cell>
          <cell r="BX15" t="e">
            <v>#VALUE!</v>
          </cell>
          <cell r="BY15" t="e">
            <v>#VALUE!</v>
          </cell>
          <cell r="BZ15" t="e">
            <v>#VALUE!</v>
          </cell>
          <cell r="CA15" t="e">
            <v>#VALUE!</v>
          </cell>
          <cell r="CB15" t="e">
            <v>#VALUE!</v>
          </cell>
          <cell r="CC15" t="e">
            <v>#VALUE!</v>
          </cell>
          <cell r="CD15" t="e">
            <v>#VALUE!</v>
          </cell>
          <cell r="CE15" t="e">
            <v>#VALUE!</v>
          </cell>
          <cell r="CF15" t="e">
            <v>#VALUE!</v>
          </cell>
          <cell r="CG15" t="e">
            <v>#VALUE!</v>
          </cell>
          <cell r="CH15" t="e">
            <v>#VALUE!</v>
          </cell>
          <cell r="CI15" t="e">
            <v>#VALUE!</v>
          </cell>
          <cell r="CJ15" t="e">
            <v>#VALUE!</v>
          </cell>
          <cell r="CK15" t="e">
            <v>#VALUE!</v>
          </cell>
          <cell r="CL15" t="e">
            <v>#VALUE!</v>
          </cell>
          <cell r="CM15" t="e">
            <v>#VALUE!</v>
          </cell>
          <cell r="CN15" t="e">
            <v>#VALUE!</v>
          </cell>
          <cell r="CO15" t="e">
            <v>#VALUE!</v>
          </cell>
          <cell r="CP15" t="e">
            <v>#VALUE!</v>
          </cell>
          <cell r="CQ15" t="e">
            <v>#VALUE!</v>
          </cell>
          <cell r="CR15" t="e">
            <v>#VALUE!</v>
          </cell>
          <cell r="CS15" t="e">
            <v>#VALUE!</v>
          </cell>
          <cell r="CT15" t="e">
            <v>#VALUE!</v>
          </cell>
          <cell r="CU15" t="e">
            <v>#VALUE!</v>
          </cell>
          <cell r="CV15" t="e">
            <v>#VALUE!</v>
          </cell>
          <cell r="CW15" t="e">
            <v>#VALUE!</v>
          </cell>
          <cell r="CX15" t="e">
            <v>#VALUE!</v>
          </cell>
          <cell r="CY15" t="e">
            <v>#VALUE!</v>
          </cell>
          <cell r="CZ15" t="e">
            <v>#VALUE!</v>
          </cell>
          <cell r="DA15" t="e">
            <v>#VALUE!</v>
          </cell>
          <cell r="DB15" t="e">
            <v>#VALUE!</v>
          </cell>
          <cell r="DC15" t="e">
            <v>#VALUE!</v>
          </cell>
          <cell r="DD15" t="e">
            <v>#VALUE!</v>
          </cell>
          <cell r="DE15" t="e">
            <v>#VALUE!</v>
          </cell>
          <cell r="DF15" t="e">
            <v>#VALUE!</v>
          </cell>
          <cell r="DG15" t="e">
            <v>#VALUE!</v>
          </cell>
          <cell r="DH15" t="e">
            <v>#VALUE!</v>
          </cell>
          <cell r="DI15" t="e">
            <v>#VALUE!</v>
          </cell>
          <cell r="DJ15" t="e">
            <v>#VALUE!</v>
          </cell>
          <cell r="DK15" t="e">
            <v>#VALUE!</v>
          </cell>
          <cell r="DL15" t="e">
            <v>#VALUE!</v>
          </cell>
          <cell r="DM15" t="e">
            <v>#VALUE!</v>
          </cell>
        </row>
        <row r="16">
          <cell r="C16" t="str">
            <v>F2.3-3.E</v>
          </cell>
          <cell r="D16" t="str">
            <v>Sanitär-/Gasanlagen</v>
          </cell>
          <cell r="F16" t="str">
            <v>E3.E.01*E3E01w/100+E3.E.02*E3E02w/100+E3.E.03*E3E03w/100+E3.E.04*E3E04w/100+E3.E.S*E3ESw/100</v>
          </cell>
          <cell r="G16">
            <v>83.579580000000007</v>
          </cell>
          <cell r="H16">
            <v>83.579580000000007</v>
          </cell>
          <cell r="J16" t="str">
            <v>€/Jahr</v>
          </cell>
          <cell r="K16" t="str">
            <v>1</v>
          </cell>
          <cell r="L16" t="str">
            <v>PTECHNIK</v>
          </cell>
          <cell r="M16">
            <v>2</v>
          </cell>
          <cell r="N16">
            <v>1.0049261083743843</v>
          </cell>
          <cell r="O16">
            <v>3299.5126851312648</v>
          </cell>
          <cell r="P16" t="str">
            <v>€</v>
          </cell>
          <cell r="Q16">
            <v>0</v>
          </cell>
          <cell r="R16">
            <v>83.991302068965538</v>
          </cell>
          <cell r="S16">
            <v>168.39635439442938</v>
          </cell>
          <cell r="T16">
            <v>253.21719515499464</v>
          </cell>
          <cell r="U16">
            <v>338.45587256954991</v>
          </cell>
          <cell r="V16">
            <v>424.11444494673992</v>
          </cell>
          <cell r="W16">
            <v>510.19498073465536</v>
          </cell>
          <cell r="X16">
            <v>596.6995585707881</v>
          </cell>
          <cell r="Y16">
            <v>683.63026733222148</v>
          </cell>
          <cell r="Z16">
            <v>770.98920618607656</v>
          </cell>
          <cell r="AA16">
            <v>858.77848464019553</v>
          </cell>
          <cell r="AB16">
            <v>947.00022259408729</v>
          </cell>
          <cell r="AC16">
            <v>1035.6565503901179</v>
          </cell>
          <cell r="AD16">
            <v>1124.7496088649452</v>
          </cell>
          <cell r="AE16">
            <v>1214.2815494012277</v>
          </cell>
          <cell r="AF16">
            <v>1304.2545339795586</v>
          </cell>
          <cell r="AG16">
            <v>1394.670735230693</v>
          </cell>
          <cell r="AH16">
            <v>1485.5323364879875</v>
          </cell>
          <cell r="AI16">
            <v>1576.8415318401476</v>
          </cell>
          <cell r="AJ16">
            <v>1668.6005261841892</v>
          </cell>
          <cell r="AK16">
            <v>1760.8115352786895</v>
          </cell>
          <cell r="AL16">
            <v>1853.4767857973056</v>
          </cell>
          <cell r="AM16">
            <v>1946.5985153825134</v>
          </cell>
          <cell r="AN16">
            <v>2040.1789726996697</v>
          </cell>
          <cell r="AO16">
            <v>2134.2204174912954</v>
          </cell>
          <cell r="AP16">
            <v>2228.7251206316487</v>
          </cell>
          <cell r="AQ16">
            <v>2323.6953641815576</v>
          </cell>
          <cell r="AR16">
            <v>2419.1334414435364</v>
          </cell>
          <cell r="AS16">
            <v>2515.0416570171506</v>
          </cell>
          <cell r="AT16">
            <v>2611.4223268546743</v>
          </cell>
          <cell r="AU16">
            <v>2708.2777783170145</v>
          </cell>
          <cell r="AV16">
            <v>2805.6103502299029</v>
          </cell>
          <cell r="AW16">
            <v>2903.4223929403993</v>
          </cell>
          <cell r="AX16">
            <v>3001.7162683736033</v>
          </cell>
          <cell r="AY16">
            <v>3100.4943500897325</v>
          </cell>
          <cell r="AZ16">
            <v>3199.759023341408</v>
          </cell>
          <cell r="BA16">
            <v>3299.5126851312648</v>
          </cell>
          <cell r="BB16" t="e">
            <v>#VALUE!</v>
          </cell>
          <cell r="BC16" t="e">
            <v>#VALUE!</v>
          </cell>
          <cell r="BD16" t="e">
            <v>#VALUE!</v>
          </cell>
          <cell r="BE16" t="e">
            <v>#VALUE!</v>
          </cell>
          <cell r="BF16" t="e">
            <v>#VALUE!</v>
          </cell>
          <cell r="BG16" t="e">
            <v>#VALUE!</v>
          </cell>
          <cell r="BH16" t="e">
            <v>#VALUE!</v>
          </cell>
          <cell r="BI16" t="e">
            <v>#VALUE!</v>
          </cell>
          <cell r="BJ16" t="e">
            <v>#VALUE!</v>
          </cell>
          <cell r="BK16" t="e">
            <v>#VALUE!</v>
          </cell>
          <cell r="BL16" t="e">
            <v>#VALUE!</v>
          </cell>
          <cell r="BM16" t="e">
            <v>#VALUE!</v>
          </cell>
          <cell r="BN16" t="e">
            <v>#VALUE!</v>
          </cell>
          <cell r="BO16" t="e">
            <v>#VALUE!</v>
          </cell>
          <cell r="BP16" t="e">
            <v>#VALUE!</v>
          </cell>
          <cell r="BQ16" t="e">
            <v>#VALUE!</v>
          </cell>
          <cell r="BR16" t="e">
            <v>#VALUE!</v>
          </cell>
          <cell r="BS16" t="e">
            <v>#VALUE!</v>
          </cell>
          <cell r="BT16" t="e">
            <v>#VALUE!</v>
          </cell>
          <cell r="BU16" t="e">
            <v>#VALUE!</v>
          </cell>
          <cell r="BV16" t="e">
            <v>#VALUE!</v>
          </cell>
          <cell r="BW16" t="e">
            <v>#VALUE!</v>
          </cell>
          <cell r="BX16" t="e">
            <v>#VALUE!</v>
          </cell>
          <cell r="BY16" t="e">
            <v>#VALUE!</v>
          </cell>
          <cell r="BZ16" t="e">
            <v>#VALUE!</v>
          </cell>
          <cell r="CA16" t="e">
            <v>#VALUE!</v>
          </cell>
          <cell r="CB16" t="e">
            <v>#VALUE!</v>
          </cell>
          <cell r="CC16" t="e">
            <v>#VALUE!</v>
          </cell>
          <cell r="CD16" t="e">
            <v>#VALUE!</v>
          </cell>
          <cell r="CE16" t="e">
            <v>#VALUE!</v>
          </cell>
          <cell r="CF16" t="e">
            <v>#VALUE!</v>
          </cell>
          <cell r="CG16" t="e">
            <v>#VALUE!</v>
          </cell>
          <cell r="CH16" t="e">
            <v>#VALUE!</v>
          </cell>
          <cell r="CI16" t="e">
            <v>#VALUE!</v>
          </cell>
          <cell r="CJ16" t="e">
            <v>#VALUE!</v>
          </cell>
          <cell r="CK16" t="e">
            <v>#VALUE!</v>
          </cell>
          <cell r="CL16" t="e">
            <v>#VALUE!</v>
          </cell>
          <cell r="CM16" t="e">
            <v>#VALUE!</v>
          </cell>
          <cell r="CN16" t="e">
            <v>#VALUE!</v>
          </cell>
          <cell r="CO16" t="e">
            <v>#VALUE!</v>
          </cell>
          <cell r="CP16" t="e">
            <v>#VALUE!</v>
          </cell>
          <cell r="CQ16" t="e">
            <v>#VALUE!</v>
          </cell>
          <cell r="CR16" t="e">
            <v>#VALUE!</v>
          </cell>
          <cell r="CS16" t="e">
            <v>#VALUE!</v>
          </cell>
          <cell r="CT16" t="e">
            <v>#VALUE!</v>
          </cell>
          <cell r="CU16" t="e">
            <v>#VALUE!</v>
          </cell>
          <cell r="CV16" t="e">
            <v>#VALUE!</v>
          </cell>
          <cell r="CW16" t="e">
            <v>#VALUE!</v>
          </cell>
          <cell r="CX16" t="e">
            <v>#VALUE!</v>
          </cell>
          <cell r="CY16" t="e">
            <v>#VALUE!</v>
          </cell>
          <cell r="CZ16" t="e">
            <v>#VALUE!</v>
          </cell>
          <cell r="DA16" t="e">
            <v>#VALUE!</v>
          </cell>
          <cell r="DB16" t="e">
            <v>#VALUE!</v>
          </cell>
          <cell r="DC16" t="e">
            <v>#VALUE!</v>
          </cell>
          <cell r="DD16" t="e">
            <v>#VALUE!</v>
          </cell>
          <cell r="DE16" t="e">
            <v>#VALUE!</v>
          </cell>
          <cell r="DF16" t="e">
            <v>#VALUE!</v>
          </cell>
          <cell r="DG16" t="e">
            <v>#VALUE!</v>
          </cell>
          <cell r="DH16" t="e">
            <v>#VALUE!</v>
          </cell>
          <cell r="DI16" t="e">
            <v>#VALUE!</v>
          </cell>
          <cell r="DJ16" t="e">
            <v>#VALUE!</v>
          </cell>
          <cell r="DK16" t="e">
            <v>#VALUE!</v>
          </cell>
          <cell r="DL16" t="e">
            <v>#VALUE!</v>
          </cell>
          <cell r="DM16" t="e">
            <v>#VALUE!</v>
          </cell>
        </row>
        <row r="17">
          <cell r="C17" t="str">
            <v>F2.3-3.F</v>
          </cell>
          <cell r="D17" t="str">
            <v>Starkstromanlagen</v>
          </cell>
          <cell r="F17" t="str">
            <v>E3.F*E3Fw/100</v>
          </cell>
          <cell r="G17">
            <v>682.7287</v>
          </cell>
          <cell r="H17">
            <v>682.7287</v>
          </cell>
          <cell r="J17" t="str">
            <v>€/Jahr</v>
          </cell>
          <cell r="K17" t="str">
            <v>1</v>
          </cell>
          <cell r="L17" t="str">
            <v>PTECHNIK</v>
          </cell>
          <cell r="M17">
            <v>2</v>
          </cell>
          <cell r="N17">
            <v>1.0049261083743843</v>
          </cell>
          <cell r="O17">
            <v>26952.420748622782</v>
          </cell>
          <cell r="P17" t="str">
            <v>€</v>
          </cell>
          <cell r="Q17">
            <v>0</v>
          </cell>
          <cell r="R17">
            <v>686.09189556650256</v>
          </cell>
          <cell r="S17">
            <v>1375.5635541653601</v>
          </cell>
          <cell r="T17">
            <v>2068.4316248755472</v>
          </cell>
          <cell r="U17">
            <v>2764.7128387911789</v>
          </cell>
          <cell r="V17">
            <v>3464.4240094256193</v>
          </cell>
          <cell r="W17">
            <v>4167.5820331173745</v>
          </cell>
          <cell r="X17">
            <v>4874.2038894381612</v>
          </cell>
          <cell r="Y17">
            <v>5584.3066416028887</v>
          </cell>
          <cell r="Z17">
            <v>6297.9074368817355</v>
          </cell>
          <cell r="AA17">
            <v>7015.0235070141607</v>
          </cell>
          <cell r="AB17">
            <v>7735.6721686250612</v>
          </cell>
          <cell r="AC17">
            <v>8459.8708236429229</v>
          </cell>
          <cell r="AD17">
            <v>9187.6369597199755</v>
          </cell>
          <cell r="AE17">
            <v>9918.9881506545717</v>
          </cell>
          <cell r="AF17">
            <v>10653.942056815429</v>
          </cell>
          <cell r="AG17">
            <v>11392.516425568245</v>
          </cell>
          <cell r="AH17">
            <v>12134.729091704054</v>
          </cell>
          <cell r="AI17">
            <v>12880.597977870102</v>
          </cell>
          <cell r="AJ17">
            <v>13630.14109500248</v>
          </cell>
          <cell r="AK17">
            <v>14383.376542761087</v>
          </cell>
          <cell r="AL17">
            <v>15140.322509966822</v>
          </cell>
          <cell r="AM17">
            <v>15900.997275040545</v>
          </cell>
          <cell r="AN17">
            <v>16665.419206444694</v>
          </cell>
          <cell r="AO17">
            <v>17433.606763126703</v>
          </cell>
          <cell r="AP17">
            <v>18205.578494964782</v>
          </cell>
          <cell r="AQ17">
            <v>18981.353043215833</v>
          </cell>
          <cell r="AR17">
            <v>19760.949140965669</v>
          </cell>
          <cell r="AS17">
            <v>20544.385613581271</v>
          </cell>
          <cell r="AT17">
            <v>21331.68137916542</v>
          </cell>
          <cell r="AU17">
            <v>22122.855449013543</v>
          </cell>
          <cell r="AV17">
            <v>22917.926928072695</v>
          </cell>
          <cell r="AW17">
            <v>23716.915015403138</v>
          </cell>
          <cell r="AX17">
            <v>24519.839004641577</v>
          </cell>
          <cell r="AY17">
            <v>25326.718284467424</v>
          </cell>
          <cell r="AZ17">
            <v>26137.572339070728</v>
          </cell>
          <cell r="BA17">
            <v>26952.420748622782</v>
          </cell>
          <cell r="BB17" t="e">
            <v>#VALUE!</v>
          </cell>
          <cell r="BC17" t="e">
            <v>#VALUE!</v>
          </cell>
          <cell r="BD17" t="e">
            <v>#VALUE!</v>
          </cell>
          <cell r="BE17" t="e">
            <v>#VALUE!</v>
          </cell>
          <cell r="BF17" t="e">
            <v>#VALUE!</v>
          </cell>
          <cell r="BG17" t="e">
            <v>#VALUE!</v>
          </cell>
          <cell r="BH17" t="e">
            <v>#VALUE!</v>
          </cell>
          <cell r="BI17" t="e">
            <v>#VALUE!</v>
          </cell>
          <cell r="BJ17" t="e">
            <v>#VALUE!</v>
          </cell>
          <cell r="BK17" t="e">
            <v>#VALUE!</v>
          </cell>
          <cell r="BL17" t="e">
            <v>#VALUE!</v>
          </cell>
          <cell r="BM17" t="e">
            <v>#VALUE!</v>
          </cell>
          <cell r="BN17" t="e">
            <v>#VALUE!</v>
          </cell>
          <cell r="BO17" t="e">
            <v>#VALUE!</v>
          </cell>
          <cell r="BP17" t="e">
            <v>#VALUE!</v>
          </cell>
          <cell r="BQ17" t="e">
            <v>#VALUE!</v>
          </cell>
          <cell r="BR17" t="e">
            <v>#VALUE!</v>
          </cell>
          <cell r="BS17" t="e">
            <v>#VALUE!</v>
          </cell>
          <cell r="BT17" t="e">
            <v>#VALUE!</v>
          </cell>
          <cell r="BU17" t="e">
            <v>#VALUE!</v>
          </cell>
          <cell r="BV17" t="e">
            <v>#VALUE!</v>
          </cell>
          <cell r="BW17" t="e">
            <v>#VALUE!</v>
          </cell>
          <cell r="BX17" t="e">
            <v>#VALUE!</v>
          </cell>
          <cell r="BY17" t="e">
            <v>#VALUE!</v>
          </cell>
          <cell r="BZ17" t="e">
            <v>#VALUE!</v>
          </cell>
          <cell r="CA17" t="e">
            <v>#VALUE!</v>
          </cell>
          <cell r="CB17" t="e">
            <v>#VALUE!</v>
          </cell>
          <cell r="CC17" t="e">
            <v>#VALUE!</v>
          </cell>
          <cell r="CD17" t="e">
            <v>#VALUE!</v>
          </cell>
          <cell r="CE17" t="e">
            <v>#VALUE!</v>
          </cell>
          <cell r="CF17" t="e">
            <v>#VALUE!</v>
          </cell>
          <cell r="CG17" t="e">
            <v>#VALUE!</v>
          </cell>
          <cell r="CH17" t="e">
            <v>#VALUE!</v>
          </cell>
          <cell r="CI17" t="e">
            <v>#VALUE!</v>
          </cell>
          <cell r="CJ17" t="e">
            <v>#VALUE!</v>
          </cell>
          <cell r="CK17" t="e">
            <v>#VALUE!</v>
          </cell>
          <cell r="CL17" t="e">
            <v>#VALUE!</v>
          </cell>
          <cell r="CM17" t="e">
            <v>#VALUE!</v>
          </cell>
          <cell r="CN17" t="e">
            <v>#VALUE!</v>
          </cell>
          <cell r="CO17" t="e">
            <v>#VALUE!</v>
          </cell>
          <cell r="CP17" t="e">
            <v>#VALUE!</v>
          </cell>
          <cell r="CQ17" t="e">
            <v>#VALUE!</v>
          </cell>
          <cell r="CR17" t="e">
            <v>#VALUE!</v>
          </cell>
          <cell r="CS17" t="e">
            <v>#VALUE!</v>
          </cell>
          <cell r="CT17" t="e">
            <v>#VALUE!</v>
          </cell>
          <cell r="CU17" t="e">
            <v>#VALUE!</v>
          </cell>
          <cell r="CV17" t="e">
            <v>#VALUE!</v>
          </cell>
          <cell r="CW17" t="e">
            <v>#VALUE!</v>
          </cell>
          <cell r="CX17" t="e">
            <v>#VALUE!</v>
          </cell>
          <cell r="CY17" t="e">
            <v>#VALUE!</v>
          </cell>
          <cell r="CZ17" t="e">
            <v>#VALUE!</v>
          </cell>
          <cell r="DA17" t="e">
            <v>#VALUE!</v>
          </cell>
          <cell r="DB17" t="e">
            <v>#VALUE!</v>
          </cell>
          <cell r="DC17" t="e">
            <v>#VALUE!</v>
          </cell>
          <cell r="DD17" t="e">
            <v>#VALUE!</v>
          </cell>
          <cell r="DE17" t="e">
            <v>#VALUE!</v>
          </cell>
          <cell r="DF17" t="e">
            <v>#VALUE!</v>
          </cell>
          <cell r="DG17" t="e">
            <v>#VALUE!</v>
          </cell>
          <cell r="DH17" t="e">
            <v>#VALUE!</v>
          </cell>
          <cell r="DI17" t="e">
            <v>#VALUE!</v>
          </cell>
          <cell r="DJ17" t="e">
            <v>#VALUE!</v>
          </cell>
          <cell r="DK17" t="e">
            <v>#VALUE!</v>
          </cell>
          <cell r="DL17" t="e">
            <v>#VALUE!</v>
          </cell>
          <cell r="DM17" t="e">
            <v>#VALUE!</v>
          </cell>
        </row>
        <row r="18">
          <cell r="C18" t="str">
            <v>F2.3-3.G</v>
          </cell>
          <cell r="D18" t="str">
            <v>Fernmelde- und Informationstechnische Anlagen</v>
          </cell>
          <cell r="F18" t="str">
            <v>E3.G*E3Gw/100</v>
          </cell>
          <cell r="G18">
            <v>241.78259999999997</v>
          </cell>
          <cell r="H18">
            <v>241.78259999999997</v>
          </cell>
          <cell r="J18" t="str">
            <v>€/Jahr</v>
          </cell>
          <cell r="K18" t="str">
            <v>1</v>
          </cell>
          <cell r="L18" t="str">
            <v>PTECHNIK</v>
          </cell>
          <cell r="M18">
            <v>2</v>
          </cell>
          <cell r="N18">
            <v>1.0049261083743843</v>
          </cell>
          <cell r="O18">
            <v>9544.9720582948412</v>
          </cell>
          <cell r="P18" t="str">
            <v>€</v>
          </cell>
          <cell r="Q18">
            <v>0</v>
          </cell>
          <cell r="R18">
            <v>242.9736472906404</v>
          </cell>
          <cell r="S18">
            <v>487.14420909995664</v>
          </cell>
          <cell r="T18">
            <v>732.51758155858158</v>
          </cell>
          <cell r="U18">
            <v>979.09968984211741</v>
          </cell>
          <cell r="V18">
            <v>1226.8964883142464</v>
          </cell>
          <cell r="W18">
            <v>1475.9139606704755</v>
          </cell>
          <cell r="X18">
            <v>1726.1581200826495</v>
          </cell>
          <cell r="Y18">
            <v>1977.6350093441429</v>
          </cell>
          <cell r="Z18">
            <v>2230.3507010157941</v>
          </cell>
          <cell r="AA18">
            <v>2484.311297572523</v>
          </cell>
          <cell r="AB18">
            <v>2739.5229315507104</v>
          </cell>
          <cell r="AC18">
            <v>2995.9917656962816</v>
          </cell>
          <cell r="AD18">
            <v>3253.7239931135027</v>
          </cell>
          <cell r="AE18">
            <v>3512.7258374145599</v>
          </cell>
          <cell r="AF18">
            <v>3773.0035528698031</v>
          </cell>
          <cell r="AG18">
            <v>4034.5634245588276</v>
          </cell>
          <cell r="AH18">
            <v>4297.4117685221727</v>
          </cell>
          <cell r="AI18">
            <v>4561.5549319139145</v>
          </cell>
          <cell r="AJ18">
            <v>4826.9992931548741</v>
          </cell>
          <cell r="AK18">
            <v>5093.7512620866628</v>
          </cell>
          <cell r="AL18">
            <v>5361.8172801265036</v>
          </cell>
          <cell r="AM18">
            <v>5631.203820422691</v>
          </cell>
          <cell r="AN18">
            <v>5901.9173880109829</v>
          </cell>
          <cell r="AO18">
            <v>6173.9645199716342</v>
          </cell>
          <cell r="AP18">
            <v>6447.3517855872642</v>
          </cell>
          <cell r="AQ18">
            <v>6722.0857865014841</v>
          </cell>
          <cell r="AR18">
            <v>6998.1731568783416</v>
          </cell>
          <cell r="AS18">
            <v>7275.6205635624729</v>
          </cell>
          <cell r="AT18">
            <v>7554.4347062401221</v>
          </cell>
          <cell r="AU18">
            <v>7834.6223176009171</v>
          </cell>
          <cell r="AV18">
            <v>8116.1901635004187</v>
          </cell>
          <cell r="AW18">
            <v>8399.1450431235862</v>
          </cell>
          <cell r="AX18">
            <v>8683.4937891488244</v>
          </cell>
          <cell r="AY18">
            <v>8969.2432679131143</v>
          </cell>
          <cell r="AZ18">
            <v>9256.4003795777171</v>
          </cell>
          <cell r="BA18">
            <v>9544.9720582948412</v>
          </cell>
          <cell r="BB18" t="e">
            <v>#VALUE!</v>
          </cell>
          <cell r="BC18" t="e">
            <v>#VALUE!</v>
          </cell>
          <cell r="BD18" t="e">
            <v>#VALUE!</v>
          </cell>
          <cell r="BE18" t="e">
            <v>#VALUE!</v>
          </cell>
          <cell r="BF18" t="e">
            <v>#VALUE!</v>
          </cell>
          <cell r="BG18" t="e">
            <v>#VALUE!</v>
          </cell>
          <cell r="BH18" t="e">
            <v>#VALUE!</v>
          </cell>
          <cell r="BI18" t="e">
            <v>#VALUE!</v>
          </cell>
          <cell r="BJ18" t="e">
            <v>#VALUE!</v>
          </cell>
          <cell r="BK18" t="e">
            <v>#VALUE!</v>
          </cell>
          <cell r="BL18" t="e">
            <v>#VALUE!</v>
          </cell>
          <cell r="BM18" t="e">
            <v>#VALUE!</v>
          </cell>
          <cell r="BN18" t="e">
            <v>#VALUE!</v>
          </cell>
          <cell r="BO18" t="e">
            <v>#VALUE!</v>
          </cell>
          <cell r="BP18" t="e">
            <v>#VALUE!</v>
          </cell>
          <cell r="BQ18" t="e">
            <v>#VALUE!</v>
          </cell>
          <cell r="BR18" t="e">
            <v>#VALUE!</v>
          </cell>
          <cell r="BS18" t="e">
            <v>#VALUE!</v>
          </cell>
          <cell r="BT18" t="e">
            <v>#VALUE!</v>
          </cell>
          <cell r="BU18" t="e">
            <v>#VALUE!</v>
          </cell>
          <cell r="BV18" t="e">
            <v>#VALUE!</v>
          </cell>
          <cell r="BW18" t="e">
            <v>#VALUE!</v>
          </cell>
          <cell r="BX18" t="e">
            <v>#VALUE!</v>
          </cell>
          <cell r="BY18" t="e">
            <v>#VALUE!</v>
          </cell>
          <cell r="BZ18" t="e">
            <v>#VALUE!</v>
          </cell>
          <cell r="CA18" t="e">
            <v>#VALUE!</v>
          </cell>
          <cell r="CB18" t="e">
            <v>#VALUE!</v>
          </cell>
          <cell r="CC18" t="e">
            <v>#VALUE!</v>
          </cell>
          <cell r="CD18" t="e">
            <v>#VALUE!</v>
          </cell>
          <cell r="CE18" t="e">
            <v>#VALUE!</v>
          </cell>
          <cell r="CF18" t="e">
            <v>#VALUE!</v>
          </cell>
          <cell r="CG18" t="e">
            <v>#VALUE!</v>
          </cell>
          <cell r="CH18" t="e">
            <v>#VALUE!</v>
          </cell>
          <cell r="CI18" t="e">
            <v>#VALUE!</v>
          </cell>
          <cell r="CJ18" t="e">
            <v>#VALUE!</v>
          </cell>
          <cell r="CK18" t="e">
            <v>#VALUE!</v>
          </cell>
          <cell r="CL18" t="e">
            <v>#VALUE!</v>
          </cell>
          <cell r="CM18" t="e">
            <v>#VALUE!</v>
          </cell>
          <cell r="CN18" t="e">
            <v>#VALUE!</v>
          </cell>
          <cell r="CO18" t="e">
            <v>#VALUE!</v>
          </cell>
          <cell r="CP18" t="e">
            <v>#VALUE!</v>
          </cell>
          <cell r="CQ18" t="e">
            <v>#VALUE!</v>
          </cell>
          <cell r="CR18" t="e">
            <v>#VALUE!</v>
          </cell>
          <cell r="CS18" t="e">
            <v>#VALUE!</v>
          </cell>
          <cell r="CT18" t="e">
            <v>#VALUE!</v>
          </cell>
          <cell r="CU18" t="e">
            <v>#VALUE!</v>
          </cell>
          <cell r="CV18" t="e">
            <v>#VALUE!</v>
          </cell>
          <cell r="CW18" t="e">
            <v>#VALUE!</v>
          </cell>
          <cell r="CX18" t="e">
            <v>#VALUE!</v>
          </cell>
          <cell r="CY18" t="e">
            <v>#VALUE!</v>
          </cell>
          <cell r="CZ18" t="e">
            <v>#VALUE!</v>
          </cell>
          <cell r="DA18" t="e">
            <v>#VALUE!</v>
          </cell>
          <cell r="DB18" t="e">
            <v>#VALUE!</v>
          </cell>
          <cell r="DC18" t="e">
            <v>#VALUE!</v>
          </cell>
          <cell r="DD18" t="e">
            <v>#VALUE!</v>
          </cell>
          <cell r="DE18" t="e">
            <v>#VALUE!</v>
          </cell>
          <cell r="DF18" t="e">
            <v>#VALUE!</v>
          </cell>
          <cell r="DG18" t="e">
            <v>#VALUE!</v>
          </cell>
          <cell r="DH18" t="e">
            <v>#VALUE!</v>
          </cell>
          <cell r="DI18" t="e">
            <v>#VALUE!</v>
          </cell>
          <cell r="DJ18" t="e">
            <v>#VALUE!</v>
          </cell>
          <cell r="DK18" t="e">
            <v>#VALUE!</v>
          </cell>
          <cell r="DL18" t="e">
            <v>#VALUE!</v>
          </cell>
          <cell r="DM18" t="e">
            <v>#VALUE!</v>
          </cell>
        </row>
        <row r="19">
          <cell r="C19" t="str">
            <v>F2.3-3.H</v>
          </cell>
          <cell r="D19" t="str">
            <v>Gebäudeautomation</v>
          </cell>
          <cell r="F19" t="str">
            <v>E3.H*E3Hw/100</v>
          </cell>
          <cell r="G19">
            <v>125.23719999999999</v>
          </cell>
          <cell r="H19">
            <v>125.23719999999999</v>
          </cell>
          <cell r="J19" t="str">
            <v>€/Jahr</v>
          </cell>
          <cell r="K19" t="str">
            <v>1</v>
          </cell>
          <cell r="L19" t="str">
            <v>PTECHNIK</v>
          </cell>
          <cell r="M19">
            <v>2</v>
          </cell>
          <cell r="N19">
            <v>1.0049261083743843</v>
          </cell>
          <cell r="O19">
            <v>4944.0512868133719</v>
          </cell>
          <cell r="P19" t="str">
            <v>€</v>
          </cell>
          <cell r="Q19">
            <v>0</v>
          </cell>
          <cell r="R19">
            <v>125.85413201970444</v>
          </cell>
          <cell r="S19">
            <v>252.32823513310342</v>
          </cell>
          <cell r="T19">
            <v>379.42536338499292</v>
          </cell>
          <cell r="U19">
            <v>507.14858586471991</v>
          </cell>
          <cell r="V19">
            <v>635.50098678030986</v>
          </cell>
          <cell r="W19">
            <v>764.48566553292278</v>
          </cell>
          <cell r="X19">
            <v>894.10573679170784</v>
          </cell>
          <cell r="Y19">
            <v>1024.3643305690082</v>
          </cell>
          <cell r="Z19">
            <v>1155.2645922959518</v>
          </cell>
          <cell r="AA19">
            <v>1286.8096828983953</v>
          </cell>
          <cell r="AB19">
            <v>1419.002778873263</v>
          </cell>
          <cell r="AC19">
            <v>1551.8470723652504</v>
          </cell>
          <cell r="AD19">
            <v>1685.3457712438958</v>
          </cell>
          <cell r="AE19">
            <v>1819.5020991810607</v>
          </cell>
          <cell r="AF19">
            <v>1954.3192957287501</v>
          </cell>
          <cell r="AG19">
            <v>2089.80061639737</v>
          </cell>
          <cell r="AH19">
            <v>2225.9493327343039</v>
          </cell>
          <cell r="AI19">
            <v>2362.7687324029494</v>
          </cell>
          <cell r="AJ19">
            <v>2500.2621192620791</v>
          </cell>
          <cell r="AK19">
            <v>2638.4328134456318</v>
          </cell>
          <cell r="AL19">
            <v>2777.2841514429037</v>
          </cell>
          <cell r="AM19">
            <v>2916.8194861790744</v>
          </cell>
          <cell r="AN19">
            <v>3057.0421870962141</v>
          </cell>
          <cell r="AO19">
            <v>3197.955640234622</v>
          </cell>
          <cell r="AP19">
            <v>3339.5632483145987</v>
          </cell>
          <cell r="AQ19">
            <v>3481.8684308186098</v>
          </cell>
          <cell r="AR19">
            <v>3624.8746240738756</v>
          </cell>
          <cell r="AS19">
            <v>3768.585281335324</v>
          </cell>
          <cell r="AT19">
            <v>3913.0038728689965</v>
          </cell>
          <cell r="AU19">
            <v>4058.1338860358419</v>
          </cell>
          <cell r="AV19">
            <v>4203.9788253759152</v>
          </cell>
          <cell r="AW19">
            <v>4350.5422126930443</v>
          </cell>
          <cell r="AX19">
            <v>4497.8275871398073</v>
          </cell>
          <cell r="AY19">
            <v>4645.8385053030624</v>
          </cell>
          <cell r="AZ19">
            <v>4794.5785412897803</v>
          </cell>
          <cell r="BA19">
            <v>4944.0512868133719</v>
          </cell>
          <cell r="BB19" t="e">
            <v>#VALUE!</v>
          </cell>
          <cell r="BC19" t="e">
            <v>#VALUE!</v>
          </cell>
          <cell r="BD19" t="e">
            <v>#VALUE!</v>
          </cell>
          <cell r="BE19" t="e">
            <v>#VALUE!</v>
          </cell>
          <cell r="BF19" t="e">
            <v>#VALUE!</v>
          </cell>
          <cell r="BG19" t="e">
            <v>#VALUE!</v>
          </cell>
          <cell r="BH19" t="e">
            <v>#VALUE!</v>
          </cell>
          <cell r="BI19" t="e">
            <v>#VALUE!</v>
          </cell>
          <cell r="BJ19" t="e">
            <v>#VALUE!</v>
          </cell>
          <cell r="BK19" t="e">
            <v>#VALUE!</v>
          </cell>
          <cell r="BL19" t="e">
            <v>#VALUE!</v>
          </cell>
          <cell r="BM19" t="e">
            <v>#VALUE!</v>
          </cell>
          <cell r="BN19" t="e">
            <v>#VALUE!</v>
          </cell>
          <cell r="BO19" t="e">
            <v>#VALUE!</v>
          </cell>
          <cell r="BP19" t="e">
            <v>#VALUE!</v>
          </cell>
          <cell r="BQ19" t="e">
            <v>#VALUE!</v>
          </cell>
          <cell r="BR19" t="e">
            <v>#VALUE!</v>
          </cell>
          <cell r="BS19" t="e">
            <v>#VALUE!</v>
          </cell>
          <cell r="BT19" t="e">
            <v>#VALUE!</v>
          </cell>
          <cell r="BU19" t="e">
            <v>#VALUE!</v>
          </cell>
          <cell r="BV19" t="e">
            <v>#VALUE!</v>
          </cell>
          <cell r="BW19" t="e">
            <v>#VALUE!</v>
          </cell>
          <cell r="BX19" t="e">
            <v>#VALUE!</v>
          </cell>
          <cell r="BY19" t="e">
            <v>#VALUE!</v>
          </cell>
          <cell r="BZ19" t="e">
            <v>#VALUE!</v>
          </cell>
          <cell r="CA19" t="e">
            <v>#VALUE!</v>
          </cell>
          <cell r="CB19" t="e">
            <v>#VALUE!</v>
          </cell>
          <cell r="CC19" t="e">
            <v>#VALUE!</v>
          </cell>
          <cell r="CD19" t="e">
            <v>#VALUE!</v>
          </cell>
          <cell r="CE19" t="e">
            <v>#VALUE!</v>
          </cell>
          <cell r="CF19" t="e">
            <v>#VALUE!</v>
          </cell>
          <cell r="CG19" t="e">
            <v>#VALUE!</v>
          </cell>
          <cell r="CH19" t="e">
            <v>#VALUE!</v>
          </cell>
          <cell r="CI19" t="e">
            <v>#VALUE!</v>
          </cell>
          <cell r="CJ19" t="e">
            <v>#VALUE!</v>
          </cell>
          <cell r="CK19" t="e">
            <v>#VALUE!</v>
          </cell>
          <cell r="CL19" t="e">
            <v>#VALUE!</v>
          </cell>
          <cell r="CM19" t="e">
            <v>#VALUE!</v>
          </cell>
          <cell r="CN19" t="e">
            <v>#VALUE!</v>
          </cell>
          <cell r="CO19" t="e">
            <v>#VALUE!</v>
          </cell>
          <cell r="CP19" t="e">
            <v>#VALUE!</v>
          </cell>
          <cell r="CQ19" t="e">
            <v>#VALUE!</v>
          </cell>
          <cell r="CR19" t="e">
            <v>#VALUE!</v>
          </cell>
          <cell r="CS19" t="e">
            <v>#VALUE!</v>
          </cell>
          <cell r="CT19" t="e">
            <v>#VALUE!</v>
          </cell>
          <cell r="CU19" t="e">
            <v>#VALUE!</v>
          </cell>
          <cell r="CV19" t="e">
            <v>#VALUE!</v>
          </cell>
          <cell r="CW19" t="e">
            <v>#VALUE!</v>
          </cell>
          <cell r="CX19" t="e">
            <v>#VALUE!</v>
          </cell>
          <cell r="CY19" t="e">
            <v>#VALUE!</v>
          </cell>
          <cell r="CZ19" t="e">
            <v>#VALUE!</v>
          </cell>
          <cell r="DA19" t="e">
            <v>#VALUE!</v>
          </cell>
          <cell r="DB19" t="e">
            <v>#VALUE!</v>
          </cell>
          <cell r="DC19" t="e">
            <v>#VALUE!</v>
          </cell>
          <cell r="DD19" t="e">
            <v>#VALUE!</v>
          </cell>
          <cell r="DE19" t="e">
            <v>#VALUE!</v>
          </cell>
          <cell r="DF19" t="e">
            <v>#VALUE!</v>
          </cell>
          <cell r="DG19" t="e">
            <v>#VALUE!</v>
          </cell>
          <cell r="DH19" t="e">
            <v>#VALUE!</v>
          </cell>
          <cell r="DI19" t="e">
            <v>#VALUE!</v>
          </cell>
          <cell r="DJ19" t="e">
            <v>#VALUE!</v>
          </cell>
          <cell r="DK19" t="e">
            <v>#VALUE!</v>
          </cell>
          <cell r="DL19" t="e">
            <v>#VALUE!</v>
          </cell>
          <cell r="DM19" t="e">
            <v>#VALUE!</v>
          </cell>
        </row>
        <row r="20">
          <cell r="C20" t="str">
            <v>F2.3-3.I</v>
          </cell>
          <cell r="D20" t="str">
            <v>Spezielle Anlagen</v>
          </cell>
          <cell r="F20" t="str">
            <v>E3.I*E3Iw/100</v>
          </cell>
          <cell r="G20">
            <v>0</v>
          </cell>
          <cell r="H20">
            <v>0</v>
          </cell>
          <cell r="J20" t="str">
            <v>€/Jahr</v>
          </cell>
          <cell r="K20" t="str">
            <v>1</v>
          </cell>
          <cell r="L20" t="str">
            <v>PTECHNIK</v>
          </cell>
          <cell r="M20">
            <v>2</v>
          </cell>
          <cell r="N20">
            <v>1.0049261083743843</v>
          </cell>
          <cell r="O20">
            <v>0</v>
          </cell>
          <cell r="P20" t="str">
            <v>€</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t="e">
            <v>#VALUE!</v>
          </cell>
          <cell r="BC20" t="e">
            <v>#VALUE!</v>
          </cell>
          <cell r="BD20" t="e">
            <v>#VALUE!</v>
          </cell>
          <cell r="BE20" t="e">
            <v>#VALUE!</v>
          </cell>
          <cell r="BF20" t="e">
            <v>#VALUE!</v>
          </cell>
          <cell r="BG20" t="e">
            <v>#VALUE!</v>
          </cell>
          <cell r="BH20" t="e">
            <v>#VALUE!</v>
          </cell>
          <cell r="BI20" t="e">
            <v>#VALUE!</v>
          </cell>
          <cell r="BJ20" t="e">
            <v>#VALUE!</v>
          </cell>
          <cell r="BK20" t="e">
            <v>#VALUE!</v>
          </cell>
          <cell r="BL20" t="e">
            <v>#VALUE!</v>
          </cell>
          <cell r="BM20" t="e">
            <v>#VALUE!</v>
          </cell>
          <cell r="BN20" t="e">
            <v>#VALUE!</v>
          </cell>
          <cell r="BO20" t="e">
            <v>#VALUE!</v>
          </cell>
          <cell r="BP20" t="e">
            <v>#VALUE!</v>
          </cell>
          <cell r="BQ20" t="e">
            <v>#VALUE!</v>
          </cell>
          <cell r="BR20" t="e">
            <v>#VALUE!</v>
          </cell>
          <cell r="BS20" t="e">
            <v>#VALUE!</v>
          </cell>
          <cell r="BT20" t="e">
            <v>#VALUE!</v>
          </cell>
          <cell r="BU20" t="e">
            <v>#VALUE!</v>
          </cell>
          <cell r="BV20" t="e">
            <v>#VALUE!</v>
          </cell>
          <cell r="BW20" t="e">
            <v>#VALUE!</v>
          </cell>
          <cell r="BX20" t="e">
            <v>#VALUE!</v>
          </cell>
          <cell r="BY20" t="e">
            <v>#VALUE!</v>
          </cell>
          <cell r="BZ20" t="e">
            <v>#VALUE!</v>
          </cell>
          <cell r="CA20" t="e">
            <v>#VALUE!</v>
          </cell>
          <cell r="CB20" t="e">
            <v>#VALUE!</v>
          </cell>
          <cell r="CC20" t="e">
            <v>#VALUE!</v>
          </cell>
          <cell r="CD20" t="e">
            <v>#VALUE!</v>
          </cell>
          <cell r="CE20" t="e">
            <v>#VALUE!</v>
          </cell>
          <cell r="CF20" t="e">
            <v>#VALUE!</v>
          </cell>
          <cell r="CG20" t="e">
            <v>#VALUE!</v>
          </cell>
          <cell r="CH20" t="e">
            <v>#VALUE!</v>
          </cell>
          <cell r="CI20" t="e">
            <v>#VALUE!</v>
          </cell>
          <cell r="CJ20" t="e">
            <v>#VALUE!</v>
          </cell>
          <cell r="CK20" t="e">
            <v>#VALUE!</v>
          </cell>
          <cell r="CL20" t="e">
            <v>#VALUE!</v>
          </cell>
          <cell r="CM20" t="e">
            <v>#VALUE!</v>
          </cell>
          <cell r="CN20" t="e">
            <v>#VALUE!</v>
          </cell>
          <cell r="CO20" t="e">
            <v>#VALUE!</v>
          </cell>
          <cell r="CP20" t="e">
            <v>#VALUE!</v>
          </cell>
          <cell r="CQ20" t="e">
            <v>#VALUE!</v>
          </cell>
          <cell r="CR20" t="e">
            <v>#VALUE!</v>
          </cell>
          <cell r="CS20" t="e">
            <v>#VALUE!</v>
          </cell>
          <cell r="CT20" t="e">
            <v>#VALUE!</v>
          </cell>
          <cell r="CU20" t="e">
            <v>#VALUE!</v>
          </cell>
          <cell r="CV20" t="e">
            <v>#VALUE!</v>
          </cell>
          <cell r="CW20" t="e">
            <v>#VALUE!</v>
          </cell>
          <cell r="CX20" t="e">
            <v>#VALUE!</v>
          </cell>
          <cell r="CY20" t="e">
            <v>#VALUE!</v>
          </cell>
          <cell r="CZ20" t="e">
            <v>#VALUE!</v>
          </cell>
          <cell r="DA20" t="e">
            <v>#VALUE!</v>
          </cell>
          <cell r="DB20" t="e">
            <v>#VALUE!</v>
          </cell>
          <cell r="DC20" t="e">
            <v>#VALUE!</v>
          </cell>
          <cell r="DD20" t="e">
            <v>#VALUE!</v>
          </cell>
          <cell r="DE20" t="e">
            <v>#VALUE!</v>
          </cell>
          <cell r="DF20" t="e">
            <v>#VALUE!</v>
          </cell>
          <cell r="DG20" t="e">
            <v>#VALUE!</v>
          </cell>
          <cell r="DH20" t="e">
            <v>#VALUE!</v>
          </cell>
          <cell r="DI20" t="e">
            <v>#VALUE!</v>
          </cell>
          <cell r="DJ20" t="e">
            <v>#VALUE!</v>
          </cell>
          <cell r="DK20" t="e">
            <v>#VALUE!</v>
          </cell>
          <cell r="DL20" t="e">
            <v>#VALUE!</v>
          </cell>
          <cell r="DM20" t="e">
            <v>#VALUE!</v>
          </cell>
        </row>
        <row r="21">
          <cell r="C21" t="str">
            <v>F2.3-4.B</v>
          </cell>
          <cell r="D21" t="str">
            <v>Dachverkleidung</v>
          </cell>
          <cell r="F21" t="str">
            <v>E4.B*E4Bw/100</v>
          </cell>
          <cell r="G21">
            <v>0</v>
          </cell>
          <cell r="H21">
            <v>0</v>
          </cell>
          <cell r="J21" t="str">
            <v>€/Jahr</v>
          </cell>
          <cell r="K21" t="str">
            <v>1</v>
          </cell>
          <cell r="L21" t="str">
            <v>PTECHNIK</v>
          </cell>
          <cell r="M21">
            <v>2</v>
          </cell>
          <cell r="N21">
            <v>1.0049261083743843</v>
          </cell>
          <cell r="O21">
            <v>0</v>
          </cell>
          <cell r="P21" t="str">
            <v>€</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t="e">
            <v>#VALUE!</v>
          </cell>
          <cell r="BC21" t="e">
            <v>#VALUE!</v>
          </cell>
          <cell r="BD21" t="e">
            <v>#VALUE!</v>
          </cell>
          <cell r="BE21" t="e">
            <v>#VALUE!</v>
          </cell>
          <cell r="BF21" t="e">
            <v>#VALUE!</v>
          </cell>
          <cell r="BG21" t="e">
            <v>#VALUE!</v>
          </cell>
          <cell r="BH21" t="e">
            <v>#VALUE!</v>
          </cell>
          <cell r="BI21" t="e">
            <v>#VALUE!</v>
          </cell>
          <cell r="BJ21" t="e">
            <v>#VALUE!</v>
          </cell>
          <cell r="BK21" t="e">
            <v>#VALUE!</v>
          </cell>
          <cell r="BL21" t="e">
            <v>#VALUE!</v>
          </cell>
          <cell r="BM21" t="e">
            <v>#VALUE!</v>
          </cell>
          <cell r="BN21" t="e">
            <v>#VALUE!</v>
          </cell>
          <cell r="BO21" t="e">
            <v>#VALUE!</v>
          </cell>
          <cell r="BP21" t="e">
            <v>#VALUE!</v>
          </cell>
          <cell r="BQ21" t="e">
            <v>#VALUE!</v>
          </cell>
          <cell r="BR21" t="e">
            <v>#VALUE!</v>
          </cell>
          <cell r="BS21" t="e">
            <v>#VALUE!</v>
          </cell>
          <cell r="BT21" t="e">
            <v>#VALUE!</v>
          </cell>
          <cell r="BU21" t="e">
            <v>#VALUE!</v>
          </cell>
          <cell r="BV21" t="e">
            <v>#VALUE!</v>
          </cell>
          <cell r="BW21" t="e">
            <v>#VALUE!</v>
          </cell>
          <cell r="BX21" t="e">
            <v>#VALUE!</v>
          </cell>
          <cell r="BY21" t="e">
            <v>#VALUE!</v>
          </cell>
          <cell r="BZ21" t="e">
            <v>#VALUE!</v>
          </cell>
          <cell r="CA21" t="e">
            <v>#VALUE!</v>
          </cell>
          <cell r="CB21" t="e">
            <v>#VALUE!</v>
          </cell>
          <cell r="CC21" t="e">
            <v>#VALUE!</v>
          </cell>
          <cell r="CD21" t="e">
            <v>#VALUE!</v>
          </cell>
          <cell r="CE21" t="e">
            <v>#VALUE!</v>
          </cell>
          <cell r="CF21" t="e">
            <v>#VALUE!</v>
          </cell>
          <cell r="CG21" t="e">
            <v>#VALUE!</v>
          </cell>
          <cell r="CH21" t="e">
            <v>#VALUE!</v>
          </cell>
          <cell r="CI21" t="e">
            <v>#VALUE!</v>
          </cell>
          <cell r="CJ21" t="e">
            <v>#VALUE!</v>
          </cell>
          <cell r="CK21" t="e">
            <v>#VALUE!</v>
          </cell>
          <cell r="CL21" t="e">
            <v>#VALUE!</v>
          </cell>
          <cell r="CM21" t="e">
            <v>#VALUE!</v>
          </cell>
          <cell r="CN21" t="e">
            <v>#VALUE!</v>
          </cell>
          <cell r="CO21" t="e">
            <v>#VALUE!</v>
          </cell>
          <cell r="CP21" t="e">
            <v>#VALUE!</v>
          </cell>
          <cell r="CQ21" t="e">
            <v>#VALUE!</v>
          </cell>
          <cell r="CR21" t="e">
            <v>#VALUE!</v>
          </cell>
          <cell r="CS21" t="e">
            <v>#VALUE!</v>
          </cell>
          <cell r="CT21" t="e">
            <v>#VALUE!</v>
          </cell>
          <cell r="CU21" t="e">
            <v>#VALUE!</v>
          </cell>
          <cell r="CV21" t="e">
            <v>#VALUE!</v>
          </cell>
          <cell r="CW21" t="e">
            <v>#VALUE!</v>
          </cell>
          <cell r="CX21" t="e">
            <v>#VALUE!</v>
          </cell>
          <cell r="CY21" t="e">
            <v>#VALUE!</v>
          </cell>
          <cell r="CZ21" t="e">
            <v>#VALUE!</v>
          </cell>
          <cell r="DA21" t="e">
            <v>#VALUE!</v>
          </cell>
          <cell r="DB21" t="e">
            <v>#VALUE!</v>
          </cell>
          <cell r="DC21" t="e">
            <v>#VALUE!</v>
          </cell>
          <cell r="DD21" t="e">
            <v>#VALUE!</v>
          </cell>
          <cell r="DE21" t="e">
            <v>#VALUE!</v>
          </cell>
          <cell r="DF21" t="e">
            <v>#VALUE!</v>
          </cell>
          <cell r="DG21" t="e">
            <v>#VALUE!</v>
          </cell>
          <cell r="DH21" t="e">
            <v>#VALUE!</v>
          </cell>
          <cell r="DI21" t="e">
            <v>#VALUE!</v>
          </cell>
          <cell r="DJ21" t="e">
            <v>#VALUE!</v>
          </cell>
          <cell r="DK21" t="e">
            <v>#VALUE!</v>
          </cell>
          <cell r="DL21" t="e">
            <v>#VALUE!</v>
          </cell>
          <cell r="DM21" t="e">
            <v>#VALUE!</v>
          </cell>
        </row>
        <row r="22">
          <cell r="C22" t="str">
            <v>F2.3-4.C</v>
          </cell>
          <cell r="D22" t="str">
            <v>Fassadenhülle</v>
          </cell>
          <cell r="F22" t="str">
            <v>E4.C*E4Cw/100</v>
          </cell>
          <cell r="G22">
            <v>0</v>
          </cell>
          <cell r="H22">
            <v>0</v>
          </cell>
          <cell r="J22" t="str">
            <v>€/Jahr</v>
          </cell>
          <cell r="K22" t="str">
            <v>1</v>
          </cell>
          <cell r="L22" t="str">
            <v>PTECHNIK</v>
          </cell>
          <cell r="M22">
            <v>2</v>
          </cell>
          <cell r="N22">
            <v>1.0049261083743843</v>
          </cell>
          <cell r="O22">
            <v>0</v>
          </cell>
          <cell r="P22" t="str">
            <v>€</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t="e">
            <v>#VALUE!</v>
          </cell>
          <cell r="BC22" t="e">
            <v>#VALUE!</v>
          </cell>
          <cell r="BD22" t="e">
            <v>#VALUE!</v>
          </cell>
          <cell r="BE22" t="e">
            <v>#VALUE!</v>
          </cell>
          <cell r="BF22" t="e">
            <v>#VALUE!</v>
          </cell>
          <cell r="BG22" t="e">
            <v>#VALUE!</v>
          </cell>
          <cell r="BH22" t="e">
            <v>#VALUE!</v>
          </cell>
          <cell r="BI22" t="e">
            <v>#VALUE!</v>
          </cell>
          <cell r="BJ22" t="e">
            <v>#VALUE!</v>
          </cell>
          <cell r="BK22" t="e">
            <v>#VALUE!</v>
          </cell>
          <cell r="BL22" t="e">
            <v>#VALUE!</v>
          </cell>
          <cell r="BM22" t="e">
            <v>#VALUE!</v>
          </cell>
          <cell r="BN22" t="e">
            <v>#VALUE!</v>
          </cell>
          <cell r="BO22" t="e">
            <v>#VALUE!</v>
          </cell>
          <cell r="BP22" t="e">
            <v>#VALUE!</v>
          </cell>
          <cell r="BQ22" t="e">
            <v>#VALUE!</v>
          </cell>
          <cell r="BR22" t="e">
            <v>#VALUE!</v>
          </cell>
          <cell r="BS22" t="e">
            <v>#VALUE!</v>
          </cell>
          <cell r="BT22" t="e">
            <v>#VALUE!</v>
          </cell>
          <cell r="BU22" t="e">
            <v>#VALUE!</v>
          </cell>
          <cell r="BV22" t="e">
            <v>#VALUE!</v>
          </cell>
          <cell r="BW22" t="e">
            <v>#VALUE!</v>
          </cell>
          <cell r="BX22" t="e">
            <v>#VALUE!</v>
          </cell>
          <cell r="BY22" t="e">
            <v>#VALUE!</v>
          </cell>
          <cell r="BZ22" t="e">
            <v>#VALUE!</v>
          </cell>
          <cell r="CA22" t="e">
            <v>#VALUE!</v>
          </cell>
          <cell r="CB22" t="e">
            <v>#VALUE!</v>
          </cell>
          <cell r="CC22" t="e">
            <v>#VALUE!</v>
          </cell>
          <cell r="CD22" t="e">
            <v>#VALUE!</v>
          </cell>
          <cell r="CE22" t="e">
            <v>#VALUE!</v>
          </cell>
          <cell r="CF22" t="e">
            <v>#VALUE!</v>
          </cell>
          <cell r="CG22" t="e">
            <v>#VALUE!</v>
          </cell>
          <cell r="CH22" t="e">
            <v>#VALUE!</v>
          </cell>
          <cell r="CI22" t="e">
            <v>#VALUE!</v>
          </cell>
          <cell r="CJ22" t="e">
            <v>#VALUE!</v>
          </cell>
          <cell r="CK22" t="e">
            <v>#VALUE!</v>
          </cell>
          <cell r="CL22" t="e">
            <v>#VALUE!</v>
          </cell>
          <cell r="CM22" t="e">
            <v>#VALUE!</v>
          </cell>
          <cell r="CN22" t="e">
            <v>#VALUE!</v>
          </cell>
          <cell r="CO22" t="e">
            <v>#VALUE!</v>
          </cell>
          <cell r="CP22" t="e">
            <v>#VALUE!</v>
          </cell>
          <cell r="CQ22" t="e">
            <v>#VALUE!</v>
          </cell>
          <cell r="CR22" t="e">
            <v>#VALUE!</v>
          </cell>
          <cell r="CS22" t="e">
            <v>#VALUE!</v>
          </cell>
          <cell r="CT22" t="e">
            <v>#VALUE!</v>
          </cell>
          <cell r="CU22" t="e">
            <v>#VALUE!</v>
          </cell>
          <cell r="CV22" t="e">
            <v>#VALUE!</v>
          </cell>
          <cell r="CW22" t="e">
            <v>#VALUE!</v>
          </cell>
          <cell r="CX22" t="e">
            <v>#VALUE!</v>
          </cell>
          <cell r="CY22" t="e">
            <v>#VALUE!</v>
          </cell>
          <cell r="CZ22" t="e">
            <v>#VALUE!</v>
          </cell>
          <cell r="DA22" t="e">
            <v>#VALUE!</v>
          </cell>
          <cell r="DB22" t="e">
            <v>#VALUE!</v>
          </cell>
          <cell r="DC22" t="e">
            <v>#VALUE!</v>
          </cell>
          <cell r="DD22" t="e">
            <v>#VALUE!</v>
          </cell>
          <cell r="DE22" t="e">
            <v>#VALUE!</v>
          </cell>
          <cell r="DF22" t="e">
            <v>#VALUE!</v>
          </cell>
          <cell r="DG22" t="e">
            <v>#VALUE!</v>
          </cell>
          <cell r="DH22" t="e">
            <v>#VALUE!</v>
          </cell>
          <cell r="DI22" t="e">
            <v>#VALUE!</v>
          </cell>
          <cell r="DJ22" t="e">
            <v>#VALUE!</v>
          </cell>
          <cell r="DK22" t="e">
            <v>#VALUE!</v>
          </cell>
          <cell r="DL22" t="e">
            <v>#VALUE!</v>
          </cell>
          <cell r="DM22" t="e">
            <v>#VALUE!</v>
          </cell>
        </row>
        <row r="23">
          <cell r="C23" t="str">
            <v>F2.3-4.D</v>
          </cell>
          <cell r="D23" t="str">
            <v>Innenausbau</v>
          </cell>
          <cell r="F23" t="str">
            <v>E4.D*E4Dw/100</v>
          </cell>
          <cell r="G23">
            <v>0</v>
          </cell>
          <cell r="H23">
            <v>0</v>
          </cell>
          <cell r="J23" t="str">
            <v>€/Jahr</v>
          </cell>
          <cell r="K23" t="str">
            <v>1</v>
          </cell>
          <cell r="L23" t="str">
            <v>PTECHNIK</v>
          </cell>
          <cell r="M23">
            <v>2</v>
          </cell>
          <cell r="N23">
            <v>1.0049261083743843</v>
          </cell>
          <cell r="O23">
            <v>0</v>
          </cell>
          <cell r="P23" t="str">
            <v>€</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t="e">
            <v>#VALUE!</v>
          </cell>
          <cell r="BC23" t="e">
            <v>#VALUE!</v>
          </cell>
          <cell r="BD23" t="e">
            <v>#VALUE!</v>
          </cell>
          <cell r="BE23" t="e">
            <v>#VALUE!</v>
          </cell>
          <cell r="BF23" t="e">
            <v>#VALUE!</v>
          </cell>
          <cell r="BG23" t="e">
            <v>#VALUE!</v>
          </cell>
          <cell r="BH23" t="e">
            <v>#VALUE!</v>
          </cell>
          <cell r="BI23" t="e">
            <v>#VALUE!</v>
          </cell>
          <cell r="BJ23" t="e">
            <v>#VALUE!</v>
          </cell>
          <cell r="BK23" t="e">
            <v>#VALUE!</v>
          </cell>
          <cell r="BL23" t="e">
            <v>#VALUE!</v>
          </cell>
          <cell r="BM23" t="e">
            <v>#VALUE!</v>
          </cell>
          <cell r="BN23" t="e">
            <v>#VALUE!</v>
          </cell>
          <cell r="BO23" t="e">
            <v>#VALUE!</v>
          </cell>
          <cell r="BP23" t="e">
            <v>#VALUE!</v>
          </cell>
          <cell r="BQ23" t="e">
            <v>#VALUE!</v>
          </cell>
          <cell r="BR23" t="e">
            <v>#VALUE!</v>
          </cell>
          <cell r="BS23" t="e">
            <v>#VALUE!</v>
          </cell>
          <cell r="BT23" t="e">
            <v>#VALUE!</v>
          </cell>
          <cell r="BU23" t="e">
            <v>#VALUE!</v>
          </cell>
          <cell r="BV23" t="e">
            <v>#VALUE!</v>
          </cell>
          <cell r="BW23" t="e">
            <v>#VALUE!</v>
          </cell>
          <cell r="BX23" t="e">
            <v>#VALUE!</v>
          </cell>
          <cell r="BY23" t="e">
            <v>#VALUE!</v>
          </cell>
          <cell r="BZ23" t="e">
            <v>#VALUE!</v>
          </cell>
          <cell r="CA23" t="e">
            <v>#VALUE!</v>
          </cell>
          <cell r="CB23" t="e">
            <v>#VALUE!</v>
          </cell>
          <cell r="CC23" t="e">
            <v>#VALUE!</v>
          </cell>
          <cell r="CD23" t="e">
            <v>#VALUE!</v>
          </cell>
          <cell r="CE23" t="e">
            <v>#VALUE!</v>
          </cell>
          <cell r="CF23" t="e">
            <v>#VALUE!</v>
          </cell>
          <cell r="CG23" t="e">
            <v>#VALUE!</v>
          </cell>
          <cell r="CH23" t="e">
            <v>#VALUE!</v>
          </cell>
          <cell r="CI23" t="e">
            <v>#VALUE!</v>
          </cell>
          <cell r="CJ23" t="e">
            <v>#VALUE!</v>
          </cell>
          <cell r="CK23" t="e">
            <v>#VALUE!</v>
          </cell>
          <cell r="CL23" t="e">
            <v>#VALUE!</v>
          </cell>
          <cell r="CM23" t="e">
            <v>#VALUE!</v>
          </cell>
          <cell r="CN23" t="e">
            <v>#VALUE!</v>
          </cell>
          <cell r="CO23" t="e">
            <v>#VALUE!</v>
          </cell>
          <cell r="CP23" t="e">
            <v>#VALUE!</v>
          </cell>
          <cell r="CQ23" t="e">
            <v>#VALUE!</v>
          </cell>
          <cell r="CR23" t="e">
            <v>#VALUE!</v>
          </cell>
          <cell r="CS23" t="e">
            <v>#VALUE!</v>
          </cell>
          <cell r="CT23" t="e">
            <v>#VALUE!</v>
          </cell>
          <cell r="CU23" t="e">
            <v>#VALUE!</v>
          </cell>
          <cell r="CV23" t="e">
            <v>#VALUE!</v>
          </cell>
          <cell r="CW23" t="e">
            <v>#VALUE!</v>
          </cell>
          <cell r="CX23" t="e">
            <v>#VALUE!</v>
          </cell>
          <cell r="CY23" t="e">
            <v>#VALUE!</v>
          </cell>
          <cell r="CZ23" t="e">
            <v>#VALUE!</v>
          </cell>
          <cell r="DA23" t="e">
            <v>#VALUE!</v>
          </cell>
          <cell r="DB23" t="e">
            <v>#VALUE!</v>
          </cell>
          <cell r="DC23" t="e">
            <v>#VALUE!</v>
          </cell>
          <cell r="DD23" t="e">
            <v>#VALUE!</v>
          </cell>
          <cell r="DE23" t="e">
            <v>#VALUE!</v>
          </cell>
          <cell r="DF23" t="e">
            <v>#VALUE!</v>
          </cell>
          <cell r="DG23" t="e">
            <v>#VALUE!</v>
          </cell>
          <cell r="DH23" t="e">
            <v>#VALUE!</v>
          </cell>
          <cell r="DI23" t="e">
            <v>#VALUE!</v>
          </cell>
          <cell r="DJ23" t="e">
            <v>#VALUE!</v>
          </cell>
          <cell r="DK23" t="e">
            <v>#VALUE!</v>
          </cell>
          <cell r="DL23" t="e">
            <v>#VALUE!</v>
          </cell>
          <cell r="DM23" t="e">
            <v>#VALUE!</v>
          </cell>
        </row>
        <row r="24">
          <cell r="C24" t="str">
            <v>F2.3-5.B</v>
          </cell>
          <cell r="D24" t="str">
            <v>Betriebseinrichtungen</v>
          </cell>
          <cell r="F24" t="str">
            <v>E5.B*E5Bw/100</v>
          </cell>
          <cell r="G24">
            <v>0</v>
          </cell>
          <cell r="H24">
            <v>0</v>
          </cell>
          <cell r="J24" t="str">
            <v>€/Jahr</v>
          </cell>
          <cell r="K24" t="str">
            <v>1</v>
          </cell>
          <cell r="L24" t="str">
            <v>PTECHNIK</v>
          </cell>
          <cell r="M24">
            <v>2</v>
          </cell>
          <cell r="N24">
            <v>1.0049261083743843</v>
          </cell>
          <cell r="O24">
            <v>0</v>
          </cell>
          <cell r="P24" t="str">
            <v>€</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t="e">
            <v>#VALUE!</v>
          </cell>
          <cell r="BC24" t="e">
            <v>#VALUE!</v>
          </cell>
          <cell r="BD24" t="e">
            <v>#VALUE!</v>
          </cell>
          <cell r="BE24" t="e">
            <v>#VALUE!</v>
          </cell>
          <cell r="BF24" t="e">
            <v>#VALUE!</v>
          </cell>
          <cell r="BG24" t="e">
            <v>#VALUE!</v>
          </cell>
          <cell r="BH24" t="e">
            <v>#VALUE!</v>
          </cell>
          <cell r="BI24" t="e">
            <v>#VALUE!</v>
          </cell>
          <cell r="BJ24" t="e">
            <v>#VALUE!</v>
          </cell>
          <cell r="BK24" t="e">
            <v>#VALUE!</v>
          </cell>
          <cell r="BL24" t="e">
            <v>#VALUE!</v>
          </cell>
          <cell r="BM24" t="e">
            <v>#VALUE!</v>
          </cell>
          <cell r="BN24" t="e">
            <v>#VALUE!</v>
          </cell>
          <cell r="BO24" t="e">
            <v>#VALUE!</v>
          </cell>
          <cell r="BP24" t="e">
            <v>#VALUE!</v>
          </cell>
          <cell r="BQ24" t="e">
            <v>#VALUE!</v>
          </cell>
          <cell r="BR24" t="e">
            <v>#VALUE!</v>
          </cell>
          <cell r="BS24" t="e">
            <v>#VALUE!</v>
          </cell>
          <cell r="BT24" t="e">
            <v>#VALUE!</v>
          </cell>
          <cell r="BU24" t="e">
            <v>#VALUE!</v>
          </cell>
          <cell r="BV24" t="e">
            <v>#VALUE!</v>
          </cell>
          <cell r="BW24" t="e">
            <v>#VALUE!</v>
          </cell>
          <cell r="BX24" t="e">
            <v>#VALUE!</v>
          </cell>
          <cell r="BY24" t="e">
            <v>#VALUE!</v>
          </cell>
          <cell r="BZ24" t="e">
            <v>#VALUE!</v>
          </cell>
          <cell r="CA24" t="e">
            <v>#VALUE!</v>
          </cell>
          <cell r="CB24" t="e">
            <v>#VALUE!</v>
          </cell>
          <cell r="CC24" t="e">
            <v>#VALUE!</v>
          </cell>
          <cell r="CD24" t="e">
            <v>#VALUE!</v>
          </cell>
          <cell r="CE24" t="e">
            <v>#VALUE!</v>
          </cell>
          <cell r="CF24" t="e">
            <v>#VALUE!</v>
          </cell>
          <cell r="CG24" t="e">
            <v>#VALUE!</v>
          </cell>
          <cell r="CH24" t="e">
            <v>#VALUE!</v>
          </cell>
          <cell r="CI24" t="e">
            <v>#VALUE!</v>
          </cell>
          <cell r="CJ24" t="e">
            <v>#VALUE!</v>
          </cell>
          <cell r="CK24" t="e">
            <v>#VALUE!</v>
          </cell>
          <cell r="CL24" t="e">
            <v>#VALUE!</v>
          </cell>
          <cell r="CM24" t="e">
            <v>#VALUE!</v>
          </cell>
          <cell r="CN24" t="e">
            <v>#VALUE!</v>
          </cell>
          <cell r="CO24" t="e">
            <v>#VALUE!</v>
          </cell>
          <cell r="CP24" t="e">
            <v>#VALUE!</v>
          </cell>
          <cell r="CQ24" t="e">
            <v>#VALUE!</v>
          </cell>
          <cell r="CR24" t="e">
            <v>#VALUE!</v>
          </cell>
          <cell r="CS24" t="e">
            <v>#VALUE!</v>
          </cell>
          <cell r="CT24" t="e">
            <v>#VALUE!</v>
          </cell>
          <cell r="CU24" t="e">
            <v>#VALUE!</v>
          </cell>
          <cell r="CV24" t="e">
            <v>#VALUE!</v>
          </cell>
          <cell r="CW24" t="e">
            <v>#VALUE!</v>
          </cell>
          <cell r="CX24" t="e">
            <v>#VALUE!</v>
          </cell>
          <cell r="CY24" t="e">
            <v>#VALUE!</v>
          </cell>
          <cell r="CZ24" t="e">
            <v>#VALUE!</v>
          </cell>
          <cell r="DA24" t="e">
            <v>#VALUE!</v>
          </cell>
          <cell r="DB24" t="e">
            <v>#VALUE!</v>
          </cell>
          <cell r="DC24" t="e">
            <v>#VALUE!</v>
          </cell>
          <cell r="DD24" t="e">
            <v>#VALUE!</v>
          </cell>
          <cell r="DE24" t="e">
            <v>#VALUE!</v>
          </cell>
          <cell r="DF24" t="e">
            <v>#VALUE!</v>
          </cell>
          <cell r="DG24" t="e">
            <v>#VALUE!</v>
          </cell>
          <cell r="DH24" t="e">
            <v>#VALUE!</v>
          </cell>
          <cell r="DI24" t="e">
            <v>#VALUE!</v>
          </cell>
          <cell r="DJ24" t="e">
            <v>#VALUE!</v>
          </cell>
          <cell r="DK24" t="e">
            <v>#VALUE!</v>
          </cell>
          <cell r="DL24" t="e">
            <v>#VALUE!</v>
          </cell>
          <cell r="DM24" t="e">
            <v>#VALUE!</v>
          </cell>
        </row>
        <row r="25">
          <cell r="C25" t="str">
            <v>F2.3-5.C</v>
          </cell>
          <cell r="D25" t="str">
            <v>Ausstattungen, Kunstwerke</v>
          </cell>
          <cell r="F25" t="str">
            <v>E5.C*E5Cw/100</v>
          </cell>
          <cell r="G25">
            <v>0</v>
          </cell>
          <cell r="H25">
            <v>0</v>
          </cell>
          <cell r="J25" t="str">
            <v>€/Jahr</v>
          </cell>
          <cell r="K25" t="str">
            <v>1</v>
          </cell>
          <cell r="L25" t="str">
            <v>PTECHNIK</v>
          </cell>
          <cell r="M25">
            <v>2</v>
          </cell>
          <cell r="N25">
            <v>1.0049261083743843</v>
          </cell>
          <cell r="O25">
            <v>0</v>
          </cell>
          <cell r="P25" t="str">
            <v>€</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t="e">
            <v>#VALUE!</v>
          </cell>
          <cell r="BC25" t="e">
            <v>#VALUE!</v>
          </cell>
          <cell r="BD25" t="e">
            <v>#VALUE!</v>
          </cell>
          <cell r="BE25" t="e">
            <v>#VALUE!</v>
          </cell>
          <cell r="BF25" t="e">
            <v>#VALUE!</v>
          </cell>
          <cell r="BG25" t="e">
            <v>#VALUE!</v>
          </cell>
          <cell r="BH25" t="e">
            <v>#VALUE!</v>
          </cell>
          <cell r="BI25" t="e">
            <v>#VALUE!</v>
          </cell>
          <cell r="BJ25" t="e">
            <v>#VALUE!</v>
          </cell>
          <cell r="BK25" t="e">
            <v>#VALUE!</v>
          </cell>
          <cell r="BL25" t="e">
            <v>#VALUE!</v>
          </cell>
          <cell r="BM25" t="e">
            <v>#VALUE!</v>
          </cell>
          <cell r="BN25" t="e">
            <v>#VALUE!</v>
          </cell>
          <cell r="BO25" t="e">
            <v>#VALUE!</v>
          </cell>
          <cell r="BP25" t="e">
            <v>#VALUE!</v>
          </cell>
          <cell r="BQ25" t="e">
            <v>#VALUE!</v>
          </cell>
          <cell r="BR25" t="e">
            <v>#VALUE!</v>
          </cell>
          <cell r="BS25" t="e">
            <v>#VALUE!</v>
          </cell>
          <cell r="BT25" t="e">
            <v>#VALUE!</v>
          </cell>
          <cell r="BU25" t="e">
            <v>#VALUE!</v>
          </cell>
          <cell r="BV25" t="e">
            <v>#VALUE!</v>
          </cell>
          <cell r="BW25" t="e">
            <v>#VALUE!</v>
          </cell>
          <cell r="BX25" t="e">
            <v>#VALUE!</v>
          </cell>
          <cell r="BY25" t="e">
            <v>#VALUE!</v>
          </cell>
          <cell r="BZ25" t="e">
            <v>#VALUE!</v>
          </cell>
          <cell r="CA25" t="e">
            <v>#VALUE!</v>
          </cell>
          <cell r="CB25" t="e">
            <v>#VALUE!</v>
          </cell>
          <cell r="CC25" t="e">
            <v>#VALUE!</v>
          </cell>
          <cell r="CD25" t="e">
            <v>#VALUE!</v>
          </cell>
          <cell r="CE25" t="e">
            <v>#VALUE!</v>
          </cell>
          <cell r="CF25" t="e">
            <v>#VALUE!</v>
          </cell>
          <cell r="CG25" t="e">
            <v>#VALUE!</v>
          </cell>
          <cell r="CH25" t="e">
            <v>#VALUE!</v>
          </cell>
          <cell r="CI25" t="e">
            <v>#VALUE!</v>
          </cell>
          <cell r="CJ25" t="e">
            <v>#VALUE!</v>
          </cell>
          <cell r="CK25" t="e">
            <v>#VALUE!</v>
          </cell>
          <cell r="CL25" t="e">
            <v>#VALUE!</v>
          </cell>
          <cell r="CM25" t="e">
            <v>#VALUE!</v>
          </cell>
          <cell r="CN25" t="e">
            <v>#VALUE!</v>
          </cell>
          <cell r="CO25" t="e">
            <v>#VALUE!</v>
          </cell>
          <cell r="CP25" t="e">
            <v>#VALUE!</v>
          </cell>
          <cell r="CQ25" t="e">
            <v>#VALUE!</v>
          </cell>
          <cell r="CR25" t="e">
            <v>#VALUE!</v>
          </cell>
          <cell r="CS25" t="e">
            <v>#VALUE!</v>
          </cell>
          <cell r="CT25" t="e">
            <v>#VALUE!</v>
          </cell>
          <cell r="CU25" t="e">
            <v>#VALUE!</v>
          </cell>
          <cell r="CV25" t="e">
            <v>#VALUE!</v>
          </cell>
          <cell r="CW25" t="e">
            <v>#VALUE!</v>
          </cell>
          <cell r="CX25" t="e">
            <v>#VALUE!</v>
          </cell>
          <cell r="CY25" t="e">
            <v>#VALUE!</v>
          </cell>
          <cell r="CZ25" t="e">
            <v>#VALUE!</v>
          </cell>
          <cell r="DA25" t="e">
            <v>#VALUE!</v>
          </cell>
          <cell r="DB25" t="e">
            <v>#VALUE!</v>
          </cell>
          <cell r="DC25" t="e">
            <v>#VALUE!</v>
          </cell>
          <cell r="DD25" t="e">
            <v>#VALUE!</v>
          </cell>
          <cell r="DE25" t="e">
            <v>#VALUE!</v>
          </cell>
          <cell r="DF25" t="e">
            <v>#VALUE!</v>
          </cell>
          <cell r="DG25" t="e">
            <v>#VALUE!</v>
          </cell>
          <cell r="DH25" t="e">
            <v>#VALUE!</v>
          </cell>
          <cell r="DI25" t="e">
            <v>#VALUE!</v>
          </cell>
          <cell r="DJ25" t="e">
            <v>#VALUE!</v>
          </cell>
          <cell r="DK25" t="e">
            <v>#VALUE!</v>
          </cell>
          <cell r="DL25" t="e">
            <v>#VALUE!</v>
          </cell>
          <cell r="DM25" t="e">
            <v>#VALUE!</v>
          </cell>
        </row>
        <row r="26">
          <cell r="C26" t="str">
            <v>F2.3-6.C</v>
          </cell>
          <cell r="D26" t="str">
            <v>Befestigte Flächen</v>
          </cell>
          <cell r="F26" t="str">
            <v>E6.C*E6Cw/100</v>
          </cell>
          <cell r="G26">
            <v>0</v>
          </cell>
          <cell r="H26">
            <v>0</v>
          </cell>
          <cell r="J26" t="str">
            <v>€/Jahr</v>
          </cell>
          <cell r="K26" t="str">
            <v>1</v>
          </cell>
          <cell r="L26" t="str">
            <v>PTECHNIK</v>
          </cell>
          <cell r="M26">
            <v>2</v>
          </cell>
          <cell r="N26">
            <v>1.0049261083743843</v>
          </cell>
          <cell r="O26">
            <v>0</v>
          </cell>
          <cell r="P26" t="str">
            <v>€</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t="e">
            <v>#VALUE!</v>
          </cell>
          <cell r="BC26" t="e">
            <v>#VALUE!</v>
          </cell>
          <cell r="BD26" t="e">
            <v>#VALUE!</v>
          </cell>
          <cell r="BE26" t="e">
            <v>#VALUE!</v>
          </cell>
          <cell r="BF26" t="e">
            <v>#VALUE!</v>
          </cell>
          <cell r="BG26" t="e">
            <v>#VALUE!</v>
          </cell>
          <cell r="BH26" t="e">
            <v>#VALUE!</v>
          </cell>
          <cell r="BI26" t="e">
            <v>#VALUE!</v>
          </cell>
          <cell r="BJ26" t="e">
            <v>#VALUE!</v>
          </cell>
          <cell r="BK26" t="e">
            <v>#VALUE!</v>
          </cell>
          <cell r="BL26" t="e">
            <v>#VALUE!</v>
          </cell>
          <cell r="BM26" t="e">
            <v>#VALUE!</v>
          </cell>
          <cell r="BN26" t="e">
            <v>#VALUE!</v>
          </cell>
          <cell r="BO26" t="e">
            <v>#VALUE!</v>
          </cell>
          <cell r="BP26" t="e">
            <v>#VALUE!</v>
          </cell>
          <cell r="BQ26" t="e">
            <v>#VALUE!</v>
          </cell>
          <cell r="BR26" t="e">
            <v>#VALUE!</v>
          </cell>
          <cell r="BS26" t="e">
            <v>#VALUE!</v>
          </cell>
          <cell r="BT26" t="e">
            <v>#VALUE!</v>
          </cell>
          <cell r="BU26" t="e">
            <v>#VALUE!</v>
          </cell>
          <cell r="BV26" t="e">
            <v>#VALUE!</v>
          </cell>
          <cell r="BW26" t="e">
            <v>#VALUE!</v>
          </cell>
          <cell r="BX26" t="e">
            <v>#VALUE!</v>
          </cell>
          <cell r="BY26" t="e">
            <v>#VALUE!</v>
          </cell>
          <cell r="BZ26" t="e">
            <v>#VALUE!</v>
          </cell>
          <cell r="CA26" t="e">
            <v>#VALUE!</v>
          </cell>
          <cell r="CB26" t="e">
            <v>#VALUE!</v>
          </cell>
          <cell r="CC26" t="e">
            <v>#VALUE!</v>
          </cell>
          <cell r="CD26" t="e">
            <v>#VALUE!</v>
          </cell>
          <cell r="CE26" t="e">
            <v>#VALUE!</v>
          </cell>
          <cell r="CF26" t="e">
            <v>#VALUE!</v>
          </cell>
          <cell r="CG26" t="e">
            <v>#VALUE!</v>
          </cell>
          <cell r="CH26" t="e">
            <v>#VALUE!</v>
          </cell>
          <cell r="CI26" t="e">
            <v>#VALUE!</v>
          </cell>
          <cell r="CJ26" t="e">
            <v>#VALUE!</v>
          </cell>
          <cell r="CK26" t="e">
            <v>#VALUE!</v>
          </cell>
          <cell r="CL26" t="e">
            <v>#VALUE!</v>
          </cell>
          <cell r="CM26" t="e">
            <v>#VALUE!</v>
          </cell>
          <cell r="CN26" t="e">
            <v>#VALUE!</v>
          </cell>
          <cell r="CO26" t="e">
            <v>#VALUE!</v>
          </cell>
          <cell r="CP26" t="e">
            <v>#VALUE!</v>
          </cell>
          <cell r="CQ26" t="e">
            <v>#VALUE!</v>
          </cell>
          <cell r="CR26" t="e">
            <v>#VALUE!</v>
          </cell>
          <cell r="CS26" t="e">
            <v>#VALUE!</v>
          </cell>
          <cell r="CT26" t="e">
            <v>#VALUE!</v>
          </cell>
          <cell r="CU26" t="e">
            <v>#VALUE!</v>
          </cell>
          <cell r="CV26" t="e">
            <v>#VALUE!</v>
          </cell>
          <cell r="CW26" t="e">
            <v>#VALUE!</v>
          </cell>
          <cell r="CX26" t="e">
            <v>#VALUE!</v>
          </cell>
          <cell r="CY26" t="e">
            <v>#VALUE!</v>
          </cell>
          <cell r="CZ26" t="e">
            <v>#VALUE!</v>
          </cell>
          <cell r="DA26" t="e">
            <v>#VALUE!</v>
          </cell>
          <cell r="DB26" t="e">
            <v>#VALUE!</v>
          </cell>
          <cell r="DC26" t="e">
            <v>#VALUE!</v>
          </cell>
          <cell r="DD26" t="e">
            <v>#VALUE!</v>
          </cell>
          <cell r="DE26" t="e">
            <v>#VALUE!</v>
          </cell>
          <cell r="DF26" t="e">
            <v>#VALUE!</v>
          </cell>
          <cell r="DG26" t="e">
            <v>#VALUE!</v>
          </cell>
          <cell r="DH26" t="e">
            <v>#VALUE!</v>
          </cell>
          <cell r="DI26" t="e">
            <v>#VALUE!</v>
          </cell>
          <cell r="DJ26" t="e">
            <v>#VALUE!</v>
          </cell>
          <cell r="DK26" t="e">
            <v>#VALUE!</v>
          </cell>
          <cell r="DL26" t="e">
            <v>#VALUE!</v>
          </cell>
          <cell r="DM26" t="e">
            <v>#VALUE!</v>
          </cell>
        </row>
        <row r="27">
          <cell r="C27" t="str">
            <v>F2.3-6.D</v>
          </cell>
          <cell r="D27" t="str">
            <v>Bauteile Außenanlagen</v>
          </cell>
          <cell r="F27" t="str">
            <v>E6.D*E6Dw/100</v>
          </cell>
          <cell r="G27">
            <v>0</v>
          </cell>
          <cell r="H27">
            <v>0</v>
          </cell>
          <cell r="J27" t="str">
            <v>€/Jahr</v>
          </cell>
          <cell r="K27" t="str">
            <v>1</v>
          </cell>
          <cell r="L27" t="str">
            <v>PTECHNIK</v>
          </cell>
          <cell r="M27">
            <v>2</v>
          </cell>
          <cell r="N27">
            <v>1.0049261083743843</v>
          </cell>
          <cell r="O27">
            <v>0</v>
          </cell>
          <cell r="P27" t="str">
            <v>€</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t="e">
            <v>#VALUE!</v>
          </cell>
          <cell r="BC27" t="e">
            <v>#VALUE!</v>
          </cell>
          <cell r="BD27" t="e">
            <v>#VALUE!</v>
          </cell>
          <cell r="BE27" t="e">
            <v>#VALUE!</v>
          </cell>
          <cell r="BF27" t="e">
            <v>#VALUE!</v>
          </cell>
          <cell r="BG27" t="e">
            <v>#VALUE!</v>
          </cell>
          <cell r="BH27" t="e">
            <v>#VALUE!</v>
          </cell>
          <cell r="BI27" t="e">
            <v>#VALUE!</v>
          </cell>
          <cell r="BJ27" t="e">
            <v>#VALUE!</v>
          </cell>
          <cell r="BK27" t="e">
            <v>#VALUE!</v>
          </cell>
          <cell r="BL27" t="e">
            <v>#VALUE!</v>
          </cell>
          <cell r="BM27" t="e">
            <v>#VALUE!</v>
          </cell>
          <cell r="BN27" t="e">
            <v>#VALUE!</v>
          </cell>
          <cell r="BO27" t="e">
            <v>#VALUE!</v>
          </cell>
          <cell r="BP27" t="e">
            <v>#VALUE!</v>
          </cell>
          <cell r="BQ27" t="e">
            <v>#VALUE!</v>
          </cell>
          <cell r="BR27" t="e">
            <v>#VALUE!</v>
          </cell>
          <cell r="BS27" t="e">
            <v>#VALUE!</v>
          </cell>
          <cell r="BT27" t="e">
            <v>#VALUE!</v>
          </cell>
          <cell r="BU27" t="e">
            <v>#VALUE!</v>
          </cell>
          <cell r="BV27" t="e">
            <v>#VALUE!</v>
          </cell>
          <cell r="BW27" t="e">
            <v>#VALUE!</v>
          </cell>
          <cell r="BX27" t="e">
            <v>#VALUE!</v>
          </cell>
          <cell r="BY27" t="e">
            <v>#VALUE!</v>
          </cell>
          <cell r="BZ27" t="e">
            <v>#VALUE!</v>
          </cell>
          <cell r="CA27" t="e">
            <v>#VALUE!</v>
          </cell>
          <cell r="CB27" t="e">
            <v>#VALUE!</v>
          </cell>
          <cell r="CC27" t="e">
            <v>#VALUE!</v>
          </cell>
          <cell r="CD27" t="e">
            <v>#VALUE!</v>
          </cell>
          <cell r="CE27" t="e">
            <v>#VALUE!</v>
          </cell>
          <cell r="CF27" t="e">
            <v>#VALUE!</v>
          </cell>
          <cell r="CG27" t="e">
            <v>#VALUE!</v>
          </cell>
          <cell r="CH27" t="e">
            <v>#VALUE!</v>
          </cell>
          <cell r="CI27" t="e">
            <v>#VALUE!</v>
          </cell>
          <cell r="CJ27" t="e">
            <v>#VALUE!</v>
          </cell>
          <cell r="CK27" t="e">
            <v>#VALUE!</v>
          </cell>
          <cell r="CL27" t="e">
            <v>#VALUE!</v>
          </cell>
          <cell r="CM27" t="e">
            <v>#VALUE!</v>
          </cell>
          <cell r="CN27" t="e">
            <v>#VALUE!</v>
          </cell>
          <cell r="CO27" t="e">
            <v>#VALUE!</v>
          </cell>
          <cell r="CP27" t="e">
            <v>#VALUE!</v>
          </cell>
          <cell r="CQ27" t="e">
            <v>#VALUE!</v>
          </cell>
          <cell r="CR27" t="e">
            <v>#VALUE!</v>
          </cell>
          <cell r="CS27" t="e">
            <v>#VALUE!</v>
          </cell>
          <cell r="CT27" t="e">
            <v>#VALUE!</v>
          </cell>
          <cell r="CU27" t="e">
            <v>#VALUE!</v>
          </cell>
          <cell r="CV27" t="e">
            <v>#VALUE!</v>
          </cell>
          <cell r="CW27" t="e">
            <v>#VALUE!</v>
          </cell>
          <cell r="CX27" t="e">
            <v>#VALUE!</v>
          </cell>
          <cell r="CY27" t="e">
            <v>#VALUE!</v>
          </cell>
          <cell r="CZ27" t="e">
            <v>#VALUE!</v>
          </cell>
          <cell r="DA27" t="e">
            <v>#VALUE!</v>
          </cell>
          <cell r="DB27" t="e">
            <v>#VALUE!</v>
          </cell>
          <cell r="DC27" t="e">
            <v>#VALUE!</v>
          </cell>
          <cell r="DD27" t="e">
            <v>#VALUE!</v>
          </cell>
          <cell r="DE27" t="e">
            <v>#VALUE!</v>
          </cell>
          <cell r="DF27" t="e">
            <v>#VALUE!</v>
          </cell>
          <cell r="DG27" t="e">
            <v>#VALUE!</v>
          </cell>
          <cell r="DH27" t="e">
            <v>#VALUE!</v>
          </cell>
          <cell r="DI27" t="e">
            <v>#VALUE!</v>
          </cell>
          <cell r="DJ27" t="e">
            <v>#VALUE!</v>
          </cell>
          <cell r="DK27" t="e">
            <v>#VALUE!</v>
          </cell>
          <cell r="DL27" t="e">
            <v>#VALUE!</v>
          </cell>
          <cell r="DM27" t="e">
            <v>#VALUE!</v>
          </cell>
        </row>
        <row r="28">
          <cell r="C28" t="str">
            <v>F2.4</v>
          </cell>
          <cell r="D28" t="str">
            <v>Kleine Instandsetzung, Reparaturen</v>
          </cell>
          <cell r="F28" t="str">
            <v>#SUM</v>
          </cell>
          <cell r="G28">
            <v>5105.24665</v>
          </cell>
          <cell r="J28" t="str">
            <v>€/Jahr</v>
          </cell>
          <cell r="O28">
            <v>201542.36336673255</v>
          </cell>
        </row>
        <row r="29">
          <cell r="C29" t="str">
            <v>F2.4-3.B</v>
          </cell>
          <cell r="D29" t="str">
            <v>Förderanlagen</v>
          </cell>
          <cell r="F29" t="str">
            <v>E3.B*E3Bi/100</v>
          </cell>
          <cell r="G29">
            <v>0</v>
          </cell>
          <cell r="H29">
            <v>0</v>
          </cell>
          <cell r="J29" t="str">
            <v>€/Jahr</v>
          </cell>
          <cell r="K29" t="str">
            <v>1</v>
          </cell>
          <cell r="L29" t="str">
            <v>PTECHNIK</v>
          </cell>
          <cell r="M29">
            <v>2</v>
          </cell>
          <cell r="N29">
            <v>1.0049261083743843</v>
          </cell>
          <cell r="O29">
            <v>0</v>
          </cell>
          <cell r="P29" t="str">
            <v>€</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t="e">
            <v>#VALUE!</v>
          </cell>
          <cell r="BC29" t="e">
            <v>#VALUE!</v>
          </cell>
          <cell r="BD29" t="e">
            <v>#VALUE!</v>
          </cell>
          <cell r="BE29" t="e">
            <v>#VALUE!</v>
          </cell>
          <cell r="BF29" t="e">
            <v>#VALUE!</v>
          </cell>
          <cell r="BG29" t="e">
            <v>#VALUE!</v>
          </cell>
          <cell r="BH29" t="e">
            <v>#VALUE!</v>
          </cell>
          <cell r="BI29" t="e">
            <v>#VALUE!</v>
          </cell>
          <cell r="BJ29" t="e">
            <v>#VALUE!</v>
          </cell>
          <cell r="BK29" t="e">
            <v>#VALUE!</v>
          </cell>
          <cell r="BL29" t="e">
            <v>#VALUE!</v>
          </cell>
          <cell r="BM29" t="e">
            <v>#VALUE!</v>
          </cell>
          <cell r="BN29" t="e">
            <v>#VALUE!</v>
          </cell>
          <cell r="BO29" t="e">
            <v>#VALUE!</v>
          </cell>
          <cell r="BP29" t="e">
            <v>#VALUE!</v>
          </cell>
          <cell r="BQ29" t="e">
            <v>#VALUE!</v>
          </cell>
          <cell r="BR29" t="e">
            <v>#VALUE!</v>
          </cell>
          <cell r="BS29" t="e">
            <v>#VALUE!</v>
          </cell>
          <cell r="BT29" t="e">
            <v>#VALUE!</v>
          </cell>
          <cell r="BU29" t="e">
            <v>#VALUE!</v>
          </cell>
          <cell r="BV29" t="e">
            <v>#VALUE!</v>
          </cell>
          <cell r="BW29" t="e">
            <v>#VALUE!</v>
          </cell>
          <cell r="BX29" t="e">
            <v>#VALUE!</v>
          </cell>
          <cell r="BY29" t="e">
            <v>#VALUE!</v>
          </cell>
          <cell r="BZ29" t="e">
            <v>#VALUE!</v>
          </cell>
          <cell r="CA29" t="e">
            <v>#VALUE!</v>
          </cell>
          <cell r="CB29" t="e">
            <v>#VALUE!</v>
          </cell>
          <cell r="CC29" t="e">
            <v>#VALUE!</v>
          </cell>
          <cell r="CD29" t="e">
            <v>#VALUE!</v>
          </cell>
          <cell r="CE29" t="e">
            <v>#VALUE!</v>
          </cell>
          <cell r="CF29" t="e">
            <v>#VALUE!</v>
          </cell>
          <cell r="CG29" t="e">
            <v>#VALUE!</v>
          </cell>
          <cell r="CH29" t="e">
            <v>#VALUE!</v>
          </cell>
          <cell r="CI29" t="e">
            <v>#VALUE!</v>
          </cell>
          <cell r="CJ29" t="e">
            <v>#VALUE!</v>
          </cell>
          <cell r="CK29" t="e">
            <v>#VALUE!</v>
          </cell>
          <cell r="CL29" t="e">
            <v>#VALUE!</v>
          </cell>
          <cell r="CM29" t="e">
            <v>#VALUE!</v>
          </cell>
          <cell r="CN29" t="e">
            <v>#VALUE!</v>
          </cell>
          <cell r="CO29" t="e">
            <v>#VALUE!</v>
          </cell>
          <cell r="CP29" t="e">
            <v>#VALUE!</v>
          </cell>
          <cell r="CQ29" t="e">
            <v>#VALUE!</v>
          </cell>
          <cell r="CR29" t="e">
            <v>#VALUE!</v>
          </cell>
          <cell r="CS29" t="e">
            <v>#VALUE!</v>
          </cell>
          <cell r="CT29" t="e">
            <v>#VALUE!</v>
          </cell>
          <cell r="CU29" t="e">
            <v>#VALUE!</v>
          </cell>
          <cell r="CV29" t="e">
            <v>#VALUE!</v>
          </cell>
          <cell r="CW29" t="e">
            <v>#VALUE!</v>
          </cell>
          <cell r="CX29" t="e">
            <v>#VALUE!</v>
          </cell>
          <cell r="CY29" t="e">
            <v>#VALUE!</v>
          </cell>
          <cell r="CZ29" t="e">
            <v>#VALUE!</v>
          </cell>
          <cell r="DA29" t="e">
            <v>#VALUE!</v>
          </cell>
          <cell r="DB29" t="e">
            <v>#VALUE!</v>
          </cell>
          <cell r="DC29" t="e">
            <v>#VALUE!</v>
          </cell>
          <cell r="DD29" t="e">
            <v>#VALUE!</v>
          </cell>
          <cell r="DE29" t="e">
            <v>#VALUE!</v>
          </cell>
          <cell r="DF29" t="e">
            <v>#VALUE!</v>
          </cell>
          <cell r="DG29" t="e">
            <v>#VALUE!</v>
          </cell>
          <cell r="DH29" t="e">
            <v>#VALUE!</v>
          </cell>
          <cell r="DI29" t="e">
            <v>#VALUE!</v>
          </cell>
          <cell r="DJ29" t="e">
            <v>#VALUE!</v>
          </cell>
          <cell r="DK29" t="e">
            <v>#VALUE!</v>
          </cell>
          <cell r="DL29" t="e">
            <v>#VALUE!</v>
          </cell>
          <cell r="DM29" t="e">
            <v>#VALUE!</v>
          </cell>
        </row>
        <row r="30">
          <cell r="C30" t="str">
            <v>F2.4-3.C</v>
          </cell>
          <cell r="D30" t="str">
            <v>Wärmeversorgungsanlagen</v>
          </cell>
          <cell r="F30" t="str">
            <v>E3.C.01*E3C01i/100+E3.C.02*E3C02i/100+E3.C.03*E3C03i/100+E3.C.S*E3CSi/100</v>
          </cell>
          <cell r="G30">
            <v>253.82990000000001</v>
          </cell>
          <cell r="H30">
            <v>253.82990000000001</v>
          </cell>
          <cell r="J30" t="str">
            <v>€/Jahr</v>
          </cell>
          <cell r="K30" t="str">
            <v>1</v>
          </cell>
          <cell r="L30" t="str">
            <v>PTECHNIK</v>
          </cell>
          <cell r="M30">
            <v>2</v>
          </cell>
          <cell r="N30">
            <v>1.0049261083743843</v>
          </cell>
          <cell r="O30">
            <v>10020.569317476833</v>
          </cell>
          <cell r="P30" t="str">
            <v>€</v>
          </cell>
          <cell r="Q30">
            <v>0</v>
          </cell>
          <cell r="R30">
            <v>255.08029359605914</v>
          </cell>
          <cell r="S30">
            <v>511.41714036254507</v>
          </cell>
          <cell r="T30">
            <v>769.01673021655245</v>
          </cell>
          <cell r="U30">
            <v>1027.8852835673688</v>
          </cell>
          <cell r="V30">
            <v>1288.0290514667158</v>
          </cell>
          <cell r="W30">
            <v>1549.4543157596565</v>
          </cell>
          <cell r="X30">
            <v>1812.1673892363094</v>
          </cell>
          <cell r="Y30">
            <v>2076.1746157842745</v>
          </cell>
          <cell r="Z30">
            <v>2341.4823705418376</v>
          </cell>
          <cell r="AA30">
            <v>2608.0970600518972</v>
          </cell>
          <cell r="AB30">
            <v>2876.0251224166823</v>
          </cell>
          <cell r="AC30">
            <v>3145.2730274532191</v>
          </cell>
          <cell r="AD30">
            <v>3415.847276849538</v>
          </cell>
          <cell r="AE30">
            <v>3687.754404321709</v>
          </cell>
          <cell r="AF30">
            <v>3961.0009757715684</v>
          </cell>
          <cell r="AG30">
            <v>4235.5935894453314</v>
          </cell>
          <cell r="AH30">
            <v>4511.5388760928472</v>
          </cell>
          <cell r="AI30">
            <v>4788.8434991277945</v>
          </cell>
          <cell r="AJ30">
            <v>5067.5141547885269</v>
          </cell>
          <cell r="AK30">
            <v>5347.557572299791</v>
          </cell>
          <cell r="AL30">
            <v>5628.9805140352637</v>
          </cell>
          <cell r="AM30">
            <v>5911.7897756807552</v>
          </cell>
          <cell r="AN30">
            <v>6195.9921863983973</v>
          </cell>
          <cell r="AO30">
            <v>6481.5946089914987</v>
          </cell>
          <cell r="AP30">
            <v>6768.6039400702812</v>
          </cell>
          <cell r="AQ30">
            <v>7057.027110218407</v>
          </cell>
          <cell r="AR30">
            <v>7346.8710841603724</v>
          </cell>
          <cell r="AS30">
            <v>7638.1428609296372</v>
          </cell>
          <cell r="AT30">
            <v>7930.8494740376673</v>
          </cell>
          <cell r="AU30">
            <v>8224.9979916437696</v>
          </cell>
          <cell r="AV30">
            <v>8520.5955167257489</v>
          </cell>
          <cell r="AW30">
            <v>8817.6491872515053</v>
          </cell>
          <cell r="AX30">
            <v>9116.1661763512657</v>
          </cell>
          <cell r="AY30">
            <v>9416.1536924909378</v>
          </cell>
          <cell r="AZ30">
            <v>9717.6189796460712</v>
          </cell>
          <cell r="BA30">
            <v>10020.569317476833</v>
          </cell>
          <cell r="BB30" t="e">
            <v>#VALUE!</v>
          </cell>
          <cell r="BC30" t="e">
            <v>#VALUE!</v>
          </cell>
          <cell r="BD30" t="e">
            <v>#VALUE!</v>
          </cell>
          <cell r="BE30" t="e">
            <v>#VALUE!</v>
          </cell>
          <cell r="BF30" t="e">
            <v>#VALUE!</v>
          </cell>
          <cell r="BG30" t="e">
            <v>#VALUE!</v>
          </cell>
          <cell r="BH30" t="e">
            <v>#VALUE!</v>
          </cell>
          <cell r="BI30" t="e">
            <v>#VALUE!</v>
          </cell>
          <cell r="BJ30" t="e">
            <v>#VALUE!</v>
          </cell>
          <cell r="BK30" t="e">
            <v>#VALUE!</v>
          </cell>
          <cell r="BL30" t="e">
            <v>#VALUE!</v>
          </cell>
          <cell r="BM30" t="e">
            <v>#VALUE!</v>
          </cell>
          <cell r="BN30" t="e">
            <v>#VALUE!</v>
          </cell>
          <cell r="BO30" t="e">
            <v>#VALUE!</v>
          </cell>
          <cell r="BP30" t="e">
            <v>#VALUE!</v>
          </cell>
          <cell r="BQ30" t="e">
            <v>#VALUE!</v>
          </cell>
          <cell r="BR30" t="e">
            <v>#VALUE!</v>
          </cell>
          <cell r="BS30" t="e">
            <v>#VALUE!</v>
          </cell>
          <cell r="BT30" t="e">
            <v>#VALUE!</v>
          </cell>
          <cell r="BU30" t="e">
            <v>#VALUE!</v>
          </cell>
          <cell r="BV30" t="e">
            <v>#VALUE!</v>
          </cell>
          <cell r="BW30" t="e">
            <v>#VALUE!</v>
          </cell>
          <cell r="BX30" t="e">
            <v>#VALUE!</v>
          </cell>
          <cell r="BY30" t="e">
            <v>#VALUE!</v>
          </cell>
          <cell r="BZ30" t="e">
            <v>#VALUE!</v>
          </cell>
          <cell r="CA30" t="e">
            <v>#VALUE!</v>
          </cell>
          <cell r="CB30" t="e">
            <v>#VALUE!</v>
          </cell>
          <cell r="CC30" t="e">
            <v>#VALUE!</v>
          </cell>
          <cell r="CD30" t="e">
            <v>#VALUE!</v>
          </cell>
          <cell r="CE30" t="e">
            <v>#VALUE!</v>
          </cell>
          <cell r="CF30" t="e">
            <v>#VALUE!</v>
          </cell>
          <cell r="CG30" t="e">
            <v>#VALUE!</v>
          </cell>
          <cell r="CH30" t="e">
            <v>#VALUE!</v>
          </cell>
          <cell r="CI30" t="e">
            <v>#VALUE!</v>
          </cell>
          <cell r="CJ30" t="e">
            <v>#VALUE!</v>
          </cell>
          <cell r="CK30" t="e">
            <v>#VALUE!</v>
          </cell>
          <cell r="CL30" t="e">
            <v>#VALUE!</v>
          </cell>
          <cell r="CM30" t="e">
            <v>#VALUE!</v>
          </cell>
          <cell r="CN30" t="e">
            <v>#VALUE!</v>
          </cell>
          <cell r="CO30" t="e">
            <v>#VALUE!</v>
          </cell>
          <cell r="CP30" t="e">
            <v>#VALUE!</v>
          </cell>
          <cell r="CQ30" t="e">
            <v>#VALUE!</v>
          </cell>
          <cell r="CR30" t="e">
            <v>#VALUE!</v>
          </cell>
          <cell r="CS30" t="e">
            <v>#VALUE!</v>
          </cell>
          <cell r="CT30" t="e">
            <v>#VALUE!</v>
          </cell>
          <cell r="CU30" t="e">
            <v>#VALUE!</v>
          </cell>
          <cell r="CV30" t="e">
            <v>#VALUE!</v>
          </cell>
          <cell r="CW30" t="e">
            <v>#VALUE!</v>
          </cell>
          <cell r="CX30" t="e">
            <v>#VALUE!</v>
          </cell>
          <cell r="CY30" t="e">
            <v>#VALUE!</v>
          </cell>
          <cell r="CZ30" t="e">
            <v>#VALUE!</v>
          </cell>
          <cell r="DA30" t="e">
            <v>#VALUE!</v>
          </cell>
          <cell r="DB30" t="e">
            <v>#VALUE!</v>
          </cell>
          <cell r="DC30" t="e">
            <v>#VALUE!</v>
          </cell>
          <cell r="DD30" t="e">
            <v>#VALUE!</v>
          </cell>
          <cell r="DE30" t="e">
            <v>#VALUE!</v>
          </cell>
          <cell r="DF30" t="e">
            <v>#VALUE!</v>
          </cell>
          <cell r="DG30" t="e">
            <v>#VALUE!</v>
          </cell>
          <cell r="DH30" t="e">
            <v>#VALUE!</v>
          </cell>
          <cell r="DI30" t="e">
            <v>#VALUE!</v>
          </cell>
          <cell r="DJ30" t="e">
            <v>#VALUE!</v>
          </cell>
          <cell r="DK30" t="e">
            <v>#VALUE!</v>
          </cell>
          <cell r="DL30" t="e">
            <v>#VALUE!</v>
          </cell>
          <cell r="DM30" t="e">
            <v>#VALUE!</v>
          </cell>
        </row>
        <row r="31">
          <cell r="C31" t="str">
            <v>F2.4-3.D</v>
          </cell>
          <cell r="D31" t="str">
            <v>Klima-/Lüftungsanlagen</v>
          </cell>
          <cell r="F31" t="str">
            <v>E3.D.01*E3D01Ri/100*(1-E3D01VAnteil/100) + E3.D.01*E3D01Vi/100*E3D01VAnteil/100 + E3.D.02*E3D02i/100+E3.D.03*E3D03i/100+E3.D.04*E3D04i/100+E3.D.05*E3D05i/100+E3.D.S*E3DSi/100</v>
          </cell>
          <cell r="G31">
            <v>150.0641</v>
          </cell>
          <cell r="H31">
            <v>150.0641</v>
          </cell>
          <cell r="J31" t="str">
            <v>€/Jahr</v>
          </cell>
          <cell r="K31" t="str">
            <v>1</v>
          </cell>
          <cell r="L31" t="str">
            <v>PTECHNIK</v>
          </cell>
          <cell r="M31">
            <v>2</v>
          </cell>
          <cell r="N31">
            <v>1.0049261083743843</v>
          </cell>
          <cell r="O31">
            <v>5924.1551768124054</v>
          </cell>
          <cell r="P31" t="str">
            <v>€</v>
          </cell>
          <cell r="Q31">
            <v>0</v>
          </cell>
          <cell r="R31">
            <v>150.80333201970444</v>
          </cell>
          <cell r="S31">
            <v>302.34953759615786</v>
          </cell>
          <cell r="T31">
            <v>454.64227620500873</v>
          </cell>
          <cell r="U31">
            <v>607.68522534887336</v>
          </cell>
          <cell r="V31">
            <v>761.48208064615858</v>
          </cell>
          <cell r="W31">
            <v>916.03655592027837</v>
          </cell>
          <cell r="X31">
            <v>1071.3523832893463</v>
          </cell>
          <cell r="Y31">
            <v>1227.4333132562906</v>
          </cell>
          <cell r="Z31">
            <v>1384.2831147994282</v>
          </cell>
          <cell r="AA31">
            <v>1541.9055754634653</v>
          </cell>
          <cell r="AB31">
            <v>1700.3045014509685</v>
          </cell>
          <cell r="AC31">
            <v>1859.4837177142749</v>
          </cell>
          <cell r="AD31">
            <v>2019.4470680478414</v>
          </cell>
          <cell r="AE31">
            <v>2180.1984151810852</v>
          </cell>
          <cell r="AF31">
            <v>2341.7416408716317</v>
          </cell>
          <cell r="AG31">
            <v>2504.0806459990849</v>
          </cell>
          <cell r="AH31">
            <v>2667.2193506591798</v>
          </cell>
          <cell r="AI31">
            <v>2831.1616942584906</v>
          </cell>
          <cell r="AJ31">
            <v>2995.9116356095201</v>
          </cell>
          <cell r="AK31">
            <v>3161.4731530263102</v>
          </cell>
          <cell r="AL31">
            <v>3327.8502444205319</v>
          </cell>
          <cell r="AM31">
            <v>3495.0469273979716</v>
          </cell>
          <cell r="AN31">
            <v>3663.0672393555988</v>
          </cell>
          <cell r="AO31">
            <v>3831.9152375790286</v>
          </cell>
          <cell r="AP31">
            <v>4001.5949993405056</v>
          </cell>
          <cell r="AQ31">
            <v>4172.1106219973535</v>
          </cell>
          <cell r="AR31">
            <v>4343.466223090938</v>
          </cell>
          <cell r="AS31">
            <v>4515.665940446067</v>
          </cell>
          <cell r="AT31">
            <v>4688.7139322709263</v>
          </cell>
          <cell r="AU31">
            <v>4862.614377257486</v>
          </cell>
          <cell r="AV31">
            <v>5037.3714746823935</v>
          </cell>
          <cell r="AW31">
            <v>5212.9894445084228</v>
          </cell>
          <cell r="AX31">
            <v>5389.4725274862967</v>
          </cell>
          <cell r="AY31">
            <v>5566.8249852571707</v>
          </cell>
          <cell r="AZ31">
            <v>5745.0511004554855</v>
          </cell>
          <cell r="BA31">
            <v>5924.1551768124054</v>
          </cell>
          <cell r="BB31" t="e">
            <v>#VALUE!</v>
          </cell>
          <cell r="BC31" t="e">
            <v>#VALUE!</v>
          </cell>
          <cell r="BD31" t="e">
            <v>#VALUE!</v>
          </cell>
          <cell r="BE31" t="e">
            <v>#VALUE!</v>
          </cell>
          <cell r="BF31" t="e">
            <v>#VALUE!</v>
          </cell>
          <cell r="BG31" t="e">
            <v>#VALUE!</v>
          </cell>
          <cell r="BH31" t="e">
            <v>#VALUE!</v>
          </cell>
          <cell r="BI31" t="e">
            <v>#VALUE!</v>
          </cell>
          <cell r="BJ31" t="e">
            <v>#VALUE!</v>
          </cell>
          <cell r="BK31" t="e">
            <v>#VALUE!</v>
          </cell>
          <cell r="BL31" t="e">
            <v>#VALUE!</v>
          </cell>
          <cell r="BM31" t="e">
            <v>#VALUE!</v>
          </cell>
          <cell r="BN31" t="e">
            <v>#VALUE!</v>
          </cell>
          <cell r="BO31" t="e">
            <v>#VALUE!</v>
          </cell>
          <cell r="BP31" t="e">
            <v>#VALUE!</v>
          </cell>
          <cell r="BQ31" t="e">
            <v>#VALUE!</v>
          </cell>
          <cell r="BR31" t="e">
            <v>#VALUE!</v>
          </cell>
          <cell r="BS31" t="e">
            <v>#VALUE!</v>
          </cell>
          <cell r="BT31" t="e">
            <v>#VALUE!</v>
          </cell>
          <cell r="BU31" t="e">
            <v>#VALUE!</v>
          </cell>
          <cell r="BV31" t="e">
            <v>#VALUE!</v>
          </cell>
          <cell r="BW31" t="e">
            <v>#VALUE!</v>
          </cell>
          <cell r="BX31" t="e">
            <v>#VALUE!</v>
          </cell>
          <cell r="BY31" t="e">
            <v>#VALUE!</v>
          </cell>
          <cell r="BZ31" t="e">
            <v>#VALUE!</v>
          </cell>
          <cell r="CA31" t="e">
            <v>#VALUE!</v>
          </cell>
          <cell r="CB31" t="e">
            <v>#VALUE!</v>
          </cell>
          <cell r="CC31" t="e">
            <v>#VALUE!</v>
          </cell>
          <cell r="CD31" t="e">
            <v>#VALUE!</v>
          </cell>
          <cell r="CE31" t="e">
            <v>#VALUE!</v>
          </cell>
          <cell r="CF31" t="e">
            <v>#VALUE!</v>
          </cell>
          <cell r="CG31" t="e">
            <v>#VALUE!</v>
          </cell>
          <cell r="CH31" t="e">
            <v>#VALUE!</v>
          </cell>
          <cell r="CI31" t="e">
            <v>#VALUE!</v>
          </cell>
          <cell r="CJ31" t="e">
            <v>#VALUE!</v>
          </cell>
          <cell r="CK31" t="e">
            <v>#VALUE!</v>
          </cell>
          <cell r="CL31" t="e">
            <v>#VALUE!</v>
          </cell>
          <cell r="CM31" t="e">
            <v>#VALUE!</v>
          </cell>
          <cell r="CN31" t="e">
            <v>#VALUE!</v>
          </cell>
          <cell r="CO31" t="e">
            <v>#VALUE!</v>
          </cell>
          <cell r="CP31" t="e">
            <v>#VALUE!</v>
          </cell>
          <cell r="CQ31" t="e">
            <v>#VALUE!</v>
          </cell>
          <cell r="CR31" t="e">
            <v>#VALUE!</v>
          </cell>
          <cell r="CS31" t="e">
            <v>#VALUE!</v>
          </cell>
          <cell r="CT31" t="e">
            <v>#VALUE!</v>
          </cell>
          <cell r="CU31" t="e">
            <v>#VALUE!</v>
          </cell>
          <cell r="CV31" t="e">
            <v>#VALUE!</v>
          </cell>
          <cell r="CW31" t="e">
            <v>#VALUE!</v>
          </cell>
          <cell r="CX31" t="e">
            <v>#VALUE!</v>
          </cell>
          <cell r="CY31" t="e">
            <v>#VALUE!</v>
          </cell>
          <cell r="CZ31" t="e">
            <v>#VALUE!</v>
          </cell>
          <cell r="DA31" t="e">
            <v>#VALUE!</v>
          </cell>
          <cell r="DB31" t="e">
            <v>#VALUE!</v>
          </cell>
          <cell r="DC31" t="e">
            <v>#VALUE!</v>
          </cell>
          <cell r="DD31" t="e">
            <v>#VALUE!</v>
          </cell>
          <cell r="DE31" t="e">
            <v>#VALUE!</v>
          </cell>
          <cell r="DF31" t="e">
            <v>#VALUE!</v>
          </cell>
          <cell r="DG31" t="e">
            <v>#VALUE!</v>
          </cell>
          <cell r="DH31" t="e">
            <v>#VALUE!</v>
          </cell>
          <cell r="DI31" t="e">
            <v>#VALUE!</v>
          </cell>
          <cell r="DJ31" t="e">
            <v>#VALUE!</v>
          </cell>
          <cell r="DK31" t="e">
            <v>#VALUE!</v>
          </cell>
          <cell r="DL31" t="e">
            <v>#VALUE!</v>
          </cell>
          <cell r="DM31" t="e">
            <v>#VALUE!</v>
          </cell>
        </row>
        <row r="32">
          <cell r="C32" t="str">
            <v>F2.4-3.E</v>
          </cell>
          <cell r="D32" t="str">
            <v>Sanitär-/Gasanlagen</v>
          </cell>
          <cell r="F32" t="str">
            <v>E3.E.01*E3E01i/100+E3.E.02*E3E02i/100+E3.E.03*E3E03i/100+E3.E.04*E3E04i/100+E3.E.S*E3ESi/100</v>
          </cell>
          <cell r="G32">
            <v>208.94895</v>
          </cell>
          <cell r="H32">
            <v>208.94895</v>
          </cell>
          <cell r="J32" t="str">
            <v>€/Jahr</v>
          </cell>
          <cell r="K32" t="str">
            <v>1</v>
          </cell>
          <cell r="L32" t="str">
            <v>PTECHNIK</v>
          </cell>
          <cell r="M32">
            <v>2</v>
          </cell>
          <cell r="N32">
            <v>1.0049261083743843</v>
          </cell>
          <cell r="O32">
            <v>8248.7817128281604</v>
          </cell>
          <cell r="P32" t="str">
            <v>€</v>
          </cell>
          <cell r="Q32">
            <v>0</v>
          </cell>
          <cell r="R32">
            <v>209.97825517241381</v>
          </cell>
          <cell r="S32">
            <v>420.99088598607341</v>
          </cell>
          <cell r="T32">
            <v>633.04298788748656</v>
          </cell>
          <cell r="U32">
            <v>846.13968142387466</v>
          </cell>
          <cell r="V32">
            <v>1060.2861123668497</v>
          </cell>
          <cell r="W32">
            <v>1275.4874518366382</v>
          </cell>
          <cell r="X32">
            <v>1491.7488964269701</v>
          </cell>
          <cell r="Y32">
            <v>1709.0756683305533</v>
          </cell>
          <cell r="Z32">
            <v>1927.4730154651911</v>
          </cell>
          <cell r="AA32">
            <v>2146.9462116004884</v>
          </cell>
          <cell r="AB32">
            <v>2367.5005564852177</v>
          </cell>
          <cell r="AC32">
            <v>2589.1413759752941</v>
          </cell>
          <cell r="AD32">
            <v>2811.8740221623625</v>
          </cell>
          <cell r="AE32">
            <v>3035.7038735030687</v>
          </cell>
          <cell r="AF32">
            <v>3260.6363349488956</v>
          </cell>
          <cell r="AG32">
            <v>3486.6768380767321</v>
          </cell>
          <cell r="AH32">
            <v>3713.8308412199685</v>
          </cell>
          <cell r="AI32">
            <v>3942.1038296003685</v>
          </cell>
          <cell r="AJ32">
            <v>4171.5013154604721</v>
          </cell>
          <cell r="AK32">
            <v>4402.028838196723</v>
          </cell>
          <cell r="AL32">
            <v>4633.6919644932632</v>
          </cell>
          <cell r="AM32">
            <v>4866.4962884562829</v>
          </cell>
          <cell r="AN32">
            <v>5100.4474317491731</v>
          </cell>
          <cell r="AO32">
            <v>5335.5510437282373</v>
          </cell>
          <cell r="AP32">
            <v>5571.8128015791208</v>
          </cell>
          <cell r="AQ32">
            <v>5809.2384104538924</v>
          </cell>
          <cell r="AR32">
            <v>6047.8336036088403</v>
          </cell>
          <cell r="AS32">
            <v>6287.6041425428748</v>
          </cell>
          <cell r="AT32">
            <v>6528.5558171366847</v>
          </cell>
          <cell r="AU32">
            <v>6770.6944457925347</v>
          </cell>
          <cell r="AV32">
            <v>7014.0258755747564</v>
          </cell>
          <cell r="AW32">
            <v>7258.5559823509975</v>
          </cell>
          <cell r="AX32">
            <v>7504.2906709340068</v>
          </cell>
          <cell r="AY32">
            <v>7751.2358752243299</v>
          </cell>
          <cell r="AZ32">
            <v>7999.3975583535193</v>
          </cell>
          <cell r="BA32">
            <v>8248.7817128281604</v>
          </cell>
          <cell r="BB32" t="e">
            <v>#VALUE!</v>
          </cell>
          <cell r="BC32" t="e">
            <v>#VALUE!</v>
          </cell>
          <cell r="BD32" t="e">
            <v>#VALUE!</v>
          </cell>
          <cell r="BE32" t="e">
            <v>#VALUE!</v>
          </cell>
          <cell r="BF32" t="e">
            <v>#VALUE!</v>
          </cell>
          <cell r="BG32" t="e">
            <v>#VALUE!</v>
          </cell>
          <cell r="BH32" t="e">
            <v>#VALUE!</v>
          </cell>
          <cell r="BI32" t="e">
            <v>#VALUE!</v>
          </cell>
          <cell r="BJ32" t="e">
            <v>#VALUE!</v>
          </cell>
          <cell r="BK32" t="e">
            <v>#VALUE!</v>
          </cell>
          <cell r="BL32" t="e">
            <v>#VALUE!</v>
          </cell>
          <cell r="BM32" t="e">
            <v>#VALUE!</v>
          </cell>
          <cell r="BN32" t="e">
            <v>#VALUE!</v>
          </cell>
          <cell r="BO32" t="e">
            <v>#VALUE!</v>
          </cell>
          <cell r="BP32" t="e">
            <v>#VALUE!</v>
          </cell>
          <cell r="BQ32" t="e">
            <v>#VALUE!</v>
          </cell>
          <cell r="BR32" t="e">
            <v>#VALUE!</v>
          </cell>
          <cell r="BS32" t="e">
            <v>#VALUE!</v>
          </cell>
          <cell r="BT32" t="e">
            <v>#VALUE!</v>
          </cell>
          <cell r="BU32" t="e">
            <v>#VALUE!</v>
          </cell>
          <cell r="BV32" t="e">
            <v>#VALUE!</v>
          </cell>
          <cell r="BW32" t="e">
            <v>#VALUE!</v>
          </cell>
          <cell r="BX32" t="e">
            <v>#VALUE!</v>
          </cell>
          <cell r="BY32" t="e">
            <v>#VALUE!</v>
          </cell>
          <cell r="BZ32" t="e">
            <v>#VALUE!</v>
          </cell>
          <cell r="CA32" t="e">
            <v>#VALUE!</v>
          </cell>
          <cell r="CB32" t="e">
            <v>#VALUE!</v>
          </cell>
          <cell r="CC32" t="e">
            <v>#VALUE!</v>
          </cell>
          <cell r="CD32" t="e">
            <v>#VALUE!</v>
          </cell>
          <cell r="CE32" t="e">
            <v>#VALUE!</v>
          </cell>
          <cell r="CF32" t="e">
            <v>#VALUE!</v>
          </cell>
          <cell r="CG32" t="e">
            <v>#VALUE!</v>
          </cell>
          <cell r="CH32" t="e">
            <v>#VALUE!</v>
          </cell>
          <cell r="CI32" t="e">
            <v>#VALUE!</v>
          </cell>
          <cell r="CJ32" t="e">
            <v>#VALUE!</v>
          </cell>
          <cell r="CK32" t="e">
            <v>#VALUE!</v>
          </cell>
          <cell r="CL32" t="e">
            <v>#VALUE!</v>
          </cell>
          <cell r="CM32" t="e">
            <v>#VALUE!</v>
          </cell>
          <cell r="CN32" t="e">
            <v>#VALUE!</v>
          </cell>
          <cell r="CO32" t="e">
            <v>#VALUE!</v>
          </cell>
          <cell r="CP32" t="e">
            <v>#VALUE!</v>
          </cell>
          <cell r="CQ32" t="e">
            <v>#VALUE!</v>
          </cell>
          <cell r="CR32" t="e">
            <v>#VALUE!</v>
          </cell>
          <cell r="CS32" t="e">
            <v>#VALUE!</v>
          </cell>
          <cell r="CT32" t="e">
            <v>#VALUE!</v>
          </cell>
          <cell r="CU32" t="e">
            <v>#VALUE!</v>
          </cell>
          <cell r="CV32" t="e">
            <v>#VALUE!</v>
          </cell>
          <cell r="CW32" t="e">
            <v>#VALUE!</v>
          </cell>
          <cell r="CX32" t="e">
            <v>#VALUE!</v>
          </cell>
          <cell r="CY32" t="e">
            <v>#VALUE!</v>
          </cell>
          <cell r="CZ32" t="e">
            <v>#VALUE!</v>
          </cell>
          <cell r="DA32" t="e">
            <v>#VALUE!</v>
          </cell>
          <cell r="DB32" t="e">
            <v>#VALUE!</v>
          </cell>
          <cell r="DC32" t="e">
            <v>#VALUE!</v>
          </cell>
          <cell r="DD32" t="e">
            <v>#VALUE!</v>
          </cell>
          <cell r="DE32" t="e">
            <v>#VALUE!</v>
          </cell>
          <cell r="DF32" t="e">
            <v>#VALUE!</v>
          </cell>
          <cell r="DG32" t="e">
            <v>#VALUE!</v>
          </cell>
          <cell r="DH32" t="e">
            <v>#VALUE!</v>
          </cell>
          <cell r="DI32" t="e">
            <v>#VALUE!</v>
          </cell>
          <cell r="DJ32" t="e">
            <v>#VALUE!</v>
          </cell>
          <cell r="DK32" t="e">
            <v>#VALUE!</v>
          </cell>
          <cell r="DL32" t="e">
            <v>#VALUE!</v>
          </cell>
          <cell r="DM32" t="e">
            <v>#VALUE!</v>
          </cell>
        </row>
        <row r="33">
          <cell r="C33" t="str">
            <v>F2.4-3.F</v>
          </cell>
          <cell r="D33" t="str">
            <v>Starkstromanlagen</v>
          </cell>
          <cell r="F33" t="str">
            <v>E3.F*E3Fi/100</v>
          </cell>
          <cell r="G33">
            <v>1024.0930499999999</v>
          </cell>
          <cell r="H33">
            <v>1024.0930499999999</v>
          </cell>
          <cell r="J33" t="str">
            <v>€/Jahr</v>
          </cell>
          <cell r="K33" t="str">
            <v>1</v>
          </cell>
          <cell r="L33" t="str">
            <v>PTECHNIK</v>
          </cell>
          <cell r="M33">
            <v>2</v>
          </cell>
          <cell r="N33">
            <v>1.0049261083743843</v>
          </cell>
          <cell r="O33">
            <v>40428.631122934166</v>
          </cell>
          <cell r="P33" t="str">
            <v>€</v>
          </cell>
          <cell r="Q33">
            <v>0</v>
          </cell>
          <cell r="R33">
            <v>1029.1378433497537</v>
          </cell>
          <cell r="S33">
            <v>2063.3453312480397</v>
          </cell>
          <cell r="T33">
            <v>3102.6474373133201</v>
          </cell>
          <cell r="U33">
            <v>4147.0692581867679</v>
          </cell>
          <cell r="V33">
            <v>5196.6360141384284</v>
          </cell>
          <cell r="W33">
            <v>6251.3730496760609</v>
          </cell>
          <cell r="X33">
            <v>7311.3058341572414</v>
          </cell>
          <cell r="Y33">
            <v>8376.4599624043312</v>
          </cell>
          <cell r="Z33">
            <v>9446.8611553226019</v>
          </cell>
          <cell r="AA33">
            <v>10522.535260521239</v>
          </cell>
          <cell r="AB33">
            <v>11603.508252937589</v>
          </cell>
          <cell r="AC33">
            <v>12689.806235464383</v>
          </cell>
          <cell r="AD33">
            <v>13781.455439579961</v>
          </cell>
          <cell r="AE33">
            <v>14878.482225981856</v>
          </cell>
          <cell r="AF33">
            <v>15980.913085223141</v>
          </cell>
          <cell r="AG33">
            <v>17088.774638352363</v>
          </cell>
          <cell r="AH33">
            <v>18202.093637556078</v>
          </cell>
          <cell r="AI33">
            <v>19320.89696680515</v>
          </cell>
          <cell r="AJ33">
            <v>20445.211642503717</v>
          </cell>
          <cell r="AK33">
            <v>21575.064814141628</v>
          </cell>
          <cell r="AL33">
            <v>22710.48376495023</v>
          </cell>
          <cell r="AM33">
            <v>23851.495912560811</v>
          </cell>
          <cell r="AN33">
            <v>24998.128809667036</v>
          </cell>
          <cell r="AO33">
            <v>26150.410144690049</v>
          </cell>
          <cell r="AP33">
            <v>27308.367742447168</v>
          </cell>
          <cell r="AQ33">
            <v>28472.029564823741</v>
          </cell>
          <cell r="AR33">
            <v>29641.4237114485</v>
          </cell>
          <cell r="AS33">
            <v>30816.578420371901</v>
          </cell>
          <cell r="AT33">
            <v>31997.522068748127</v>
          </cell>
          <cell r="AU33">
            <v>33184.283173520307</v>
          </cell>
          <cell r="AV33">
            <v>34376.890392109039</v>
          </cell>
          <cell r="AW33">
            <v>35575.372523104699</v>
          </cell>
          <cell r="AX33">
            <v>36779.75850696236</v>
          </cell>
          <cell r="AY33">
            <v>37990.077426701129</v>
          </cell>
          <cell r="AZ33">
            <v>39206.358508606085</v>
          </cell>
          <cell r="BA33">
            <v>40428.631122934166</v>
          </cell>
          <cell r="BB33" t="e">
            <v>#VALUE!</v>
          </cell>
          <cell r="BC33" t="e">
            <v>#VALUE!</v>
          </cell>
          <cell r="BD33" t="e">
            <v>#VALUE!</v>
          </cell>
          <cell r="BE33" t="e">
            <v>#VALUE!</v>
          </cell>
          <cell r="BF33" t="e">
            <v>#VALUE!</v>
          </cell>
          <cell r="BG33" t="e">
            <v>#VALUE!</v>
          </cell>
          <cell r="BH33" t="e">
            <v>#VALUE!</v>
          </cell>
          <cell r="BI33" t="e">
            <v>#VALUE!</v>
          </cell>
          <cell r="BJ33" t="e">
            <v>#VALUE!</v>
          </cell>
          <cell r="BK33" t="e">
            <v>#VALUE!</v>
          </cell>
          <cell r="BL33" t="e">
            <v>#VALUE!</v>
          </cell>
          <cell r="BM33" t="e">
            <v>#VALUE!</v>
          </cell>
          <cell r="BN33" t="e">
            <v>#VALUE!</v>
          </cell>
          <cell r="BO33" t="e">
            <v>#VALUE!</v>
          </cell>
          <cell r="BP33" t="e">
            <v>#VALUE!</v>
          </cell>
          <cell r="BQ33" t="e">
            <v>#VALUE!</v>
          </cell>
          <cell r="BR33" t="e">
            <v>#VALUE!</v>
          </cell>
          <cell r="BS33" t="e">
            <v>#VALUE!</v>
          </cell>
          <cell r="BT33" t="e">
            <v>#VALUE!</v>
          </cell>
          <cell r="BU33" t="e">
            <v>#VALUE!</v>
          </cell>
          <cell r="BV33" t="e">
            <v>#VALUE!</v>
          </cell>
          <cell r="BW33" t="e">
            <v>#VALUE!</v>
          </cell>
          <cell r="BX33" t="e">
            <v>#VALUE!</v>
          </cell>
          <cell r="BY33" t="e">
            <v>#VALUE!</v>
          </cell>
          <cell r="BZ33" t="e">
            <v>#VALUE!</v>
          </cell>
          <cell r="CA33" t="e">
            <v>#VALUE!</v>
          </cell>
          <cell r="CB33" t="e">
            <v>#VALUE!</v>
          </cell>
          <cell r="CC33" t="e">
            <v>#VALUE!</v>
          </cell>
          <cell r="CD33" t="e">
            <v>#VALUE!</v>
          </cell>
          <cell r="CE33" t="e">
            <v>#VALUE!</v>
          </cell>
          <cell r="CF33" t="e">
            <v>#VALUE!</v>
          </cell>
          <cell r="CG33" t="e">
            <v>#VALUE!</v>
          </cell>
          <cell r="CH33" t="e">
            <v>#VALUE!</v>
          </cell>
          <cell r="CI33" t="e">
            <v>#VALUE!</v>
          </cell>
          <cell r="CJ33" t="e">
            <v>#VALUE!</v>
          </cell>
          <cell r="CK33" t="e">
            <v>#VALUE!</v>
          </cell>
          <cell r="CL33" t="e">
            <v>#VALUE!</v>
          </cell>
          <cell r="CM33" t="e">
            <v>#VALUE!</v>
          </cell>
          <cell r="CN33" t="e">
            <v>#VALUE!</v>
          </cell>
          <cell r="CO33" t="e">
            <v>#VALUE!</v>
          </cell>
          <cell r="CP33" t="e">
            <v>#VALUE!</v>
          </cell>
          <cell r="CQ33" t="e">
            <v>#VALUE!</v>
          </cell>
          <cell r="CR33" t="e">
            <v>#VALUE!</v>
          </cell>
          <cell r="CS33" t="e">
            <v>#VALUE!</v>
          </cell>
          <cell r="CT33" t="e">
            <v>#VALUE!</v>
          </cell>
          <cell r="CU33" t="e">
            <v>#VALUE!</v>
          </cell>
          <cell r="CV33" t="e">
            <v>#VALUE!</v>
          </cell>
          <cell r="CW33" t="e">
            <v>#VALUE!</v>
          </cell>
          <cell r="CX33" t="e">
            <v>#VALUE!</v>
          </cell>
          <cell r="CY33" t="e">
            <v>#VALUE!</v>
          </cell>
          <cell r="CZ33" t="e">
            <v>#VALUE!</v>
          </cell>
          <cell r="DA33" t="e">
            <v>#VALUE!</v>
          </cell>
          <cell r="DB33" t="e">
            <v>#VALUE!</v>
          </cell>
          <cell r="DC33" t="e">
            <v>#VALUE!</v>
          </cell>
          <cell r="DD33" t="e">
            <v>#VALUE!</v>
          </cell>
          <cell r="DE33" t="e">
            <v>#VALUE!</v>
          </cell>
          <cell r="DF33" t="e">
            <v>#VALUE!</v>
          </cell>
          <cell r="DG33" t="e">
            <v>#VALUE!</v>
          </cell>
          <cell r="DH33" t="e">
            <v>#VALUE!</v>
          </cell>
          <cell r="DI33" t="e">
            <v>#VALUE!</v>
          </cell>
          <cell r="DJ33" t="e">
            <v>#VALUE!</v>
          </cell>
          <cell r="DK33" t="e">
            <v>#VALUE!</v>
          </cell>
          <cell r="DL33" t="e">
            <v>#VALUE!</v>
          </cell>
          <cell r="DM33" t="e">
            <v>#VALUE!</v>
          </cell>
        </row>
        <row r="34">
          <cell r="C34" t="str">
            <v>F2.4-3.G</v>
          </cell>
          <cell r="D34" t="str">
            <v>Fernmelde- und Informationstechnische Anlagen</v>
          </cell>
          <cell r="F34" t="str">
            <v>E3.G*E3Gi/100</v>
          </cell>
          <cell r="G34">
            <v>362.6739</v>
          </cell>
          <cell r="H34">
            <v>362.6739</v>
          </cell>
          <cell r="J34" t="str">
            <v>€/Jahr</v>
          </cell>
          <cell r="K34" t="str">
            <v>1</v>
          </cell>
          <cell r="L34" t="str">
            <v>PTECHNIK</v>
          </cell>
          <cell r="M34">
            <v>2</v>
          </cell>
          <cell r="N34">
            <v>1.0049261083743843</v>
          </cell>
          <cell r="O34">
            <v>14317.458087442265</v>
          </cell>
          <cell r="P34" t="str">
            <v>€</v>
          </cell>
          <cell r="Q34">
            <v>0</v>
          </cell>
          <cell r="R34">
            <v>364.46047093596064</v>
          </cell>
          <cell r="S34">
            <v>730.71631364993505</v>
          </cell>
          <cell r="T34">
            <v>1098.7763723378725</v>
          </cell>
          <cell r="U34">
            <v>1468.6495347631762</v>
          </cell>
          <cell r="V34">
            <v>1840.3447324713698</v>
          </cell>
          <cell r="W34">
            <v>2213.8709410057131</v>
          </cell>
          <cell r="X34">
            <v>2589.2371801239742</v>
          </cell>
          <cell r="Y34">
            <v>2966.4525140162145</v>
          </cell>
          <cell r="Z34">
            <v>3345.5260515236914</v>
          </cell>
          <cell r="AA34">
            <v>3726.4669463587848</v>
          </cell>
          <cell r="AB34">
            <v>4109.284397326066</v>
          </cell>
          <cell r="AC34">
            <v>4493.9876485444229</v>
          </cell>
          <cell r="AD34">
            <v>4880.585989670255</v>
          </cell>
          <cell r="AE34">
            <v>5269.0887561218406</v>
          </cell>
          <cell r="AF34">
            <v>5659.5053293047049</v>
          </cell>
          <cell r="AG34">
            <v>6051.8451368382421</v>
          </cell>
          <cell r="AH34">
            <v>6446.1176527832604</v>
          </cell>
          <cell r="AI34">
            <v>6842.3323978708731</v>
          </cell>
          <cell r="AJ34">
            <v>7240.4989397323125</v>
          </cell>
          <cell r="AK34">
            <v>7640.6268931299946</v>
          </cell>
          <cell r="AL34">
            <v>8042.7259201897568</v>
          </cell>
          <cell r="AM34">
            <v>8446.8057306340379</v>
          </cell>
          <cell r="AN34">
            <v>8852.8760820164753</v>
          </cell>
          <cell r="AO34">
            <v>9260.9467799574522</v>
          </cell>
          <cell r="AP34">
            <v>9671.0276783808968</v>
          </cell>
          <cell r="AQ34">
            <v>10083.128679752226</v>
          </cell>
          <cell r="AR34">
            <v>10497.259735317513</v>
          </cell>
          <cell r="AS34">
            <v>10913.43084534371</v>
          </cell>
          <cell r="AT34">
            <v>11331.652059360185</v>
          </cell>
          <cell r="AU34">
            <v>11751.933476401377</v>
          </cell>
          <cell r="AV34">
            <v>12174.28524525063</v>
          </cell>
          <cell r="AW34">
            <v>12598.717564685381</v>
          </cell>
          <cell r="AX34">
            <v>13025.240683723239</v>
          </cell>
          <cell r="AY34">
            <v>13453.864901869674</v>
          </cell>
          <cell r="AZ34">
            <v>13884.600569366577</v>
          </cell>
          <cell r="BA34">
            <v>14317.458087442265</v>
          </cell>
          <cell r="BB34" t="e">
            <v>#VALUE!</v>
          </cell>
          <cell r="BC34" t="e">
            <v>#VALUE!</v>
          </cell>
          <cell r="BD34" t="e">
            <v>#VALUE!</v>
          </cell>
          <cell r="BE34" t="e">
            <v>#VALUE!</v>
          </cell>
          <cell r="BF34" t="e">
            <v>#VALUE!</v>
          </cell>
          <cell r="BG34" t="e">
            <v>#VALUE!</v>
          </cell>
          <cell r="BH34" t="e">
            <v>#VALUE!</v>
          </cell>
          <cell r="BI34" t="e">
            <v>#VALUE!</v>
          </cell>
          <cell r="BJ34" t="e">
            <v>#VALUE!</v>
          </cell>
          <cell r="BK34" t="e">
            <v>#VALUE!</v>
          </cell>
          <cell r="BL34" t="e">
            <v>#VALUE!</v>
          </cell>
          <cell r="BM34" t="e">
            <v>#VALUE!</v>
          </cell>
          <cell r="BN34" t="e">
            <v>#VALUE!</v>
          </cell>
          <cell r="BO34" t="e">
            <v>#VALUE!</v>
          </cell>
          <cell r="BP34" t="e">
            <v>#VALUE!</v>
          </cell>
          <cell r="BQ34" t="e">
            <v>#VALUE!</v>
          </cell>
          <cell r="BR34" t="e">
            <v>#VALUE!</v>
          </cell>
          <cell r="BS34" t="e">
            <v>#VALUE!</v>
          </cell>
          <cell r="BT34" t="e">
            <v>#VALUE!</v>
          </cell>
          <cell r="BU34" t="e">
            <v>#VALUE!</v>
          </cell>
          <cell r="BV34" t="e">
            <v>#VALUE!</v>
          </cell>
          <cell r="BW34" t="e">
            <v>#VALUE!</v>
          </cell>
          <cell r="BX34" t="e">
            <v>#VALUE!</v>
          </cell>
          <cell r="BY34" t="e">
            <v>#VALUE!</v>
          </cell>
          <cell r="BZ34" t="e">
            <v>#VALUE!</v>
          </cell>
          <cell r="CA34" t="e">
            <v>#VALUE!</v>
          </cell>
          <cell r="CB34" t="e">
            <v>#VALUE!</v>
          </cell>
          <cell r="CC34" t="e">
            <v>#VALUE!</v>
          </cell>
          <cell r="CD34" t="e">
            <v>#VALUE!</v>
          </cell>
          <cell r="CE34" t="e">
            <v>#VALUE!</v>
          </cell>
          <cell r="CF34" t="e">
            <v>#VALUE!</v>
          </cell>
          <cell r="CG34" t="e">
            <v>#VALUE!</v>
          </cell>
          <cell r="CH34" t="e">
            <v>#VALUE!</v>
          </cell>
          <cell r="CI34" t="e">
            <v>#VALUE!</v>
          </cell>
          <cell r="CJ34" t="e">
            <v>#VALUE!</v>
          </cell>
          <cell r="CK34" t="e">
            <v>#VALUE!</v>
          </cell>
          <cell r="CL34" t="e">
            <v>#VALUE!</v>
          </cell>
          <cell r="CM34" t="e">
            <v>#VALUE!</v>
          </cell>
          <cell r="CN34" t="e">
            <v>#VALUE!</v>
          </cell>
          <cell r="CO34" t="e">
            <v>#VALUE!</v>
          </cell>
          <cell r="CP34" t="e">
            <v>#VALUE!</v>
          </cell>
          <cell r="CQ34" t="e">
            <v>#VALUE!</v>
          </cell>
          <cell r="CR34" t="e">
            <v>#VALUE!</v>
          </cell>
          <cell r="CS34" t="e">
            <v>#VALUE!</v>
          </cell>
          <cell r="CT34" t="e">
            <v>#VALUE!</v>
          </cell>
          <cell r="CU34" t="e">
            <v>#VALUE!</v>
          </cell>
          <cell r="CV34" t="e">
            <v>#VALUE!</v>
          </cell>
          <cell r="CW34" t="e">
            <v>#VALUE!</v>
          </cell>
          <cell r="CX34" t="e">
            <v>#VALUE!</v>
          </cell>
          <cell r="CY34" t="e">
            <v>#VALUE!</v>
          </cell>
          <cell r="CZ34" t="e">
            <v>#VALUE!</v>
          </cell>
          <cell r="DA34" t="e">
            <v>#VALUE!</v>
          </cell>
          <cell r="DB34" t="e">
            <v>#VALUE!</v>
          </cell>
          <cell r="DC34" t="e">
            <v>#VALUE!</v>
          </cell>
          <cell r="DD34" t="e">
            <v>#VALUE!</v>
          </cell>
          <cell r="DE34" t="e">
            <v>#VALUE!</v>
          </cell>
          <cell r="DF34" t="e">
            <v>#VALUE!</v>
          </cell>
          <cell r="DG34" t="e">
            <v>#VALUE!</v>
          </cell>
          <cell r="DH34" t="e">
            <v>#VALUE!</v>
          </cell>
          <cell r="DI34" t="e">
            <v>#VALUE!</v>
          </cell>
          <cell r="DJ34" t="e">
            <v>#VALUE!</v>
          </cell>
          <cell r="DK34" t="e">
            <v>#VALUE!</v>
          </cell>
          <cell r="DL34" t="e">
            <v>#VALUE!</v>
          </cell>
          <cell r="DM34" t="e">
            <v>#VALUE!</v>
          </cell>
        </row>
        <row r="35">
          <cell r="C35" t="str">
            <v>F2.4-3.H</v>
          </cell>
          <cell r="D35" t="str">
            <v>Gebäudeautomation</v>
          </cell>
          <cell r="F35" t="str">
            <v>E3.H*E3Hi/100</v>
          </cell>
          <cell r="G35">
            <v>187.85579999999999</v>
          </cell>
          <cell r="H35">
            <v>187.85579999999999</v>
          </cell>
          <cell r="J35" t="str">
            <v>€/Jahr</v>
          </cell>
          <cell r="K35" t="str">
            <v>1</v>
          </cell>
          <cell r="L35" t="str">
            <v>PTECHNIK</v>
          </cell>
          <cell r="M35">
            <v>2</v>
          </cell>
          <cell r="N35">
            <v>1.0049261083743843</v>
          </cell>
          <cell r="O35">
            <v>7416.0769302200579</v>
          </cell>
          <cell r="P35" t="str">
            <v>€</v>
          </cell>
          <cell r="Q35">
            <v>0</v>
          </cell>
          <cell r="R35">
            <v>188.78119802955666</v>
          </cell>
          <cell r="S35">
            <v>378.49235269965516</v>
          </cell>
          <cell r="T35">
            <v>569.13804507748944</v>
          </cell>
          <cell r="U35">
            <v>760.72287879707994</v>
          </cell>
          <cell r="V35">
            <v>953.25148017046479</v>
          </cell>
          <cell r="W35">
            <v>1146.7284982993842</v>
          </cell>
          <cell r="X35">
            <v>1341.1586051875618</v>
          </cell>
          <cell r="Y35">
            <v>1536.5464958535124</v>
          </cell>
          <cell r="Z35">
            <v>1732.8968884439278</v>
          </cell>
          <cell r="AA35">
            <v>1930.2145243475932</v>
          </cell>
          <cell r="AB35">
            <v>2128.5041683098948</v>
          </cell>
          <cell r="AC35">
            <v>2327.7706085478758</v>
          </cell>
          <cell r="AD35">
            <v>2528.0186568658437</v>
          </cell>
          <cell r="AE35">
            <v>2729.253148771591</v>
          </cell>
          <cell r="AF35">
            <v>2931.4789435931252</v>
          </cell>
          <cell r="AG35">
            <v>3134.7009245960553</v>
          </cell>
          <cell r="AH35">
            <v>3338.9239991014556</v>
          </cell>
          <cell r="AI35">
            <v>3544.153098604424</v>
          </cell>
          <cell r="AJ35">
            <v>3750.3931788931191</v>
          </cell>
          <cell r="AK35">
            <v>3957.6492201684478</v>
          </cell>
          <cell r="AL35">
            <v>4165.9262271643556</v>
          </cell>
          <cell r="AM35">
            <v>4375.2292292686116</v>
          </cell>
          <cell r="AN35">
            <v>4585.5632806443218</v>
          </cell>
          <cell r="AO35">
            <v>4796.9334603519328</v>
          </cell>
          <cell r="AP35">
            <v>5009.3448724718983</v>
          </cell>
          <cell r="AQ35">
            <v>5222.8026462279149</v>
          </cell>
          <cell r="AR35">
            <v>5437.3119361108129</v>
          </cell>
          <cell r="AS35">
            <v>5652.8779220029865</v>
          </cell>
          <cell r="AT35">
            <v>5869.505809303495</v>
          </cell>
          <cell r="AU35">
            <v>6087.2008290537633</v>
          </cell>
          <cell r="AV35">
            <v>6305.9682380638724</v>
          </cell>
          <cell r="AW35">
            <v>6525.8133190395665</v>
          </cell>
          <cell r="AX35">
            <v>6746.7413807097118</v>
          </cell>
          <cell r="AY35">
            <v>6968.7577579545941</v>
          </cell>
          <cell r="AZ35">
            <v>7191.8678119346705</v>
          </cell>
          <cell r="BA35">
            <v>7416.0769302200579</v>
          </cell>
          <cell r="BB35" t="e">
            <v>#VALUE!</v>
          </cell>
          <cell r="BC35" t="e">
            <v>#VALUE!</v>
          </cell>
          <cell r="BD35" t="e">
            <v>#VALUE!</v>
          </cell>
          <cell r="BE35" t="e">
            <v>#VALUE!</v>
          </cell>
          <cell r="BF35" t="e">
            <v>#VALUE!</v>
          </cell>
          <cell r="BG35" t="e">
            <v>#VALUE!</v>
          </cell>
          <cell r="BH35" t="e">
            <v>#VALUE!</v>
          </cell>
          <cell r="BI35" t="e">
            <v>#VALUE!</v>
          </cell>
          <cell r="BJ35" t="e">
            <v>#VALUE!</v>
          </cell>
          <cell r="BK35" t="e">
            <v>#VALUE!</v>
          </cell>
          <cell r="BL35" t="e">
            <v>#VALUE!</v>
          </cell>
          <cell r="BM35" t="e">
            <v>#VALUE!</v>
          </cell>
          <cell r="BN35" t="e">
            <v>#VALUE!</v>
          </cell>
          <cell r="BO35" t="e">
            <v>#VALUE!</v>
          </cell>
          <cell r="BP35" t="e">
            <v>#VALUE!</v>
          </cell>
          <cell r="BQ35" t="e">
            <v>#VALUE!</v>
          </cell>
          <cell r="BR35" t="e">
            <v>#VALUE!</v>
          </cell>
          <cell r="BS35" t="e">
            <v>#VALUE!</v>
          </cell>
          <cell r="BT35" t="e">
            <v>#VALUE!</v>
          </cell>
          <cell r="BU35" t="e">
            <v>#VALUE!</v>
          </cell>
          <cell r="BV35" t="e">
            <v>#VALUE!</v>
          </cell>
          <cell r="BW35" t="e">
            <v>#VALUE!</v>
          </cell>
          <cell r="BX35" t="e">
            <v>#VALUE!</v>
          </cell>
          <cell r="BY35" t="e">
            <v>#VALUE!</v>
          </cell>
          <cell r="BZ35" t="e">
            <v>#VALUE!</v>
          </cell>
          <cell r="CA35" t="e">
            <v>#VALUE!</v>
          </cell>
          <cell r="CB35" t="e">
            <v>#VALUE!</v>
          </cell>
          <cell r="CC35" t="e">
            <v>#VALUE!</v>
          </cell>
          <cell r="CD35" t="e">
            <v>#VALUE!</v>
          </cell>
          <cell r="CE35" t="e">
            <v>#VALUE!</v>
          </cell>
          <cell r="CF35" t="e">
            <v>#VALUE!</v>
          </cell>
          <cell r="CG35" t="e">
            <v>#VALUE!</v>
          </cell>
          <cell r="CH35" t="e">
            <v>#VALUE!</v>
          </cell>
          <cell r="CI35" t="e">
            <v>#VALUE!</v>
          </cell>
          <cell r="CJ35" t="e">
            <v>#VALUE!</v>
          </cell>
          <cell r="CK35" t="e">
            <v>#VALUE!</v>
          </cell>
          <cell r="CL35" t="e">
            <v>#VALUE!</v>
          </cell>
          <cell r="CM35" t="e">
            <v>#VALUE!</v>
          </cell>
          <cell r="CN35" t="e">
            <v>#VALUE!</v>
          </cell>
          <cell r="CO35" t="e">
            <v>#VALUE!</v>
          </cell>
          <cell r="CP35" t="e">
            <v>#VALUE!</v>
          </cell>
          <cell r="CQ35" t="e">
            <v>#VALUE!</v>
          </cell>
          <cell r="CR35" t="e">
            <v>#VALUE!</v>
          </cell>
          <cell r="CS35" t="e">
            <v>#VALUE!</v>
          </cell>
          <cell r="CT35" t="e">
            <v>#VALUE!</v>
          </cell>
          <cell r="CU35" t="e">
            <v>#VALUE!</v>
          </cell>
          <cell r="CV35" t="e">
            <v>#VALUE!</v>
          </cell>
          <cell r="CW35" t="e">
            <v>#VALUE!</v>
          </cell>
          <cell r="CX35" t="e">
            <v>#VALUE!</v>
          </cell>
          <cell r="CY35" t="e">
            <v>#VALUE!</v>
          </cell>
          <cell r="CZ35" t="e">
            <v>#VALUE!</v>
          </cell>
          <cell r="DA35" t="e">
            <v>#VALUE!</v>
          </cell>
          <cell r="DB35" t="e">
            <v>#VALUE!</v>
          </cell>
          <cell r="DC35" t="e">
            <v>#VALUE!</v>
          </cell>
          <cell r="DD35" t="e">
            <v>#VALUE!</v>
          </cell>
          <cell r="DE35" t="e">
            <v>#VALUE!</v>
          </cell>
          <cell r="DF35" t="e">
            <v>#VALUE!</v>
          </cell>
          <cell r="DG35" t="e">
            <v>#VALUE!</v>
          </cell>
          <cell r="DH35" t="e">
            <v>#VALUE!</v>
          </cell>
          <cell r="DI35" t="e">
            <v>#VALUE!</v>
          </cell>
          <cell r="DJ35" t="e">
            <v>#VALUE!</v>
          </cell>
          <cell r="DK35" t="e">
            <v>#VALUE!</v>
          </cell>
          <cell r="DL35" t="e">
            <v>#VALUE!</v>
          </cell>
          <cell r="DM35" t="e">
            <v>#VALUE!</v>
          </cell>
        </row>
        <row r="36">
          <cell r="C36" t="str">
            <v>F2.4-3.I</v>
          </cell>
          <cell r="D36" t="str">
            <v>Spezielle Anlagen</v>
          </cell>
          <cell r="F36" t="str">
            <v>E3.I*E3Ii/100</v>
          </cell>
          <cell r="G36">
            <v>0</v>
          </cell>
          <cell r="H36">
            <v>0</v>
          </cell>
          <cell r="J36" t="str">
            <v>€/Jahr</v>
          </cell>
          <cell r="K36" t="str">
            <v>1</v>
          </cell>
          <cell r="L36" t="str">
            <v>PTECHNIK</v>
          </cell>
          <cell r="M36">
            <v>2</v>
          </cell>
          <cell r="N36">
            <v>1.0049261083743843</v>
          </cell>
          <cell r="O36">
            <v>0</v>
          </cell>
          <cell r="P36" t="str">
            <v>€</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t="e">
            <v>#VALUE!</v>
          </cell>
          <cell r="BC36" t="e">
            <v>#VALUE!</v>
          </cell>
          <cell r="BD36" t="e">
            <v>#VALUE!</v>
          </cell>
          <cell r="BE36" t="e">
            <v>#VALUE!</v>
          </cell>
          <cell r="BF36" t="e">
            <v>#VALUE!</v>
          </cell>
          <cell r="BG36" t="e">
            <v>#VALUE!</v>
          </cell>
          <cell r="BH36" t="e">
            <v>#VALUE!</v>
          </cell>
          <cell r="BI36" t="e">
            <v>#VALUE!</v>
          </cell>
          <cell r="BJ36" t="e">
            <v>#VALUE!</v>
          </cell>
          <cell r="BK36" t="e">
            <v>#VALUE!</v>
          </cell>
          <cell r="BL36" t="e">
            <v>#VALUE!</v>
          </cell>
          <cell r="BM36" t="e">
            <v>#VALUE!</v>
          </cell>
          <cell r="BN36" t="e">
            <v>#VALUE!</v>
          </cell>
          <cell r="BO36" t="e">
            <v>#VALUE!</v>
          </cell>
          <cell r="BP36" t="e">
            <v>#VALUE!</v>
          </cell>
          <cell r="BQ36" t="e">
            <v>#VALUE!</v>
          </cell>
          <cell r="BR36" t="e">
            <v>#VALUE!</v>
          </cell>
          <cell r="BS36" t="e">
            <v>#VALUE!</v>
          </cell>
          <cell r="BT36" t="e">
            <v>#VALUE!</v>
          </cell>
          <cell r="BU36" t="e">
            <v>#VALUE!</v>
          </cell>
          <cell r="BV36" t="e">
            <v>#VALUE!</v>
          </cell>
          <cell r="BW36" t="e">
            <v>#VALUE!</v>
          </cell>
          <cell r="BX36" t="e">
            <v>#VALUE!</v>
          </cell>
          <cell r="BY36" t="e">
            <v>#VALUE!</v>
          </cell>
          <cell r="BZ36" t="e">
            <v>#VALUE!</v>
          </cell>
          <cell r="CA36" t="e">
            <v>#VALUE!</v>
          </cell>
          <cell r="CB36" t="e">
            <v>#VALUE!</v>
          </cell>
          <cell r="CC36" t="e">
            <v>#VALUE!</v>
          </cell>
          <cell r="CD36" t="e">
            <v>#VALUE!</v>
          </cell>
          <cell r="CE36" t="e">
            <v>#VALUE!</v>
          </cell>
          <cell r="CF36" t="e">
            <v>#VALUE!</v>
          </cell>
          <cell r="CG36" t="e">
            <v>#VALUE!</v>
          </cell>
          <cell r="CH36" t="e">
            <v>#VALUE!</v>
          </cell>
          <cell r="CI36" t="e">
            <v>#VALUE!</v>
          </cell>
          <cell r="CJ36" t="e">
            <v>#VALUE!</v>
          </cell>
          <cell r="CK36" t="e">
            <v>#VALUE!</v>
          </cell>
          <cell r="CL36" t="e">
            <v>#VALUE!</v>
          </cell>
          <cell r="CM36" t="e">
            <v>#VALUE!</v>
          </cell>
          <cell r="CN36" t="e">
            <v>#VALUE!</v>
          </cell>
          <cell r="CO36" t="e">
            <v>#VALUE!</v>
          </cell>
          <cell r="CP36" t="e">
            <v>#VALUE!</v>
          </cell>
          <cell r="CQ36" t="e">
            <v>#VALUE!</v>
          </cell>
          <cell r="CR36" t="e">
            <v>#VALUE!</v>
          </cell>
          <cell r="CS36" t="e">
            <v>#VALUE!</v>
          </cell>
          <cell r="CT36" t="e">
            <v>#VALUE!</v>
          </cell>
          <cell r="CU36" t="e">
            <v>#VALUE!</v>
          </cell>
          <cell r="CV36" t="e">
            <v>#VALUE!</v>
          </cell>
          <cell r="CW36" t="e">
            <v>#VALUE!</v>
          </cell>
          <cell r="CX36" t="e">
            <v>#VALUE!</v>
          </cell>
          <cell r="CY36" t="e">
            <v>#VALUE!</v>
          </cell>
          <cell r="CZ36" t="e">
            <v>#VALUE!</v>
          </cell>
          <cell r="DA36" t="e">
            <v>#VALUE!</v>
          </cell>
          <cell r="DB36" t="e">
            <v>#VALUE!</v>
          </cell>
          <cell r="DC36" t="e">
            <v>#VALUE!</v>
          </cell>
          <cell r="DD36" t="e">
            <v>#VALUE!</v>
          </cell>
          <cell r="DE36" t="e">
            <v>#VALUE!</v>
          </cell>
          <cell r="DF36" t="e">
            <v>#VALUE!</v>
          </cell>
          <cell r="DG36" t="e">
            <v>#VALUE!</v>
          </cell>
          <cell r="DH36" t="e">
            <v>#VALUE!</v>
          </cell>
          <cell r="DI36" t="e">
            <v>#VALUE!</v>
          </cell>
          <cell r="DJ36" t="e">
            <v>#VALUE!</v>
          </cell>
          <cell r="DK36" t="e">
            <v>#VALUE!</v>
          </cell>
          <cell r="DL36" t="e">
            <v>#VALUE!</v>
          </cell>
          <cell r="DM36" t="e">
            <v>#VALUE!</v>
          </cell>
        </row>
        <row r="37">
          <cell r="C37" t="str">
            <v>F2.4-4.B</v>
          </cell>
          <cell r="D37" t="str">
            <v>Dachverkleidung</v>
          </cell>
          <cell r="F37" t="str">
            <v>E4.B*E4Bi/100</v>
          </cell>
          <cell r="G37">
            <v>2504.22705</v>
          </cell>
          <cell r="H37">
            <v>2504.22705</v>
          </cell>
          <cell r="J37" t="str">
            <v>€/Jahr</v>
          </cell>
          <cell r="K37" t="str">
            <v>1</v>
          </cell>
          <cell r="L37" t="str">
            <v>PTECHNIK</v>
          </cell>
          <cell r="M37">
            <v>2</v>
          </cell>
          <cell r="N37">
            <v>1.0049261083743843</v>
          </cell>
          <cell r="O37">
            <v>98860.617843782486</v>
          </cell>
          <cell r="P37" t="str">
            <v>€</v>
          </cell>
          <cell r="Q37">
            <v>0</v>
          </cell>
          <cell r="R37">
            <v>2516.5631438423648</v>
          </cell>
          <cell r="S37">
            <v>5045.5231504623061</v>
          </cell>
          <cell r="T37">
            <v>7586.9410881493595</v>
          </cell>
          <cell r="U37">
            <v>10140.878326021975</v>
          </cell>
          <cell r="V37">
            <v>12707.396535509772</v>
          </cell>
          <cell r="W37">
            <v>15286.557691842345</v>
          </cell>
          <cell r="X37">
            <v>17878.424075546045</v>
          </cell>
          <cell r="Y37">
            <v>20483.058273947776</v>
          </cell>
          <cell r="Z37">
            <v>23100.523182686487</v>
          </cell>
          <cell r="AA37">
            <v>25730.88200723175</v>
          </cell>
          <cell r="AB37">
            <v>28374.19826441021</v>
          </cell>
          <cell r="AC37">
            <v>31030.53578393934</v>
          </cell>
          <cell r="AD37">
            <v>33699.958709968574</v>
          </cell>
          <cell r="AE37">
            <v>36382.531502628575</v>
          </cell>
          <cell r="AF37">
            <v>39078.318939587327</v>
          </cell>
          <cell r="AG37">
            <v>41787.386117614958</v>
          </cell>
          <cell r="AH37">
            <v>44509.798454154952</v>
          </cell>
          <cell r="AI37">
            <v>47245.621688904554</v>
          </cell>
          <cell r="AJ37">
            <v>49994.921885401665</v>
          </cell>
          <cell r="AK37">
            <v>52757.765432620297</v>
          </cell>
          <cell r="AL37">
            <v>55534.219046574151</v>
          </cell>
          <cell r="AM37">
            <v>58324.349771926711</v>
          </cell>
          <cell r="AN37">
            <v>61128.224983611108</v>
          </cell>
          <cell r="AO37">
            <v>63945.912388456534</v>
          </cell>
          <cell r="AP37">
            <v>66777.480026823381</v>
          </cell>
          <cell r="AQ37">
            <v>69622.996274246121</v>
          </cell>
          <cell r="AR37">
            <v>72482.529843084805</v>
          </cell>
          <cell r="AS37">
            <v>75356.149784183755</v>
          </cell>
          <cell r="AT37">
            <v>78243.925488539375</v>
          </cell>
          <cell r="AU37">
            <v>81145.926688975582</v>
          </cell>
          <cell r="AV37">
            <v>84062.223461827583</v>
          </cell>
          <cell r="AW37">
            <v>86992.886228634743</v>
          </cell>
          <cell r="AX37">
            <v>89937.985757839837</v>
          </cell>
          <cell r="AY37">
            <v>92897.593166499239</v>
          </cell>
          <cell r="AZ37">
            <v>95871.779921999303</v>
          </cell>
          <cell r="BA37">
            <v>98860.617843782486</v>
          </cell>
          <cell r="BB37" t="e">
            <v>#VALUE!</v>
          </cell>
          <cell r="BC37" t="e">
            <v>#VALUE!</v>
          </cell>
          <cell r="BD37" t="e">
            <v>#VALUE!</v>
          </cell>
          <cell r="BE37" t="e">
            <v>#VALUE!</v>
          </cell>
          <cell r="BF37" t="e">
            <v>#VALUE!</v>
          </cell>
          <cell r="BG37" t="e">
            <v>#VALUE!</v>
          </cell>
          <cell r="BH37" t="e">
            <v>#VALUE!</v>
          </cell>
          <cell r="BI37" t="e">
            <v>#VALUE!</v>
          </cell>
          <cell r="BJ37" t="e">
            <v>#VALUE!</v>
          </cell>
          <cell r="BK37" t="e">
            <v>#VALUE!</v>
          </cell>
          <cell r="BL37" t="e">
            <v>#VALUE!</v>
          </cell>
          <cell r="BM37" t="e">
            <v>#VALUE!</v>
          </cell>
          <cell r="BN37" t="e">
            <v>#VALUE!</v>
          </cell>
          <cell r="BO37" t="e">
            <v>#VALUE!</v>
          </cell>
          <cell r="BP37" t="e">
            <v>#VALUE!</v>
          </cell>
          <cell r="BQ37" t="e">
            <v>#VALUE!</v>
          </cell>
          <cell r="BR37" t="e">
            <v>#VALUE!</v>
          </cell>
          <cell r="BS37" t="e">
            <v>#VALUE!</v>
          </cell>
          <cell r="BT37" t="e">
            <v>#VALUE!</v>
          </cell>
          <cell r="BU37" t="e">
            <v>#VALUE!</v>
          </cell>
          <cell r="BV37" t="e">
            <v>#VALUE!</v>
          </cell>
          <cell r="BW37" t="e">
            <v>#VALUE!</v>
          </cell>
          <cell r="BX37" t="e">
            <v>#VALUE!</v>
          </cell>
          <cell r="BY37" t="e">
            <v>#VALUE!</v>
          </cell>
          <cell r="BZ37" t="e">
            <v>#VALUE!</v>
          </cell>
          <cell r="CA37" t="e">
            <v>#VALUE!</v>
          </cell>
          <cell r="CB37" t="e">
            <v>#VALUE!</v>
          </cell>
          <cell r="CC37" t="e">
            <v>#VALUE!</v>
          </cell>
          <cell r="CD37" t="e">
            <v>#VALUE!</v>
          </cell>
          <cell r="CE37" t="e">
            <v>#VALUE!</v>
          </cell>
          <cell r="CF37" t="e">
            <v>#VALUE!</v>
          </cell>
          <cell r="CG37" t="e">
            <v>#VALUE!</v>
          </cell>
          <cell r="CH37" t="e">
            <v>#VALUE!</v>
          </cell>
          <cell r="CI37" t="e">
            <v>#VALUE!</v>
          </cell>
          <cell r="CJ37" t="e">
            <v>#VALUE!</v>
          </cell>
          <cell r="CK37" t="e">
            <v>#VALUE!</v>
          </cell>
          <cell r="CL37" t="e">
            <v>#VALUE!</v>
          </cell>
          <cell r="CM37" t="e">
            <v>#VALUE!</v>
          </cell>
          <cell r="CN37" t="e">
            <v>#VALUE!</v>
          </cell>
          <cell r="CO37" t="e">
            <v>#VALUE!</v>
          </cell>
          <cell r="CP37" t="e">
            <v>#VALUE!</v>
          </cell>
          <cell r="CQ37" t="e">
            <v>#VALUE!</v>
          </cell>
          <cell r="CR37" t="e">
            <v>#VALUE!</v>
          </cell>
          <cell r="CS37" t="e">
            <v>#VALUE!</v>
          </cell>
          <cell r="CT37" t="e">
            <v>#VALUE!</v>
          </cell>
          <cell r="CU37" t="e">
            <v>#VALUE!</v>
          </cell>
          <cell r="CV37" t="e">
            <v>#VALUE!</v>
          </cell>
          <cell r="CW37" t="e">
            <v>#VALUE!</v>
          </cell>
          <cell r="CX37" t="e">
            <v>#VALUE!</v>
          </cell>
          <cell r="CY37" t="e">
            <v>#VALUE!</v>
          </cell>
          <cell r="CZ37" t="e">
            <v>#VALUE!</v>
          </cell>
          <cell r="DA37" t="e">
            <v>#VALUE!</v>
          </cell>
          <cell r="DB37" t="e">
            <v>#VALUE!</v>
          </cell>
          <cell r="DC37" t="e">
            <v>#VALUE!</v>
          </cell>
          <cell r="DD37" t="e">
            <v>#VALUE!</v>
          </cell>
          <cell r="DE37" t="e">
            <v>#VALUE!</v>
          </cell>
          <cell r="DF37" t="e">
            <v>#VALUE!</v>
          </cell>
          <cell r="DG37" t="e">
            <v>#VALUE!</v>
          </cell>
          <cell r="DH37" t="e">
            <v>#VALUE!</v>
          </cell>
          <cell r="DI37" t="e">
            <v>#VALUE!</v>
          </cell>
          <cell r="DJ37" t="e">
            <v>#VALUE!</v>
          </cell>
          <cell r="DK37" t="e">
            <v>#VALUE!</v>
          </cell>
          <cell r="DL37" t="e">
            <v>#VALUE!</v>
          </cell>
          <cell r="DM37" t="e">
            <v>#VALUE!</v>
          </cell>
        </row>
        <row r="38">
          <cell r="C38" t="str">
            <v>F2.4-4.C</v>
          </cell>
          <cell r="D38" t="str">
            <v>Fassadenhülle</v>
          </cell>
          <cell r="F38" t="str">
            <v>E4.C*E4Ci/100</v>
          </cell>
          <cell r="G38">
            <v>0</v>
          </cell>
          <cell r="H38">
            <v>0</v>
          </cell>
          <cell r="J38" t="str">
            <v>€/Jahr</v>
          </cell>
          <cell r="K38" t="str">
            <v>1</v>
          </cell>
          <cell r="L38" t="str">
            <v>PTECHNIK</v>
          </cell>
          <cell r="M38">
            <v>2</v>
          </cell>
          <cell r="N38">
            <v>1.0049261083743843</v>
          </cell>
          <cell r="O38">
            <v>0</v>
          </cell>
          <cell r="P38" t="str">
            <v>€</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t="e">
            <v>#VALUE!</v>
          </cell>
          <cell r="BC38" t="e">
            <v>#VALUE!</v>
          </cell>
          <cell r="BD38" t="e">
            <v>#VALUE!</v>
          </cell>
          <cell r="BE38" t="e">
            <v>#VALUE!</v>
          </cell>
          <cell r="BF38" t="e">
            <v>#VALUE!</v>
          </cell>
          <cell r="BG38" t="e">
            <v>#VALUE!</v>
          </cell>
          <cell r="BH38" t="e">
            <v>#VALUE!</v>
          </cell>
          <cell r="BI38" t="e">
            <v>#VALUE!</v>
          </cell>
          <cell r="BJ38" t="e">
            <v>#VALUE!</v>
          </cell>
          <cell r="BK38" t="e">
            <v>#VALUE!</v>
          </cell>
          <cell r="BL38" t="e">
            <v>#VALUE!</v>
          </cell>
          <cell r="BM38" t="e">
            <v>#VALUE!</v>
          </cell>
          <cell r="BN38" t="e">
            <v>#VALUE!</v>
          </cell>
          <cell r="BO38" t="e">
            <v>#VALUE!</v>
          </cell>
          <cell r="BP38" t="e">
            <v>#VALUE!</v>
          </cell>
          <cell r="BQ38" t="e">
            <v>#VALUE!</v>
          </cell>
          <cell r="BR38" t="e">
            <v>#VALUE!</v>
          </cell>
          <cell r="BS38" t="e">
            <v>#VALUE!</v>
          </cell>
          <cell r="BT38" t="e">
            <v>#VALUE!</v>
          </cell>
          <cell r="BU38" t="e">
            <v>#VALUE!</v>
          </cell>
          <cell r="BV38" t="e">
            <v>#VALUE!</v>
          </cell>
          <cell r="BW38" t="e">
            <v>#VALUE!</v>
          </cell>
          <cell r="BX38" t="e">
            <v>#VALUE!</v>
          </cell>
          <cell r="BY38" t="e">
            <v>#VALUE!</v>
          </cell>
          <cell r="BZ38" t="e">
            <v>#VALUE!</v>
          </cell>
          <cell r="CA38" t="e">
            <v>#VALUE!</v>
          </cell>
          <cell r="CB38" t="e">
            <v>#VALUE!</v>
          </cell>
          <cell r="CC38" t="e">
            <v>#VALUE!</v>
          </cell>
          <cell r="CD38" t="e">
            <v>#VALUE!</v>
          </cell>
          <cell r="CE38" t="e">
            <v>#VALUE!</v>
          </cell>
          <cell r="CF38" t="e">
            <v>#VALUE!</v>
          </cell>
          <cell r="CG38" t="e">
            <v>#VALUE!</v>
          </cell>
          <cell r="CH38" t="e">
            <v>#VALUE!</v>
          </cell>
          <cell r="CI38" t="e">
            <v>#VALUE!</v>
          </cell>
          <cell r="CJ38" t="e">
            <v>#VALUE!</v>
          </cell>
          <cell r="CK38" t="e">
            <v>#VALUE!</v>
          </cell>
          <cell r="CL38" t="e">
            <v>#VALUE!</v>
          </cell>
          <cell r="CM38" t="e">
            <v>#VALUE!</v>
          </cell>
          <cell r="CN38" t="e">
            <v>#VALUE!</v>
          </cell>
          <cell r="CO38" t="e">
            <v>#VALUE!</v>
          </cell>
          <cell r="CP38" t="e">
            <v>#VALUE!</v>
          </cell>
          <cell r="CQ38" t="e">
            <v>#VALUE!</v>
          </cell>
          <cell r="CR38" t="e">
            <v>#VALUE!</v>
          </cell>
          <cell r="CS38" t="e">
            <v>#VALUE!</v>
          </cell>
          <cell r="CT38" t="e">
            <v>#VALUE!</v>
          </cell>
          <cell r="CU38" t="e">
            <v>#VALUE!</v>
          </cell>
          <cell r="CV38" t="e">
            <v>#VALUE!</v>
          </cell>
          <cell r="CW38" t="e">
            <v>#VALUE!</v>
          </cell>
          <cell r="CX38" t="e">
            <v>#VALUE!</v>
          </cell>
          <cell r="CY38" t="e">
            <v>#VALUE!</v>
          </cell>
          <cell r="CZ38" t="e">
            <v>#VALUE!</v>
          </cell>
          <cell r="DA38" t="e">
            <v>#VALUE!</v>
          </cell>
          <cell r="DB38" t="e">
            <v>#VALUE!</v>
          </cell>
          <cell r="DC38" t="e">
            <v>#VALUE!</v>
          </cell>
          <cell r="DD38" t="e">
            <v>#VALUE!</v>
          </cell>
          <cell r="DE38" t="e">
            <v>#VALUE!</v>
          </cell>
          <cell r="DF38" t="e">
            <v>#VALUE!</v>
          </cell>
          <cell r="DG38" t="e">
            <v>#VALUE!</v>
          </cell>
          <cell r="DH38" t="e">
            <v>#VALUE!</v>
          </cell>
          <cell r="DI38" t="e">
            <v>#VALUE!</v>
          </cell>
          <cell r="DJ38" t="e">
            <v>#VALUE!</v>
          </cell>
          <cell r="DK38" t="e">
            <v>#VALUE!</v>
          </cell>
          <cell r="DL38" t="e">
            <v>#VALUE!</v>
          </cell>
          <cell r="DM38" t="e">
            <v>#VALUE!</v>
          </cell>
        </row>
        <row r="39">
          <cell r="C39" t="str">
            <v>F2.4-4.D</v>
          </cell>
          <cell r="D39" t="str">
            <v>Innenausbau</v>
          </cell>
          <cell r="F39" t="str">
            <v>E4.D*E4Di/100</v>
          </cell>
          <cell r="G39">
            <v>413.5539</v>
          </cell>
          <cell r="H39">
            <v>413.5539</v>
          </cell>
          <cell r="J39" t="str">
            <v>€/Jahr</v>
          </cell>
          <cell r="K39" t="str">
            <v>1</v>
          </cell>
          <cell r="L39" t="str">
            <v>PTECHNIK</v>
          </cell>
          <cell r="M39">
            <v>2</v>
          </cell>
          <cell r="N39">
            <v>1.0049261083743843</v>
          </cell>
          <cell r="O39">
            <v>16326.073175236183</v>
          </cell>
          <cell r="P39" t="str">
            <v>€</v>
          </cell>
          <cell r="Q39">
            <v>0</v>
          </cell>
          <cell r="R39">
            <v>415.59111133004933</v>
          </cell>
          <cell r="S39">
            <v>833.2294695139459</v>
          </cell>
          <cell r="T39">
            <v>1252.9251595115593</v>
          </cell>
          <cell r="U39">
            <v>1674.6883159623485</v>
          </cell>
          <cell r="V39">
            <v>2098.529123430144</v>
          </cell>
          <cell r="W39">
            <v>2524.4578166490137</v>
          </cell>
          <cell r="X39">
            <v>2952.4846807704444</v>
          </cell>
          <cell r="Y39">
            <v>3382.6200516116828</v>
          </cell>
          <cell r="Z39">
            <v>3814.8743159053452</v>
          </cell>
          <cell r="AA39">
            <v>4249.2579115502003</v>
          </cell>
          <cell r="AB39">
            <v>4685.781327863252</v>
          </cell>
          <cell r="AC39">
            <v>5124.4551058330244</v>
          </cell>
          <cell r="AD39">
            <v>5565.2898383740703</v>
          </cell>
          <cell r="AE39">
            <v>6008.2961705828184</v>
          </cell>
          <cell r="AF39">
            <v>6453.484799994555</v>
          </cell>
          <cell r="AG39">
            <v>6900.8664768418366</v>
          </cell>
          <cell r="AH39">
            <v>7350.4520043139664</v>
          </cell>
          <cell r="AI39">
            <v>7802.2522388179887</v>
          </cell>
          <cell r="AJ39">
            <v>8256.2780902407449</v>
          </cell>
          <cell r="AK39">
            <v>8712.5405222123591</v>
          </cell>
          <cell r="AL39">
            <v>9171.050552371049</v>
          </cell>
          <cell r="AM39">
            <v>9631.8192526290313</v>
          </cell>
          <cell r="AN39">
            <v>10094.857749440016</v>
          </cell>
          <cell r="AO39">
            <v>10560.177224067809</v>
          </cell>
          <cell r="AP39">
            <v>11027.788912856331</v>
          </cell>
          <cell r="AQ39">
            <v>11497.704107500938</v>
          </cell>
          <cell r="AR39">
            <v>11969.934155321145</v>
          </cell>
          <cell r="AS39">
            <v>12444.490459534552</v>
          </cell>
          <cell r="AT39">
            <v>12921.384479532264</v>
          </cell>
          <cell r="AU39">
            <v>13400.627731155584</v>
          </cell>
          <cell r="AV39">
            <v>13882.231786974069</v>
          </cell>
          <cell r="AW39">
            <v>14366.208276565096</v>
          </cell>
          <cell r="AX39">
            <v>14852.568886794479</v>
          </cell>
          <cell r="AY39">
            <v>15341.325362098902</v>
          </cell>
          <cell r="AZ39">
            <v>15832.48950476935</v>
          </cell>
          <cell r="BA39">
            <v>16326.073175236183</v>
          </cell>
          <cell r="BB39" t="e">
            <v>#VALUE!</v>
          </cell>
          <cell r="BC39" t="e">
            <v>#VALUE!</v>
          </cell>
          <cell r="BD39" t="e">
            <v>#VALUE!</v>
          </cell>
          <cell r="BE39" t="e">
            <v>#VALUE!</v>
          </cell>
          <cell r="BF39" t="e">
            <v>#VALUE!</v>
          </cell>
          <cell r="BG39" t="e">
            <v>#VALUE!</v>
          </cell>
          <cell r="BH39" t="e">
            <v>#VALUE!</v>
          </cell>
          <cell r="BI39" t="e">
            <v>#VALUE!</v>
          </cell>
          <cell r="BJ39" t="e">
            <v>#VALUE!</v>
          </cell>
          <cell r="BK39" t="e">
            <v>#VALUE!</v>
          </cell>
          <cell r="BL39" t="e">
            <v>#VALUE!</v>
          </cell>
          <cell r="BM39" t="e">
            <v>#VALUE!</v>
          </cell>
          <cell r="BN39" t="e">
            <v>#VALUE!</v>
          </cell>
          <cell r="BO39" t="e">
            <v>#VALUE!</v>
          </cell>
          <cell r="BP39" t="e">
            <v>#VALUE!</v>
          </cell>
          <cell r="BQ39" t="e">
            <v>#VALUE!</v>
          </cell>
          <cell r="BR39" t="e">
            <v>#VALUE!</v>
          </cell>
          <cell r="BS39" t="e">
            <v>#VALUE!</v>
          </cell>
          <cell r="BT39" t="e">
            <v>#VALUE!</v>
          </cell>
          <cell r="BU39" t="e">
            <v>#VALUE!</v>
          </cell>
          <cell r="BV39" t="e">
            <v>#VALUE!</v>
          </cell>
          <cell r="BW39" t="e">
            <v>#VALUE!</v>
          </cell>
          <cell r="BX39" t="e">
            <v>#VALUE!</v>
          </cell>
          <cell r="BY39" t="e">
            <v>#VALUE!</v>
          </cell>
          <cell r="BZ39" t="e">
            <v>#VALUE!</v>
          </cell>
          <cell r="CA39" t="e">
            <v>#VALUE!</v>
          </cell>
          <cell r="CB39" t="e">
            <v>#VALUE!</v>
          </cell>
          <cell r="CC39" t="e">
            <v>#VALUE!</v>
          </cell>
          <cell r="CD39" t="e">
            <v>#VALUE!</v>
          </cell>
          <cell r="CE39" t="e">
            <v>#VALUE!</v>
          </cell>
          <cell r="CF39" t="e">
            <v>#VALUE!</v>
          </cell>
          <cell r="CG39" t="e">
            <v>#VALUE!</v>
          </cell>
          <cell r="CH39" t="e">
            <v>#VALUE!</v>
          </cell>
          <cell r="CI39" t="e">
            <v>#VALUE!</v>
          </cell>
          <cell r="CJ39" t="e">
            <v>#VALUE!</v>
          </cell>
          <cell r="CK39" t="e">
            <v>#VALUE!</v>
          </cell>
          <cell r="CL39" t="e">
            <v>#VALUE!</v>
          </cell>
          <cell r="CM39" t="e">
            <v>#VALUE!</v>
          </cell>
          <cell r="CN39" t="e">
            <v>#VALUE!</v>
          </cell>
          <cell r="CO39" t="e">
            <v>#VALUE!</v>
          </cell>
          <cell r="CP39" t="e">
            <v>#VALUE!</v>
          </cell>
          <cell r="CQ39" t="e">
            <v>#VALUE!</v>
          </cell>
          <cell r="CR39" t="e">
            <v>#VALUE!</v>
          </cell>
          <cell r="CS39" t="e">
            <v>#VALUE!</v>
          </cell>
          <cell r="CT39" t="e">
            <v>#VALUE!</v>
          </cell>
          <cell r="CU39" t="e">
            <v>#VALUE!</v>
          </cell>
          <cell r="CV39" t="e">
            <v>#VALUE!</v>
          </cell>
          <cell r="CW39" t="e">
            <v>#VALUE!</v>
          </cell>
          <cell r="CX39" t="e">
            <v>#VALUE!</v>
          </cell>
          <cell r="CY39" t="e">
            <v>#VALUE!</v>
          </cell>
          <cell r="CZ39" t="e">
            <v>#VALUE!</v>
          </cell>
          <cell r="DA39" t="e">
            <v>#VALUE!</v>
          </cell>
          <cell r="DB39" t="e">
            <v>#VALUE!</v>
          </cell>
          <cell r="DC39" t="e">
            <v>#VALUE!</v>
          </cell>
          <cell r="DD39" t="e">
            <v>#VALUE!</v>
          </cell>
          <cell r="DE39" t="e">
            <v>#VALUE!</v>
          </cell>
          <cell r="DF39" t="e">
            <v>#VALUE!</v>
          </cell>
          <cell r="DG39" t="e">
            <v>#VALUE!</v>
          </cell>
          <cell r="DH39" t="e">
            <v>#VALUE!</v>
          </cell>
          <cell r="DI39" t="e">
            <v>#VALUE!</v>
          </cell>
          <cell r="DJ39" t="e">
            <v>#VALUE!</v>
          </cell>
          <cell r="DK39" t="e">
            <v>#VALUE!</v>
          </cell>
          <cell r="DL39" t="e">
            <v>#VALUE!</v>
          </cell>
          <cell r="DM39" t="e">
            <v>#VALUE!</v>
          </cell>
        </row>
        <row r="40">
          <cell r="C40" t="str">
            <v>F2.4-5.B</v>
          </cell>
          <cell r="D40" t="str">
            <v>Betriebseinrichtungen</v>
          </cell>
          <cell r="F40" t="str">
            <v>E5.B*E5Bi/100</v>
          </cell>
          <cell r="G40">
            <v>0</v>
          </cell>
          <cell r="H40">
            <v>0</v>
          </cell>
          <cell r="J40" t="str">
            <v>€/Jahr</v>
          </cell>
          <cell r="K40" t="str">
            <v>1</v>
          </cell>
          <cell r="L40" t="str">
            <v>PTECHNIK</v>
          </cell>
          <cell r="M40">
            <v>2</v>
          </cell>
          <cell r="N40">
            <v>1.0049261083743843</v>
          </cell>
          <cell r="O40">
            <v>0</v>
          </cell>
          <cell r="P40" t="str">
            <v>€</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t="e">
            <v>#VALUE!</v>
          </cell>
          <cell r="BC40" t="e">
            <v>#VALUE!</v>
          </cell>
          <cell r="BD40" t="e">
            <v>#VALUE!</v>
          </cell>
          <cell r="BE40" t="e">
            <v>#VALUE!</v>
          </cell>
          <cell r="BF40" t="e">
            <v>#VALUE!</v>
          </cell>
          <cell r="BG40" t="e">
            <v>#VALUE!</v>
          </cell>
          <cell r="BH40" t="e">
            <v>#VALUE!</v>
          </cell>
          <cell r="BI40" t="e">
            <v>#VALUE!</v>
          </cell>
          <cell r="BJ40" t="e">
            <v>#VALUE!</v>
          </cell>
          <cell r="BK40" t="e">
            <v>#VALUE!</v>
          </cell>
          <cell r="BL40" t="e">
            <v>#VALUE!</v>
          </cell>
          <cell r="BM40" t="e">
            <v>#VALUE!</v>
          </cell>
          <cell r="BN40" t="e">
            <v>#VALUE!</v>
          </cell>
          <cell r="BO40" t="e">
            <v>#VALUE!</v>
          </cell>
          <cell r="BP40" t="e">
            <v>#VALUE!</v>
          </cell>
          <cell r="BQ40" t="e">
            <v>#VALUE!</v>
          </cell>
          <cell r="BR40" t="e">
            <v>#VALUE!</v>
          </cell>
          <cell r="BS40" t="e">
            <v>#VALUE!</v>
          </cell>
          <cell r="BT40" t="e">
            <v>#VALUE!</v>
          </cell>
          <cell r="BU40" t="e">
            <v>#VALUE!</v>
          </cell>
          <cell r="BV40" t="e">
            <v>#VALUE!</v>
          </cell>
          <cell r="BW40" t="e">
            <v>#VALUE!</v>
          </cell>
          <cell r="BX40" t="e">
            <v>#VALUE!</v>
          </cell>
          <cell r="BY40" t="e">
            <v>#VALUE!</v>
          </cell>
          <cell r="BZ40" t="e">
            <v>#VALUE!</v>
          </cell>
          <cell r="CA40" t="e">
            <v>#VALUE!</v>
          </cell>
          <cell r="CB40" t="e">
            <v>#VALUE!</v>
          </cell>
          <cell r="CC40" t="e">
            <v>#VALUE!</v>
          </cell>
          <cell r="CD40" t="e">
            <v>#VALUE!</v>
          </cell>
          <cell r="CE40" t="e">
            <v>#VALUE!</v>
          </cell>
          <cell r="CF40" t="e">
            <v>#VALUE!</v>
          </cell>
          <cell r="CG40" t="e">
            <v>#VALUE!</v>
          </cell>
          <cell r="CH40" t="e">
            <v>#VALUE!</v>
          </cell>
          <cell r="CI40" t="e">
            <v>#VALUE!</v>
          </cell>
          <cell r="CJ40" t="e">
            <v>#VALUE!</v>
          </cell>
          <cell r="CK40" t="e">
            <v>#VALUE!</v>
          </cell>
          <cell r="CL40" t="e">
            <v>#VALUE!</v>
          </cell>
          <cell r="CM40" t="e">
            <v>#VALUE!</v>
          </cell>
          <cell r="CN40" t="e">
            <v>#VALUE!</v>
          </cell>
          <cell r="CO40" t="e">
            <v>#VALUE!</v>
          </cell>
          <cell r="CP40" t="e">
            <v>#VALUE!</v>
          </cell>
          <cell r="CQ40" t="e">
            <v>#VALUE!</v>
          </cell>
          <cell r="CR40" t="e">
            <v>#VALUE!</v>
          </cell>
          <cell r="CS40" t="e">
            <v>#VALUE!</v>
          </cell>
          <cell r="CT40" t="e">
            <v>#VALUE!</v>
          </cell>
          <cell r="CU40" t="e">
            <v>#VALUE!</v>
          </cell>
          <cell r="CV40" t="e">
            <v>#VALUE!</v>
          </cell>
          <cell r="CW40" t="e">
            <v>#VALUE!</v>
          </cell>
          <cell r="CX40" t="e">
            <v>#VALUE!</v>
          </cell>
          <cell r="CY40" t="e">
            <v>#VALUE!</v>
          </cell>
          <cell r="CZ40" t="e">
            <v>#VALUE!</v>
          </cell>
          <cell r="DA40" t="e">
            <v>#VALUE!</v>
          </cell>
          <cell r="DB40" t="e">
            <v>#VALUE!</v>
          </cell>
          <cell r="DC40" t="e">
            <v>#VALUE!</v>
          </cell>
          <cell r="DD40" t="e">
            <v>#VALUE!</v>
          </cell>
          <cell r="DE40" t="e">
            <v>#VALUE!</v>
          </cell>
          <cell r="DF40" t="e">
            <v>#VALUE!</v>
          </cell>
          <cell r="DG40" t="e">
            <v>#VALUE!</v>
          </cell>
          <cell r="DH40" t="e">
            <v>#VALUE!</v>
          </cell>
          <cell r="DI40" t="e">
            <v>#VALUE!</v>
          </cell>
          <cell r="DJ40" t="e">
            <v>#VALUE!</v>
          </cell>
          <cell r="DK40" t="e">
            <v>#VALUE!</v>
          </cell>
          <cell r="DL40" t="e">
            <v>#VALUE!</v>
          </cell>
          <cell r="DM40" t="e">
            <v>#VALUE!</v>
          </cell>
        </row>
        <row r="41">
          <cell r="C41" t="str">
            <v>F2.4-5.C</v>
          </cell>
          <cell r="D41" t="str">
            <v>Ausstattungen, Kunstwerke</v>
          </cell>
          <cell r="F41" t="str">
            <v>E5.C*E5Ci/100</v>
          </cell>
          <cell r="G41">
            <v>0</v>
          </cell>
          <cell r="H41">
            <v>0</v>
          </cell>
          <cell r="J41" t="str">
            <v>€/Jahr</v>
          </cell>
          <cell r="K41" t="str">
            <v>1</v>
          </cell>
          <cell r="L41" t="str">
            <v>PTECHNIK</v>
          </cell>
          <cell r="M41">
            <v>2</v>
          </cell>
          <cell r="N41">
            <v>1.0049261083743843</v>
          </cell>
          <cell r="O41">
            <v>0</v>
          </cell>
          <cell r="P41" t="str">
            <v>€</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t="e">
            <v>#VALUE!</v>
          </cell>
          <cell r="BC41" t="e">
            <v>#VALUE!</v>
          </cell>
          <cell r="BD41" t="e">
            <v>#VALUE!</v>
          </cell>
          <cell r="BE41" t="e">
            <v>#VALUE!</v>
          </cell>
          <cell r="BF41" t="e">
            <v>#VALUE!</v>
          </cell>
          <cell r="BG41" t="e">
            <v>#VALUE!</v>
          </cell>
          <cell r="BH41" t="e">
            <v>#VALUE!</v>
          </cell>
          <cell r="BI41" t="e">
            <v>#VALUE!</v>
          </cell>
          <cell r="BJ41" t="e">
            <v>#VALUE!</v>
          </cell>
          <cell r="BK41" t="e">
            <v>#VALUE!</v>
          </cell>
          <cell r="BL41" t="e">
            <v>#VALUE!</v>
          </cell>
          <cell r="BM41" t="e">
            <v>#VALUE!</v>
          </cell>
          <cell r="BN41" t="e">
            <v>#VALUE!</v>
          </cell>
          <cell r="BO41" t="e">
            <v>#VALUE!</v>
          </cell>
          <cell r="BP41" t="e">
            <v>#VALUE!</v>
          </cell>
          <cell r="BQ41" t="e">
            <v>#VALUE!</v>
          </cell>
          <cell r="BR41" t="e">
            <v>#VALUE!</v>
          </cell>
          <cell r="BS41" t="e">
            <v>#VALUE!</v>
          </cell>
          <cell r="BT41" t="e">
            <v>#VALUE!</v>
          </cell>
          <cell r="BU41" t="e">
            <v>#VALUE!</v>
          </cell>
          <cell r="BV41" t="e">
            <v>#VALUE!</v>
          </cell>
          <cell r="BW41" t="e">
            <v>#VALUE!</v>
          </cell>
          <cell r="BX41" t="e">
            <v>#VALUE!</v>
          </cell>
          <cell r="BY41" t="e">
            <v>#VALUE!</v>
          </cell>
          <cell r="BZ41" t="e">
            <v>#VALUE!</v>
          </cell>
          <cell r="CA41" t="e">
            <v>#VALUE!</v>
          </cell>
          <cell r="CB41" t="e">
            <v>#VALUE!</v>
          </cell>
          <cell r="CC41" t="e">
            <v>#VALUE!</v>
          </cell>
          <cell r="CD41" t="e">
            <v>#VALUE!</v>
          </cell>
          <cell r="CE41" t="e">
            <v>#VALUE!</v>
          </cell>
          <cell r="CF41" t="e">
            <v>#VALUE!</v>
          </cell>
          <cell r="CG41" t="e">
            <v>#VALUE!</v>
          </cell>
          <cell r="CH41" t="e">
            <v>#VALUE!</v>
          </cell>
          <cell r="CI41" t="e">
            <v>#VALUE!</v>
          </cell>
          <cell r="CJ41" t="e">
            <v>#VALUE!</v>
          </cell>
          <cell r="CK41" t="e">
            <v>#VALUE!</v>
          </cell>
          <cell r="CL41" t="e">
            <v>#VALUE!</v>
          </cell>
          <cell r="CM41" t="e">
            <v>#VALUE!</v>
          </cell>
          <cell r="CN41" t="e">
            <v>#VALUE!</v>
          </cell>
          <cell r="CO41" t="e">
            <v>#VALUE!</v>
          </cell>
          <cell r="CP41" t="e">
            <v>#VALUE!</v>
          </cell>
          <cell r="CQ41" t="e">
            <v>#VALUE!</v>
          </cell>
          <cell r="CR41" t="e">
            <v>#VALUE!</v>
          </cell>
          <cell r="CS41" t="e">
            <v>#VALUE!</v>
          </cell>
          <cell r="CT41" t="e">
            <v>#VALUE!</v>
          </cell>
          <cell r="CU41" t="e">
            <v>#VALUE!</v>
          </cell>
          <cell r="CV41" t="e">
            <v>#VALUE!</v>
          </cell>
          <cell r="CW41" t="e">
            <v>#VALUE!</v>
          </cell>
          <cell r="CX41" t="e">
            <v>#VALUE!</v>
          </cell>
          <cell r="CY41" t="e">
            <v>#VALUE!</v>
          </cell>
          <cell r="CZ41" t="e">
            <v>#VALUE!</v>
          </cell>
          <cell r="DA41" t="e">
            <v>#VALUE!</v>
          </cell>
          <cell r="DB41" t="e">
            <v>#VALUE!</v>
          </cell>
          <cell r="DC41" t="e">
            <v>#VALUE!</v>
          </cell>
          <cell r="DD41" t="e">
            <v>#VALUE!</v>
          </cell>
          <cell r="DE41" t="e">
            <v>#VALUE!</v>
          </cell>
          <cell r="DF41" t="e">
            <v>#VALUE!</v>
          </cell>
          <cell r="DG41" t="e">
            <v>#VALUE!</v>
          </cell>
          <cell r="DH41" t="e">
            <v>#VALUE!</v>
          </cell>
          <cell r="DI41" t="e">
            <v>#VALUE!</v>
          </cell>
          <cell r="DJ41" t="e">
            <v>#VALUE!</v>
          </cell>
          <cell r="DK41" t="e">
            <v>#VALUE!</v>
          </cell>
          <cell r="DL41" t="e">
            <v>#VALUE!</v>
          </cell>
          <cell r="DM41" t="e">
            <v>#VALUE!</v>
          </cell>
        </row>
        <row r="42">
          <cell r="C42" t="str">
            <v>F2.4-6.C</v>
          </cell>
          <cell r="D42" t="str">
            <v>Befestigte Flächen</v>
          </cell>
          <cell r="F42" t="str">
            <v>E6.C*E6Ci/100</v>
          </cell>
          <cell r="G42">
            <v>0</v>
          </cell>
          <cell r="H42">
            <v>0</v>
          </cell>
          <cell r="J42" t="str">
            <v>€/Jahr</v>
          </cell>
          <cell r="K42" t="str">
            <v>1</v>
          </cell>
          <cell r="L42" t="str">
            <v>PTECHNIK</v>
          </cell>
          <cell r="M42">
            <v>2</v>
          </cell>
          <cell r="N42">
            <v>1.0049261083743843</v>
          </cell>
          <cell r="O42">
            <v>0</v>
          </cell>
          <cell r="P42" t="str">
            <v>€</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t="e">
            <v>#VALUE!</v>
          </cell>
          <cell r="BC42" t="e">
            <v>#VALUE!</v>
          </cell>
          <cell r="BD42" t="e">
            <v>#VALUE!</v>
          </cell>
          <cell r="BE42" t="e">
            <v>#VALUE!</v>
          </cell>
          <cell r="BF42" t="e">
            <v>#VALUE!</v>
          </cell>
          <cell r="BG42" t="e">
            <v>#VALUE!</v>
          </cell>
          <cell r="BH42" t="e">
            <v>#VALUE!</v>
          </cell>
          <cell r="BI42" t="e">
            <v>#VALUE!</v>
          </cell>
          <cell r="BJ42" t="e">
            <v>#VALUE!</v>
          </cell>
          <cell r="BK42" t="e">
            <v>#VALUE!</v>
          </cell>
          <cell r="BL42" t="e">
            <v>#VALUE!</v>
          </cell>
          <cell r="BM42" t="e">
            <v>#VALUE!</v>
          </cell>
          <cell r="BN42" t="e">
            <v>#VALUE!</v>
          </cell>
          <cell r="BO42" t="e">
            <v>#VALUE!</v>
          </cell>
          <cell r="BP42" t="e">
            <v>#VALUE!</v>
          </cell>
          <cell r="BQ42" t="e">
            <v>#VALUE!</v>
          </cell>
          <cell r="BR42" t="e">
            <v>#VALUE!</v>
          </cell>
          <cell r="BS42" t="e">
            <v>#VALUE!</v>
          </cell>
          <cell r="BT42" t="e">
            <v>#VALUE!</v>
          </cell>
          <cell r="BU42" t="e">
            <v>#VALUE!</v>
          </cell>
          <cell r="BV42" t="e">
            <v>#VALUE!</v>
          </cell>
          <cell r="BW42" t="e">
            <v>#VALUE!</v>
          </cell>
          <cell r="BX42" t="e">
            <v>#VALUE!</v>
          </cell>
          <cell r="BY42" t="e">
            <v>#VALUE!</v>
          </cell>
          <cell r="BZ42" t="e">
            <v>#VALUE!</v>
          </cell>
          <cell r="CA42" t="e">
            <v>#VALUE!</v>
          </cell>
          <cell r="CB42" t="e">
            <v>#VALUE!</v>
          </cell>
          <cell r="CC42" t="e">
            <v>#VALUE!</v>
          </cell>
          <cell r="CD42" t="e">
            <v>#VALUE!</v>
          </cell>
          <cell r="CE42" t="e">
            <v>#VALUE!</v>
          </cell>
          <cell r="CF42" t="e">
            <v>#VALUE!</v>
          </cell>
          <cell r="CG42" t="e">
            <v>#VALUE!</v>
          </cell>
          <cell r="CH42" t="e">
            <v>#VALUE!</v>
          </cell>
          <cell r="CI42" t="e">
            <v>#VALUE!</v>
          </cell>
          <cell r="CJ42" t="e">
            <v>#VALUE!</v>
          </cell>
          <cell r="CK42" t="e">
            <v>#VALUE!</v>
          </cell>
          <cell r="CL42" t="e">
            <v>#VALUE!</v>
          </cell>
          <cell r="CM42" t="e">
            <v>#VALUE!</v>
          </cell>
          <cell r="CN42" t="e">
            <v>#VALUE!</v>
          </cell>
          <cell r="CO42" t="e">
            <v>#VALUE!</v>
          </cell>
          <cell r="CP42" t="e">
            <v>#VALUE!</v>
          </cell>
          <cell r="CQ42" t="e">
            <v>#VALUE!</v>
          </cell>
          <cell r="CR42" t="e">
            <v>#VALUE!</v>
          </cell>
          <cell r="CS42" t="e">
            <v>#VALUE!</v>
          </cell>
          <cell r="CT42" t="e">
            <v>#VALUE!</v>
          </cell>
          <cell r="CU42" t="e">
            <v>#VALUE!</v>
          </cell>
          <cell r="CV42" t="e">
            <v>#VALUE!</v>
          </cell>
          <cell r="CW42" t="e">
            <v>#VALUE!</v>
          </cell>
          <cell r="CX42" t="e">
            <v>#VALUE!</v>
          </cell>
          <cell r="CY42" t="e">
            <v>#VALUE!</v>
          </cell>
          <cell r="CZ42" t="e">
            <v>#VALUE!</v>
          </cell>
          <cell r="DA42" t="e">
            <v>#VALUE!</v>
          </cell>
          <cell r="DB42" t="e">
            <v>#VALUE!</v>
          </cell>
          <cell r="DC42" t="e">
            <v>#VALUE!</v>
          </cell>
          <cell r="DD42" t="e">
            <v>#VALUE!</v>
          </cell>
          <cell r="DE42" t="e">
            <v>#VALUE!</v>
          </cell>
          <cell r="DF42" t="e">
            <v>#VALUE!</v>
          </cell>
          <cell r="DG42" t="e">
            <v>#VALUE!</v>
          </cell>
          <cell r="DH42" t="e">
            <v>#VALUE!</v>
          </cell>
          <cell r="DI42" t="e">
            <v>#VALUE!</v>
          </cell>
          <cell r="DJ42" t="e">
            <v>#VALUE!</v>
          </cell>
          <cell r="DK42" t="e">
            <v>#VALUE!</v>
          </cell>
          <cell r="DL42" t="e">
            <v>#VALUE!</v>
          </cell>
          <cell r="DM42" t="e">
            <v>#VALUE!</v>
          </cell>
        </row>
        <row r="43">
          <cell r="C43" t="str">
            <v>F2.4-6.D</v>
          </cell>
          <cell r="D43" t="str">
            <v>Bauteile Außenanlagen</v>
          </cell>
          <cell r="F43" t="str">
            <v>E6.D*E6Di/100</v>
          </cell>
          <cell r="G43">
            <v>0</v>
          </cell>
          <cell r="H43">
            <v>0</v>
          </cell>
          <cell r="J43" t="str">
            <v>€/Jahr</v>
          </cell>
          <cell r="K43" t="str">
            <v>1</v>
          </cell>
          <cell r="L43" t="str">
            <v>PTECHNIK</v>
          </cell>
          <cell r="M43">
            <v>2</v>
          </cell>
          <cell r="N43">
            <v>1.0049261083743843</v>
          </cell>
          <cell r="O43">
            <v>0</v>
          </cell>
          <cell r="P43" t="str">
            <v>€</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t="e">
            <v>#VALUE!</v>
          </cell>
          <cell r="BC43" t="e">
            <v>#VALUE!</v>
          </cell>
          <cell r="BD43" t="e">
            <v>#VALUE!</v>
          </cell>
          <cell r="BE43" t="e">
            <v>#VALUE!</v>
          </cell>
          <cell r="BF43" t="e">
            <v>#VALUE!</v>
          </cell>
          <cell r="BG43" t="e">
            <v>#VALUE!</v>
          </cell>
          <cell r="BH43" t="e">
            <v>#VALUE!</v>
          </cell>
          <cell r="BI43" t="e">
            <v>#VALUE!</v>
          </cell>
          <cell r="BJ43" t="e">
            <v>#VALUE!</v>
          </cell>
          <cell r="BK43" t="e">
            <v>#VALUE!</v>
          </cell>
          <cell r="BL43" t="e">
            <v>#VALUE!</v>
          </cell>
          <cell r="BM43" t="e">
            <v>#VALUE!</v>
          </cell>
          <cell r="BN43" t="e">
            <v>#VALUE!</v>
          </cell>
          <cell r="BO43" t="e">
            <v>#VALUE!</v>
          </cell>
          <cell r="BP43" t="e">
            <v>#VALUE!</v>
          </cell>
          <cell r="BQ43" t="e">
            <v>#VALUE!</v>
          </cell>
          <cell r="BR43" t="e">
            <v>#VALUE!</v>
          </cell>
          <cell r="BS43" t="e">
            <v>#VALUE!</v>
          </cell>
          <cell r="BT43" t="e">
            <v>#VALUE!</v>
          </cell>
          <cell r="BU43" t="e">
            <v>#VALUE!</v>
          </cell>
          <cell r="BV43" t="e">
            <v>#VALUE!</v>
          </cell>
          <cell r="BW43" t="e">
            <v>#VALUE!</v>
          </cell>
          <cell r="BX43" t="e">
            <v>#VALUE!</v>
          </cell>
          <cell r="BY43" t="e">
            <v>#VALUE!</v>
          </cell>
          <cell r="BZ43" t="e">
            <v>#VALUE!</v>
          </cell>
          <cell r="CA43" t="e">
            <v>#VALUE!</v>
          </cell>
          <cell r="CB43" t="e">
            <v>#VALUE!</v>
          </cell>
          <cell r="CC43" t="e">
            <v>#VALUE!</v>
          </cell>
          <cell r="CD43" t="e">
            <v>#VALUE!</v>
          </cell>
          <cell r="CE43" t="e">
            <v>#VALUE!</v>
          </cell>
          <cell r="CF43" t="e">
            <v>#VALUE!</v>
          </cell>
          <cell r="CG43" t="e">
            <v>#VALUE!</v>
          </cell>
          <cell r="CH43" t="e">
            <v>#VALUE!</v>
          </cell>
          <cell r="CI43" t="e">
            <v>#VALUE!</v>
          </cell>
          <cell r="CJ43" t="e">
            <v>#VALUE!</v>
          </cell>
          <cell r="CK43" t="e">
            <v>#VALUE!</v>
          </cell>
          <cell r="CL43" t="e">
            <v>#VALUE!</v>
          </cell>
          <cell r="CM43" t="e">
            <v>#VALUE!</v>
          </cell>
          <cell r="CN43" t="e">
            <v>#VALUE!</v>
          </cell>
          <cell r="CO43" t="e">
            <v>#VALUE!</v>
          </cell>
          <cell r="CP43" t="e">
            <v>#VALUE!</v>
          </cell>
          <cell r="CQ43" t="e">
            <v>#VALUE!</v>
          </cell>
          <cell r="CR43" t="e">
            <v>#VALUE!</v>
          </cell>
          <cell r="CS43" t="e">
            <v>#VALUE!</v>
          </cell>
          <cell r="CT43" t="e">
            <v>#VALUE!</v>
          </cell>
          <cell r="CU43" t="e">
            <v>#VALUE!</v>
          </cell>
          <cell r="CV43" t="e">
            <v>#VALUE!</v>
          </cell>
          <cell r="CW43" t="e">
            <v>#VALUE!</v>
          </cell>
          <cell r="CX43" t="e">
            <v>#VALUE!</v>
          </cell>
          <cell r="CY43" t="e">
            <v>#VALUE!</v>
          </cell>
          <cell r="CZ43" t="e">
            <v>#VALUE!</v>
          </cell>
          <cell r="DA43" t="e">
            <v>#VALUE!</v>
          </cell>
          <cell r="DB43" t="e">
            <v>#VALUE!</v>
          </cell>
          <cell r="DC43" t="e">
            <v>#VALUE!</v>
          </cell>
          <cell r="DD43" t="e">
            <v>#VALUE!</v>
          </cell>
          <cell r="DE43" t="e">
            <v>#VALUE!</v>
          </cell>
          <cell r="DF43" t="e">
            <v>#VALUE!</v>
          </cell>
          <cell r="DG43" t="e">
            <v>#VALUE!</v>
          </cell>
          <cell r="DH43" t="e">
            <v>#VALUE!</v>
          </cell>
          <cell r="DI43" t="e">
            <v>#VALUE!</v>
          </cell>
          <cell r="DJ43" t="e">
            <v>#VALUE!</v>
          </cell>
          <cell r="DK43" t="e">
            <v>#VALUE!</v>
          </cell>
          <cell r="DL43" t="e">
            <v>#VALUE!</v>
          </cell>
          <cell r="DM43" t="e">
            <v>#VALUE!</v>
          </cell>
        </row>
        <row r="44">
          <cell r="C44" t="str">
            <v>F2.5</v>
          </cell>
          <cell r="D44" t="str">
            <v>Sonstiges</v>
          </cell>
          <cell r="G44">
            <v>0</v>
          </cell>
          <cell r="J44" t="str">
            <v>€/Jahr</v>
          </cell>
          <cell r="K44" t="str">
            <v>1</v>
          </cell>
          <cell r="L44" t="str">
            <v>PTECHNIK</v>
          </cell>
          <cell r="M44">
            <v>2</v>
          </cell>
          <cell r="N44">
            <v>1.0049261083743843</v>
          </cell>
          <cell r="O44">
            <v>0</v>
          </cell>
          <cell r="P44" t="str">
            <v>€</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t="e">
            <v>#VALUE!</v>
          </cell>
          <cell r="BC44" t="e">
            <v>#VALUE!</v>
          </cell>
          <cell r="BD44" t="e">
            <v>#VALUE!</v>
          </cell>
          <cell r="BE44" t="e">
            <v>#VALUE!</v>
          </cell>
          <cell r="BF44" t="e">
            <v>#VALUE!</v>
          </cell>
          <cell r="BG44" t="e">
            <v>#VALUE!</v>
          </cell>
          <cell r="BH44" t="e">
            <v>#VALUE!</v>
          </cell>
          <cell r="BI44" t="e">
            <v>#VALUE!</v>
          </cell>
          <cell r="BJ44" t="e">
            <v>#VALUE!</v>
          </cell>
          <cell r="BK44" t="e">
            <v>#VALUE!</v>
          </cell>
          <cell r="BL44" t="e">
            <v>#VALUE!</v>
          </cell>
          <cell r="BM44" t="e">
            <v>#VALUE!</v>
          </cell>
          <cell r="BN44" t="e">
            <v>#VALUE!</v>
          </cell>
          <cell r="BO44" t="e">
            <v>#VALUE!</v>
          </cell>
          <cell r="BP44" t="e">
            <v>#VALUE!</v>
          </cell>
          <cell r="BQ44" t="e">
            <v>#VALUE!</v>
          </cell>
          <cell r="BR44" t="e">
            <v>#VALUE!</v>
          </cell>
          <cell r="BS44" t="e">
            <v>#VALUE!</v>
          </cell>
          <cell r="BT44" t="e">
            <v>#VALUE!</v>
          </cell>
          <cell r="BU44" t="e">
            <v>#VALUE!</v>
          </cell>
          <cell r="BV44" t="e">
            <v>#VALUE!</v>
          </cell>
          <cell r="BW44" t="e">
            <v>#VALUE!</v>
          </cell>
          <cell r="BX44" t="e">
            <v>#VALUE!</v>
          </cell>
          <cell r="BY44" t="e">
            <v>#VALUE!</v>
          </cell>
          <cell r="BZ44" t="e">
            <v>#VALUE!</v>
          </cell>
          <cell r="CA44" t="e">
            <v>#VALUE!</v>
          </cell>
          <cell r="CB44" t="e">
            <v>#VALUE!</v>
          </cell>
          <cell r="CC44" t="e">
            <v>#VALUE!</v>
          </cell>
          <cell r="CD44" t="e">
            <v>#VALUE!</v>
          </cell>
          <cell r="CE44" t="e">
            <v>#VALUE!</v>
          </cell>
          <cell r="CF44" t="e">
            <v>#VALUE!</v>
          </cell>
          <cell r="CG44" t="e">
            <v>#VALUE!</v>
          </cell>
          <cell r="CH44" t="e">
            <v>#VALUE!</v>
          </cell>
          <cell r="CI44" t="e">
            <v>#VALUE!</v>
          </cell>
          <cell r="CJ44" t="e">
            <v>#VALUE!</v>
          </cell>
          <cell r="CK44" t="e">
            <v>#VALUE!</v>
          </cell>
          <cell r="CL44" t="e">
            <v>#VALUE!</v>
          </cell>
          <cell r="CM44" t="e">
            <v>#VALUE!</v>
          </cell>
          <cell r="CN44" t="e">
            <v>#VALUE!</v>
          </cell>
          <cell r="CO44" t="e">
            <v>#VALUE!</v>
          </cell>
          <cell r="CP44" t="e">
            <v>#VALUE!</v>
          </cell>
          <cell r="CQ44" t="e">
            <v>#VALUE!</v>
          </cell>
          <cell r="CR44" t="e">
            <v>#VALUE!</v>
          </cell>
          <cell r="CS44" t="e">
            <v>#VALUE!</v>
          </cell>
          <cell r="CT44" t="e">
            <v>#VALUE!</v>
          </cell>
          <cell r="CU44" t="e">
            <v>#VALUE!</v>
          </cell>
          <cell r="CV44" t="e">
            <v>#VALUE!</v>
          </cell>
          <cell r="CW44" t="e">
            <v>#VALUE!</v>
          </cell>
          <cell r="CX44" t="e">
            <v>#VALUE!</v>
          </cell>
          <cell r="CY44" t="e">
            <v>#VALUE!</v>
          </cell>
          <cell r="CZ44" t="e">
            <v>#VALUE!</v>
          </cell>
          <cell r="DA44" t="e">
            <v>#VALUE!</v>
          </cell>
          <cell r="DB44" t="e">
            <v>#VALUE!</v>
          </cell>
          <cell r="DC44" t="e">
            <v>#VALUE!</v>
          </cell>
          <cell r="DD44" t="e">
            <v>#VALUE!</v>
          </cell>
          <cell r="DE44" t="e">
            <v>#VALUE!</v>
          </cell>
          <cell r="DF44" t="e">
            <v>#VALUE!</v>
          </cell>
          <cell r="DG44" t="e">
            <v>#VALUE!</v>
          </cell>
          <cell r="DH44" t="e">
            <v>#VALUE!</v>
          </cell>
          <cell r="DI44" t="e">
            <v>#VALUE!</v>
          </cell>
          <cell r="DJ44" t="e">
            <v>#VALUE!</v>
          </cell>
          <cell r="DK44" t="e">
            <v>#VALUE!</v>
          </cell>
          <cell r="DL44" t="e">
            <v>#VALUE!</v>
          </cell>
          <cell r="DM44" t="e">
            <v>#VALUE!</v>
          </cell>
        </row>
        <row r="45">
          <cell r="C45" t="str">
            <v>F3</v>
          </cell>
          <cell r="D45" t="str">
            <v>Ver- und Entsorgung</v>
          </cell>
          <cell r="F45" t="str">
            <v>#SUM</v>
          </cell>
          <cell r="G45">
            <v>2914.3336730314281</v>
          </cell>
          <cell r="J45" t="str">
            <v>€/Jahr</v>
          </cell>
          <cell r="O45">
            <v>153819.49802556433</v>
          </cell>
          <cell r="P45" t="str">
            <v>€</v>
          </cell>
        </row>
        <row r="46">
          <cell r="C46" t="str">
            <v>F3.1</v>
          </cell>
          <cell r="D46" t="str">
            <v>Energie (Wärme, Kälte, Strom)</v>
          </cell>
          <cell r="F46" t="str">
            <v>#SUM</v>
          </cell>
          <cell r="G46">
            <v>1292.5672919314284</v>
          </cell>
          <cell r="J46" t="str">
            <v>€/Jahr</v>
          </cell>
          <cell r="O46">
            <v>83461.964343915053</v>
          </cell>
          <cell r="P46" t="str">
            <v>€</v>
          </cell>
        </row>
        <row r="47">
          <cell r="C47" t="str">
            <v>F3.1.a</v>
          </cell>
          <cell r="D47" t="str">
            <v>Strom Verbraucher</v>
          </cell>
          <cell r="F47" t="str">
            <v>#SUM</v>
          </cell>
          <cell r="G47">
            <v>762.12035999999989</v>
          </cell>
          <cell r="J47" t="str">
            <v>€/Jahr</v>
          </cell>
          <cell r="O47">
            <v>49210.638942476166</v>
          </cell>
          <cell r="P47" t="str">
            <v>€</v>
          </cell>
        </row>
        <row r="48">
          <cell r="C48" t="str">
            <v>F3.1.a-1</v>
          </cell>
          <cell r="D48" t="str">
            <v>Strom IT+Kommunikation</v>
          </cell>
          <cell r="F48" t="str">
            <v>IKTkWh*BGFbeheizt*KOSTROM</v>
          </cell>
          <cell r="G48">
            <v>177.46559999999999</v>
          </cell>
          <cell r="H48">
            <v>177.46559999999999</v>
          </cell>
          <cell r="J48" t="str">
            <v>€/Jahr</v>
          </cell>
          <cell r="K48" t="str">
            <v>1</v>
          </cell>
          <cell r="L48" t="str">
            <v>PENERG</v>
          </cell>
          <cell r="M48">
            <v>4.5</v>
          </cell>
          <cell r="N48">
            <v>1.0295566502463054</v>
          </cell>
          <cell r="O48">
            <v>11459.07657723499</v>
          </cell>
          <cell r="P48" t="str">
            <v>€</v>
          </cell>
          <cell r="Q48">
            <v>0</v>
          </cell>
          <cell r="R48">
            <v>182.71088866995072</v>
          </cell>
          <cell r="S48">
            <v>370.82209917251078</v>
          </cell>
          <cell r="T48">
            <v>564.49324693130427</v>
          </cell>
          <cell r="U48">
            <v>763.88866506720512</v>
          </cell>
          <cell r="V48">
            <v>969.17754383766373</v>
          </cell>
          <cell r="W48">
            <v>1180.5340741973987</v>
          </cell>
          <cell r="X48">
            <v>1398.1375956022482</v>
          </cell>
          <cell r="Y48">
            <v>1622.1727481816245</v>
          </cell>
          <cell r="Z48">
            <v>1852.8296294086674</v>
          </cell>
          <cell r="AA48">
            <v>2090.3039554010415</v>
          </cell>
          <cell r="AB48">
            <v>2334.7972269892502</v>
          </cell>
          <cell r="AC48">
            <v>2586.5169006933666</v>
          </cell>
          <cell r="AD48">
            <v>2845.676564753267</v>
          </cell>
          <cell r="AE48">
            <v>3112.4961203617395</v>
          </cell>
          <cell r="AF48">
            <v>3387.2019682542054</v>
          </cell>
          <cell r="AG48">
            <v>3670.027200813443</v>
          </cell>
          <cell r="AH48">
            <v>3961.211799852264</v>
          </cell>
          <cell r="AI48">
            <v>4261.0028402419857</v>
          </cell>
          <cell r="AJ48">
            <v>4569.6546995594836</v>
          </cell>
          <cell r="AK48">
            <v>4887.4292739306984</v>
          </cell>
          <cell r="AL48">
            <v>5214.5962002537735</v>
          </cell>
          <cell r="AM48">
            <v>5551.433084990339</v>
          </cell>
          <cell r="AN48">
            <v>5898.2257397191179</v>
          </cell>
          <cell r="AO48">
            <v>6255.2684236517034</v>
          </cell>
          <cell r="AP48">
            <v>6622.8640933162842</v>
          </cell>
          <cell r="AQ48">
            <v>7001.3246596211984</v>
          </cell>
          <cell r="AR48">
            <v>7390.9712525164059</v>
          </cell>
          <cell r="AS48">
            <v>7792.1344934774834</v>
          </cell>
          <cell r="AT48">
            <v>8205.1547760433168</v>
          </cell>
          <cell r="AU48">
            <v>8630.3825546455864</v>
          </cell>
          <cell r="AV48">
            <v>9068.1786419750133</v>
          </cell>
          <cell r="AW48">
            <v>9518.9145151368357</v>
          </cell>
          <cell r="AX48">
            <v>9982.9726308551672</v>
          </cell>
          <cell r="AY48">
            <v>10460.746749993743</v>
          </cell>
          <cell r="AZ48">
            <v>10952.642271668434</v>
          </cell>
          <cell r="BA48">
            <v>11459.07657723499</v>
          </cell>
          <cell r="BB48" t="e">
            <v>#VALUE!</v>
          </cell>
          <cell r="BC48" t="e">
            <v>#VALUE!</v>
          </cell>
          <cell r="BD48" t="e">
            <v>#VALUE!</v>
          </cell>
          <cell r="BE48" t="e">
            <v>#VALUE!</v>
          </cell>
          <cell r="BF48" t="e">
            <v>#VALUE!</v>
          </cell>
          <cell r="BG48" t="e">
            <v>#VALUE!</v>
          </cell>
          <cell r="BH48" t="e">
            <v>#VALUE!</v>
          </cell>
          <cell r="BI48" t="e">
            <v>#VALUE!</v>
          </cell>
          <cell r="BJ48" t="e">
            <v>#VALUE!</v>
          </cell>
          <cell r="BK48" t="e">
            <v>#VALUE!</v>
          </cell>
          <cell r="BL48" t="e">
            <v>#VALUE!</v>
          </cell>
          <cell r="BM48" t="e">
            <v>#VALUE!</v>
          </cell>
          <cell r="BN48" t="e">
            <v>#VALUE!</v>
          </cell>
          <cell r="BO48" t="e">
            <v>#VALUE!</v>
          </cell>
          <cell r="BP48" t="e">
            <v>#VALUE!</v>
          </cell>
          <cell r="BQ48" t="e">
            <v>#VALUE!</v>
          </cell>
          <cell r="BR48" t="e">
            <v>#VALUE!</v>
          </cell>
          <cell r="BS48" t="e">
            <v>#VALUE!</v>
          </cell>
          <cell r="BT48" t="e">
            <v>#VALUE!</v>
          </cell>
          <cell r="BU48" t="e">
            <v>#VALUE!</v>
          </cell>
          <cell r="BV48" t="e">
            <v>#VALUE!</v>
          </cell>
          <cell r="BW48" t="e">
            <v>#VALUE!</v>
          </cell>
          <cell r="BX48" t="e">
            <v>#VALUE!</v>
          </cell>
          <cell r="BY48" t="e">
            <v>#VALUE!</v>
          </cell>
          <cell r="BZ48" t="e">
            <v>#VALUE!</v>
          </cell>
          <cell r="CA48" t="e">
            <v>#VALUE!</v>
          </cell>
          <cell r="CB48" t="e">
            <v>#VALUE!</v>
          </cell>
          <cell r="CC48" t="e">
            <v>#VALUE!</v>
          </cell>
          <cell r="CD48" t="e">
            <v>#VALUE!</v>
          </cell>
          <cell r="CE48" t="e">
            <v>#VALUE!</v>
          </cell>
          <cell r="CF48" t="e">
            <v>#VALUE!</v>
          </cell>
          <cell r="CG48" t="e">
            <v>#VALUE!</v>
          </cell>
          <cell r="CH48" t="e">
            <v>#VALUE!</v>
          </cell>
          <cell r="CI48" t="e">
            <v>#VALUE!</v>
          </cell>
          <cell r="CJ48" t="e">
            <v>#VALUE!</v>
          </cell>
          <cell r="CK48" t="e">
            <v>#VALUE!</v>
          </cell>
          <cell r="CL48" t="e">
            <v>#VALUE!</v>
          </cell>
          <cell r="CM48" t="e">
            <v>#VALUE!</v>
          </cell>
          <cell r="CN48" t="e">
            <v>#VALUE!</v>
          </cell>
          <cell r="CO48" t="e">
            <v>#VALUE!</v>
          </cell>
          <cell r="CP48" t="e">
            <v>#VALUE!</v>
          </cell>
          <cell r="CQ48" t="e">
            <v>#VALUE!</v>
          </cell>
          <cell r="CR48" t="e">
            <v>#VALUE!</v>
          </cell>
          <cell r="CS48" t="e">
            <v>#VALUE!</v>
          </cell>
          <cell r="CT48" t="e">
            <v>#VALUE!</v>
          </cell>
          <cell r="CU48" t="e">
            <v>#VALUE!</v>
          </cell>
          <cell r="CV48" t="e">
            <v>#VALUE!</v>
          </cell>
          <cell r="CW48" t="e">
            <v>#VALUE!</v>
          </cell>
          <cell r="CX48" t="e">
            <v>#VALUE!</v>
          </cell>
          <cell r="CY48" t="e">
            <v>#VALUE!</v>
          </cell>
          <cell r="CZ48" t="e">
            <v>#VALUE!</v>
          </cell>
          <cell r="DA48" t="e">
            <v>#VALUE!</v>
          </cell>
          <cell r="DB48" t="e">
            <v>#VALUE!</v>
          </cell>
          <cell r="DC48" t="e">
            <v>#VALUE!</v>
          </cell>
          <cell r="DD48" t="e">
            <v>#VALUE!</v>
          </cell>
          <cell r="DE48" t="e">
            <v>#VALUE!</v>
          </cell>
          <cell r="DF48" t="e">
            <v>#VALUE!</v>
          </cell>
          <cell r="DG48" t="e">
            <v>#VALUE!</v>
          </cell>
          <cell r="DH48" t="e">
            <v>#VALUE!</v>
          </cell>
          <cell r="DI48" t="e">
            <v>#VALUE!</v>
          </cell>
          <cell r="DJ48" t="e">
            <v>#VALUE!</v>
          </cell>
          <cell r="DK48" t="e">
            <v>#VALUE!</v>
          </cell>
          <cell r="DL48" t="e">
            <v>#VALUE!</v>
          </cell>
          <cell r="DM48" t="e">
            <v>#VALUE!</v>
          </cell>
        </row>
        <row r="49">
          <cell r="C49" t="str">
            <v>F3.1.a-2</v>
          </cell>
          <cell r="D49" t="str">
            <v>Strom Beleuchtung</v>
          </cell>
          <cell r="F49" t="str">
            <v>BELkWh*BGFbeheizt*KOSTROM</v>
          </cell>
          <cell r="G49">
            <v>407.18915999999996</v>
          </cell>
          <cell r="H49">
            <v>407.18915999999996</v>
          </cell>
          <cell r="J49" t="str">
            <v>€/Jahr</v>
          </cell>
          <cell r="K49" t="str">
            <v>1</v>
          </cell>
          <cell r="L49" t="str">
            <v>PENERG</v>
          </cell>
          <cell r="M49">
            <v>4.5</v>
          </cell>
          <cell r="N49">
            <v>1.0295566502463054</v>
          </cell>
          <cell r="O49">
            <v>26292.485788006186</v>
          </cell>
          <cell r="P49" t="str">
            <v>€</v>
          </cell>
          <cell r="Q49">
            <v>0</v>
          </cell>
          <cell r="R49">
            <v>419.22430758620686</v>
          </cell>
          <cell r="S49">
            <v>850.83948140648874</v>
          </cell>
          <cell r="T49">
            <v>1295.2117539603753</v>
          </cell>
          <cell r="U49">
            <v>1752.7181823532933</v>
          </cell>
          <cell r="V49">
            <v>2223.746968235655</v>
          </cell>
          <cell r="W49">
            <v>2708.6977871982876</v>
          </cell>
          <cell r="X49">
            <v>3207.9821279036564</v>
          </cell>
          <cell r="Y49">
            <v>3722.0236412407094</v>
          </cell>
          <cell r="Z49">
            <v>4251.2584997995482</v>
          </cell>
          <cell r="AA49">
            <v>4796.1357679709627</v>
          </cell>
          <cell r="AB49">
            <v>5357.1177829848839</v>
          </cell>
          <cell r="AC49">
            <v>5934.6805472110391</v>
          </cell>
          <cell r="AD49">
            <v>6529.3141320547111</v>
          </cell>
          <cell r="AE49">
            <v>7141.5230937903207</v>
          </cell>
          <cell r="AF49">
            <v>7771.8269016856038</v>
          </cell>
          <cell r="AG49">
            <v>8420.7603787797598</v>
          </cell>
          <cell r="AH49">
            <v>9088.8741556895056</v>
          </cell>
          <cell r="AI49">
            <v>9776.735137828111</v>
          </cell>
          <cell r="AJ49">
            <v>10484.926986433869</v>
          </cell>
          <cell r="AK49">
            <v>11214.050613816149</v>
          </cell>
          <cell r="AL49">
            <v>11964.724693239286</v>
          </cell>
          <cell r="AM49">
            <v>12737.586183876901</v>
          </cell>
          <cell r="AN49">
            <v>13533.290871282134</v>
          </cell>
          <cell r="AO49">
            <v>14352.513923832345</v>
          </cell>
          <cell r="AP49">
            <v>15195.950465620488</v>
          </cell>
          <cell r="AQ49">
            <v>16064.316166279223</v>
          </cell>
          <cell r="AR49">
            <v>16958.347848238212</v>
          </cell>
          <cell r="AS49">
            <v>17878.804111929985</v>
          </cell>
          <cell r="AT49">
            <v>18826.465979474706</v>
          </cell>
          <cell r="AU49">
            <v>19802.137557390222</v>
          </cell>
          <cell r="AV49">
            <v>20806.646718889442</v>
          </cell>
          <cell r="AW49">
            <v>21840.845806344303</v>
          </cell>
          <cell r="AX49">
            <v>22905.612354512115</v>
          </cell>
          <cell r="AY49">
            <v>24001.849835138091</v>
          </cell>
          <cell r="AZ49">
            <v>25130.488423565814</v>
          </cell>
          <cell r="BA49">
            <v>26292.485788006186</v>
          </cell>
          <cell r="BB49" t="e">
            <v>#VALUE!</v>
          </cell>
          <cell r="BC49" t="e">
            <v>#VALUE!</v>
          </cell>
          <cell r="BD49" t="e">
            <v>#VALUE!</v>
          </cell>
          <cell r="BE49" t="e">
            <v>#VALUE!</v>
          </cell>
          <cell r="BF49" t="e">
            <v>#VALUE!</v>
          </cell>
          <cell r="BG49" t="e">
            <v>#VALUE!</v>
          </cell>
          <cell r="BH49" t="e">
            <v>#VALUE!</v>
          </cell>
          <cell r="BI49" t="e">
            <v>#VALUE!</v>
          </cell>
          <cell r="BJ49" t="e">
            <v>#VALUE!</v>
          </cell>
          <cell r="BK49" t="e">
            <v>#VALUE!</v>
          </cell>
          <cell r="BL49" t="e">
            <v>#VALUE!</v>
          </cell>
          <cell r="BM49" t="e">
            <v>#VALUE!</v>
          </cell>
          <cell r="BN49" t="e">
            <v>#VALUE!</v>
          </cell>
          <cell r="BO49" t="e">
            <v>#VALUE!</v>
          </cell>
          <cell r="BP49" t="e">
            <v>#VALUE!</v>
          </cell>
          <cell r="BQ49" t="e">
            <v>#VALUE!</v>
          </cell>
          <cell r="BR49" t="e">
            <v>#VALUE!</v>
          </cell>
          <cell r="BS49" t="e">
            <v>#VALUE!</v>
          </cell>
          <cell r="BT49" t="e">
            <v>#VALUE!</v>
          </cell>
          <cell r="BU49" t="e">
            <v>#VALUE!</v>
          </cell>
          <cell r="BV49" t="e">
            <v>#VALUE!</v>
          </cell>
          <cell r="BW49" t="e">
            <v>#VALUE!</v>
          </cell>
          <cell r="BX49" t="e">
            <v>#VALUE!</v>
          </cell>
          <cell r="BY49" t="e">
            <v>#VALUE!</v>
          </cell>
          <cell r="BZ49" t="e">
            <v>#VALUE!</v>
          </cell>
          <cell r="CA49" t="e">
            <v>#VALUE!</v>
          </cell>
          <cell r="CB49" t="e">
            <v>#VALUE!</v>
          </cell>
          <cell r="CC49" t="e">
            <v>#VALUE!</v>
          </cell>
          <cell r="CD49" t="e">
            <v>#VALUE!</v>
          </cell>
          <cell r="CE49" t="e">
            <v>#VALUE!</v>
          </cell>
          <cell r="CF49" t="e">
            <v>#VALUE!</v>
          </cell>
          <cell r="CG49" t="e">
            <v>#VALUE!</v>
          </cell>
          <cell r="CH49" t="e">
            <v>#VALUE!</v>
          </cell>
          <cell r="CI49" t="e">
            <v>#VALUE!</v>
          </cell>
          <cell r="CJ49" t="e">
            <v>#VALUE!</v>
          </cell>
          <cell r="CK49" t="e">
            <v>#VALUE!</v>
          </cell>
          <cell r="CL49" t="e">
            <v>#VALUE!</v>
          </cell>
          <cell r="CM49" t="e">
            <v>#VALUE!</v>
          </cell>
          <cell r="CN49" t="e">
            <v>#VALUE!</v>
          </cell>
          <cell r="CO49" t="e">
            <v>#VALUE!</v>
          </cell>
          <cell r="CP49" t="e">
            <v>#VALUE!</v>
          </cell>
          <cell r="CQ49" t="e">
            <v>#VALUE!</v>
          </cell>
          <cell r="CR49" t="e">
            <v>#VALUE!</v>
          </cell>
          <cell r="CS49" t="e">
            <v>#VALUE!</v>
          </cell>
          <cell r="CT49" t="e">
            <v>#VALUE!</v>
          </cell>
          <cell r="CU49" t="e">
            <v>#VALUE!</v>
          </cell>
          <cell r="CV49" t="e">
            <v>#VALUE!</v>
          </cell>
          <cell r="CW49" t="e">
            <v>#VALUE!</v>
          </cell>
          <cell r="CX49" t="e">
            <v>#VALUE!</v>
          </cell>
          <cell r="CY49" t="e">
            <v>#VALUE!</v>
          </cell>
          <cell r="CZ49" t="e">
            <v>#VALUE!</v>
          </cell>
          <cell r="DA49" t="e">
            <v>#VALUE!</v>
          </cell>
          <cell r="DB49" t="e">
            <v>#VALUE!</v>
          </cell>
          <cell r="DC49" t="e">
            <v>#VALUE!</v>
          </cell>
          <cell r="DD49" t="e">
            <v>#VALUE!</v>
          </cell>
          <cell r="DE49" t="e">
            <v>#VALUE!</v>
          </cell>
          <cell r="DF49" t="e">
            <v>#VALUE!</v>
          </cell>
          <cell r="DG49" t="e">
            <v>#VALUE!</v>
          </cell>
          <cell r="DH49" t="e">
            <v>#VALUE!</v>
          </cell>
          <cell r="DI49" t="e">
            <v>#VALUE!</v>
          </cell>
          <cell r="DJ49" t="e">
            <v>#VALUE!</v>
          </cell>
          <cell r="DK49" t="e">
            <v>#VALUE!</v>
          </cell>
          <cell r="DL49" t="e">
            <v>#VALUE!</v>
          </cell>
          <cell r="DM49" t="e">
            <v>#VALUE!</v>
          </cell>
        </row>
        <row r="50">
          <cell r="C50" t="str">
            <v>F3.1.a-3</v>
          </cell>
          <cell r="D50" t="str">
            <v>Strom Lüftung</v>
          </cell>
          <cell r="F50" t="str">
            <v>LUFTkWh*BGFbelüftet*KOSTROM</v>
          </cell>
          <cell r="G50">
            <v>177.46559999999999</v>
          </cell>
          <cell r="H50">
            <v>177.46559999999999</v>
          </cell>
          <cell r="J50" t="str">
            <v>€/Jahr</v>
          </cell>
          <cell r="K50" t="str">
            <v>1</v>
          </cell>
          <cell r="L50" t="str">
            <v>PENERG</v>
          </cell>
          <cell r="M50">
            <v>4.5</v>
          </cell>
          <cell r="N50">
            <v>1.0295566502463054</v>
          </cell>
          <cell r="O50">
            <v>11459.07657723499</v>
          </cell>
          <cell r="P50" t="str">
            <v>€</v>
          </cell>
          <cell r="Q50">
            <v>0</v>
          </cell>
          <cell r="R50">
            <v>182.71088866995072</v>
          </cell>
          <cell r="S50">
            <v>370.82209917251078</v>
          </cell>
          <cell r="T50">
            <v>564.49324693130427</v>
          </cell>
          <cell r="U50">
            <v>763.88866506720512</v>
          </cell>
          <cell r="V50">
            <v>969.17754383766373</v>
          </cell>
          <cell r="W50">
            <v>1180.5340741973987</v>
          </cell>
          <cell r="X50">
            <v>1398.1375956022482</v>
          </cell>
          <cell r="Y50">
            <v>1622.1727481816245</v>
          </cell>
          <cell r="Z50">
            <v>1852.8296294086674</v>
          </cell>
          <cell r="AA50">
            <v>2090.3039554010415</v>
          </cell>
          <cell r="AB50">
            <v>2334.7972269892502</v>
          </cell>
          <cell r="AC50">
            <v>2586.5169006933666</v>
          </cell>
          <cell r="AD50">
            <v>2845.676564753267</v>
          </cell>
          <cell r="AE50">
            <v>3112.4961203617395</v>
          </cell>
          <cell r="AF50">
            <v>3387.2019682542054</v>
          </cell>
          <cell r="AG50">
            <v>3670.027200813443</v>
          </cell>
          <cell r="AH50">
            <v>3961.211799852264</v>
          </cell>
          <cell r="AI50">
            <v>4261.0028402419857</v>
          </cell>
          <cell r="AJ50">
            <v>4569.6546995594836</v>
          </cell>
          <cell r="AK50">
            <v>4887.4292739306984</v>
          </cell>
          <cell r="AL50">
            <v>5214.5962002537735</v>
          </cell>
          <cell r="AM50">
            <v>5551.433084990339</v>
          </cell>
          <cell r="AN50">
            <v>5898.2257397191179</v>
          </cell>
          <cell r="AO50">
            <v>6255.2684236517034</v>
          </cell>
          <cell r="AP50">
            <v>6622.8640933162842</v>
          </cell>
          <cell r="AQ50">
            <v>7001.3246596211984</v>
          </cell>
          <cell r="AR50">
            <v>7390.9712525164059</v>
          </cell>
          <cell r="AS50">
            <v>7792.1344934774834</v>
          </cell>
          <cell r="AT50">
            <v>8205.1547760433168</v>
          </cell>
          <cell r="AU50">
            <v>8630.3825546455864</v>
          </cell>
          <cell r="AV50">
            <v>9068.1786419750133</v>
          </cell>
          <cell r="AW50">
            <v>9518.9145151368357</v>
          </cell>
          <cell r="AX50">
            <v>9982.9726308551672</v>
          </cell>
          <cell r="AY50">
            <v>10460.746749993743</v>
          </cell>
          <cell r="AZ50">
            <v>10952.642271668434</v>
          </cell>
          <cell r="BA50">
            <v>11459.07657723499</v>
          </cell>
          <cell r="BB50" t="e">
            <v>#VALUE!</v>
          </cell>
          <cell r="BC50" t="e">
            <v>#VALUE!</v>
          </cell>
          <cell r="BD50" t="e">
            <v>#VALUE!</v>
          </cell>
          <cell r="BE50" t="e">
            <v>#VALUE!</v>
          </cell>
          <cell r="BF50" t="e">
            <v>#VALUE!</v>
          </cell>
          <cell r="BG50" t="e">
            <v>#VALUE!</v>
          </cell>
          <cell r="BH50" t="e">
            <v>#VALUE!</v>
          </cell>
          <cell r="BI50" t="e">
            <v>#VALUE!</v>
          </cell>
          <cell r="BJ50" t="e">
            <v>#VALUE!</v>
          </cell>
          <cell r="BK50" t="e">
            <v>#VALUE!</v>
          </cell>
          <cell r="BL50" t="e">
            <v>#VALUE!</v>
          </cell>
          <cell r="BM50" t="e">
            <v>#VALUE!</v>
          </cell>
          <cell r="BN50" t="e">
            <v>#VALUE!</v>
          </cell>
          <cell r="BO50" t="e">
            <v>#VALUE!</v>
          </cell>
          <cell r="BP50" t="e">
            <v>#VALUE!</v>
          </cell>
          <cell r="BQ50" t="e">
            <v>#VALUE!</v>
          </cell>
          <cell r="BR50" t="e">
            <v>#VALUE!</v>
          </cell>
          <cell r="BS50" t="e">
            <v>#VALUE!</v>
          </cell>
          <cell r="BT50" t="e">
            <v>#VALUE!</v>
          </cell>
          <cell r="BU50" t="e">
            <v>#VALUE!</v>
          </cell>
          <cell r="BV50" t="e">
            <v>#VALUE!</v>
          </cell>
          <cell r="BW50" t="e">
            <v>#VALUE!</v>
          </cell>
          <cell r="BX50" t="e">
            <v>#VALUE!</v>
          </cell>
          <cell r="BY50" t="e">
            <v>#VALUE!</v>
          </cell>
          <cell r="BZ50" t="e">
            <v>#VALUE!</v>
          </cell>
          <cell r="CA50" t="e">
            <v>#VALUE!</v>
          </cell>
          <cell r="CB50" t="e">
            <v>#VALUE!</v>
          </cell>
          <cell r="CC50" t="e">
            <v>#VALUE!</v>
          </cell>
          <cell r="CD50" t="e">
            <v>#VALUE!</v>
          </cell>
          <cell r="CE50" t="e">
            <v>#VALUE!</v>
          </cell>
          <cell r="CF50" t="e">
            <v>#VALUE!</v>
          </cell>
          <cell r="CG50" t="e">
            <v>#VALUE!</v>
          </cell>
          <cell r="CH50" t="e">
            <v>#VALUE!</v>
          </cell>
          <cell r="CI50" t="e">
            <v>#VALUE!</v>
          </cell>
          <cell r="CJ50" t="e">
            <v>#VALUE!</v>
          </cell>
          <cell r="CK50" t="e">
            <v>#VALUE!</v>
          </cell>
          <cell r="CL50" t="e">
            <v>#VALUE!</v>
          </cell>
          <cell r="CM50" t="e">
            <v>#VALUE!</v>
          </cell>
          <cell r="CN50" t="e">
            <v>#VALUE!</v>
          </cell>
          <cell r="CO50" t="e">
            <v>#VALUE!</v>
          </cell>
          <cell r="CP50" t="e">
            <v>#VALUE!</v>
          </cell>
          <cell r="CQ50" t="e">
            <v>#VALUE!</v>
          </cell>
          <cell r="CR50" t="e">
            <v>#VALUE!</v>
          </cell>
          <cell r="CS50" t="e">
            <v>#VALUE!</v>
          </cell>
          <cell r="CT50" t="e">
            <v>#VALUE!</v>
          </cell>
          <cell r="CU50" t="e">
            <v>#VALUE!</v>
          </cell>
          <cell r="CV50" t="e">
            <v>#VALUE!</v>
          </cell>
          <cell r="CW50" t="e">
            <v>#VALUE!</v>
          </cell>
          <cell r="CX50" t="e">
            <v>#VALUE!</v>
          </cell>
          <cell r="CY50" t="e">
            <v>#VALUE!</v>
          </cell>
          <cell r="CZ50" t="e">
            <v>#VALUE!</v>
          </cell>
          <cell r="DA50" t="e">
            <v>#VALUE!</v>
          </cell>
          <cell r="DB50" t="e">
            <v>#VALUE!</v>
          </cell>
          <cell r="DC50" t="e">
            <v>#VALUE!</v>
          </cell>
          <cell r="DD50" t="e">
            <v>#VALUE!</v>
          </cell>
          <cell r="DE50" t="e">
            <v>#VALUE!</v>
          </cell>
          <cell r="DF50" t="e">
            <v>#VALUE!</v>
          </cell>
          <cell r="DG50" t="e">
            <v>#VALUE!</v>
          </cell>
          <cell r="DH50" t="e">
            <v>#VALUE!</v>
          </cell>
          <cell r="DI50" t="e">
            <v>#VALUE!</v>
          </cell>
          <cell r="DJ50" t="e">
            <v>#VALUE!</v>
          </cell>
          <cell r="DK50" t="e">
            <v>#VALUE!</v>
          </cell>
          <cell r="DL50" t="e">
            <v>#VALUE!</v>
          </cell>
          <cell r="DM50" t="e">
            <v>#VALUE!</v>
          </cell>
        </row>
        <row r="51">
          <cell r="C51" t="str">
            <v>F3.1.a-4</v>
          </cell>
          <cell r="D51" t="str">
            <v>Strom Be- und Entfeuchtung</v>
          </cell>
          <cell r="F51" t="str">
            <v>(BEFkWh+ENTFkWh)*BGFbelüftet*KOSTROM</v>
          </cell>
          <cell r="G51">
            <v>0</v>
          </cell>
          <cell r="H51">
            <v>0</v>
          </cell>
          <cell r="J51" t="str">
            <v>€/Jahr</v>
          </cell>
          <cell r="K51" t="str">
            <v>1</v>
          </cell>
          <cell r="L51" t="str">
            <v>PENERG</v>
          </cell>
          <cell r="M51">
            <v>4.5</v>
          </cell>
          <cell r="N51">
            <v>1.0295566502463054</v>
          </cell>
          <cell r="O51">
            <v>0</v>
          </cell>
          <cell r="P51" t="str">
            <v>€</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t="e">
            <v>#VALUE!</v>
          </cell>
          <cell r="BC51" t="e">
            <v>#VALUE!</v>
          </cell>
          <cell r="BD51" t="e">
            <v>#VALUE!</v>
          </cell>
          <cell r="BE51" t="e">
            <v>#VALUE!</v>
          </cell>
          <cell r="BF51" t="e">
            <v>#VALUE!</v>
          </cell>
          <cell r="BG51" t="e">
            <v>#VALUE!</v>
          </cell>
          <cell r="BH51" t="e">
            <v>#VALUE!</v>
          </cell>
          <cell r="BI51" t="e">
            <v>#VALUE!</v>
          </cell>
          <cell r="BJ51" t="e">
            <v>#VALUE!</v>
          </cell>
          <cell r="BK51" t="e">
            <v>#VALUE!</v>
          </cell>
          <cell r="BL51" t="e">
            <v>#VALUE!</v>
          </cell>
          <cell r="BM51" t="e">
            <v>#VALUE!</v>
          </cell>
          <cell r="BN51" t="e">
            <v>#VALUE!</v>
          </cell>
          <cell r="BO51" t="e">
            <v>#VALUE!</v>
          </cell>
          <cell r="BP51" t="e">
            <v>#VALUE!</v>
          </cell>
          <cell r="BQ51" t="e">
            <v>#VALUE!</v>
          </cell>
          <cell r="BR51" t="e">
            <v>#VALUE!</v>
          </cell>
          <cell r="BS51" t="e">
            <v>#VALUE!</v>
          </cell>
          <cell r="BT51" t="e">
            <v>#VALUE!</v>
          </cell>
          <cell r="BU51" t="e">
            <v>#VALUE!</v>
          </cell>
          <cell r="BV51" t="e">
            <v>#VALUE!</v>
          </cell>
          <cell r="BW51" t="e">
            <v>#VALUE!</v>
          </cell>
          <cell r="BX51" t="e">
            <v>#VALUE!</v>
          </cell>
          <cell r="BY51" t="e">
            <v>#VALUE!</v>
          </cell>
          <cell r="BZ51" t="e">
            <v>#VALUE!</v>
          </cell>
          <cell r="CA51" t="e">
            <v>#VALUE!</v>
          </cell>
          <cell r="CB51" t="e">
            <v>#VALUE!</v>
          </cell>
          <cell r="CC51" t="e">
            <v>#VALUE!</v>
          </cell>
          <cell r="CD51" t="e">
            <v>#VALUE!</v>
          </cell>
          <cell r="CE51" t="e">
            <v>#VALUE!</v>
          </cell>
          <cell r="CF51" t="e">
            <v>#VALUE!</v>
          </cell>
          <cell r="CG51" t="e">
            <v>#VALUE!</v>
          </cell>
          <cell r="CH51" t="e">
            <v>#VALUE!</v>
          </cell>
          <cell r="CI51" t="e">
            <v>#VALUE!</v>
          </cell>
          <cell r="CJ51" t="e">
            <v>#VALUE!</v>
          </cell>
          <cell r="CK51" t="e">
            <v>#VALUE!</v>
          </cell>
          <cell r="CL51" t="e">
            <v>#VALUE!</v>
          </cell>
          <cell r="CM51" t="e">
            <v>#VALUE!</v>
          </cell>
          <cell r="CN51" t="e">
            <v>#VALUE!</v>
          </cell>
          <cell r="CO51" t="e">
            <v>#VALUE!</v>
          </cell>
          <cell r="CP51" t="e">
            <v>#VALUE!</v>
          </cell>
          <cell r="CQ51" t="e">
            <v>#VALUE!</v>
          </cell>
          <cell r="CR51" t="e">
            <v>#VALUE!</v>
          </cell>
          <cell r="CS51" t="e">
            <v>#VALUE!</v>
          </cell>
          <cell r="CT51" t="e">
            <v>#VALUE!</v>
          </cell>
          <cell r="CU51" t="e">
            <v>#VALUE!</v>
          </cell>
          <cell r="CV51" t="e">
            <v>#VALUE!</v>
          </cell>
          <cell r="CW51" t="e">
            <v>#VALUE!</v>
          </cell>
          <cell r="CX51" t="e">
            <v>#VALUE!</v>
          </cell>
          <cell r="CY51" t="e">
            <v>#VALUE!</v>
          </cell>
          <cell r="CZ51" t="e">
            <v>#VALUE!</v>
          </cell>
          <cell r="DA51" t="e">
            <v>#VALUE!</v>
          </cell>
          <cell r="DB51" t="e">
            <v>#VALUE!</v>
          </cell>
          <cell r="DC51" t="e">
            <v>#VALUE!</v>
          </cell>
          <cell r="DD51" t="e">
            <v>#VALUE!</v>
          </cell>
          <cell r="DE51" t="e">
            <v>#VALUE!</v>
          </cell>
          <cell r="DF51" t="e">
            <v>#VALUE!</v>
          </cell>
          <cell r="DG51" t="e">
            <v>#VALUE!</v>
          </cell>
          <cell r="DH51" t="e">
            <v>#VALUE!</v>
          </cell>
          <cell r="DI51" t="e">
            <v>#VALUE!</v>
          </cell>
          <cell r="DJ51" t="e">
            <v>#VALUE!</v>
          </cell>
          <cell r="DK51" t="e">
            <v>#VALUE!</v>
          </cell>
          <cell r="DL51" t="e">
            <v>#VALUE!</v>
          </cell>
          <cell r="DM51" t="e">
            <v>#VALUE!</v>
          </cell>
        </row>
        <row r="52">
          <cell r="C52" t="str">
            <v>F3.1.a-5</v>
          </cell>
          <cell r="D52" t="str">
            <v>Haushaltsstrombedarf</v>
          </cell>
          <cell r="F52" t="str">
            <v>HAUSHkWh*BGFbeheizt*KOSTROM</v>
          </cell>
          <cell r="G52">
            <v>0</v>
          </cell>
          <cell r="H52">
            <v>0</v>
          </cell>
          <cell r="J52" t="str">
            <v>€/Jahr</v>
          </cell>
          <cell r="K52" t="str">
            <v>1</v>
          </cell>
          <cell r="L52" t="str">
            <v>PENERG</v>
          </cell>
          <cell r="M52">
            <v>4.5</v>
          </cell>
          <cell r="N52">
            <v>1.0295566502463054</v>
          </cell>
          <cell r="O52">
            <v>0</v>
          </cell>
          <cell r="P52" t="str">
            <v>€</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t="e">
            <v>#VALUE!</v>
          </cell>
          <cell r="BC52" t="e">
            <v>#VALUE!</v>
          </cell>
          <cell r="BD52" t="e">
            <v>#VALUE!</v>
          </cell>
          <cell r="BE52" t="e">
            <v>#VALUE!</v>
          </cell>
          <cell r="BF52" t="e">
            <v>#VALUE!</v>
          </cell>
          <cell r="BG52" t="e">
            <v>#VALUE!</v>
          </cell>
          <cell r="BH52" t="e">
            <v>#VALUE!</v>
          </cell>
          <cell r="BI52" t="e">
            <v>#VALUE!</v>
          </cell>
          <cell r="BJ52" t="e">
            <v>#VALUE!</v>
          </cell>
          <cell r="BK52" t="e">
            <v>#VALUE!</v>
          </cell>
          <cell r="BL52" t="e">
            <v>#VALUE!</v>
          </cell>
          <cell r="BM52" t="e">
            <v>#VALUE!</v>
          </cell>
          <cell r="BN52" t="e">
            <v>#VALUE!</v>
          </cell>
          <cell r="BO52" t="e">
            <v>#VALUE!</v>
          </cell>
          <cell r="BP52" t="e">
            <v>#VALUE!</v>
          </cell>
          <cell r="BQ52" t="e">
            <v>#VALUE!</v>
          </cell>
          <cell r="BR52" t="e">
            <v>#VALUE!</v>
          </cell>
          <cell r="BS52" t="e">
            <v>#VALUE!</v>
          </cell>
          <cell r="BT52" t="e">
            <v>#VALUE!</v>
          </cell>
          <cell r="BU52" t="e">
            <v>#VALUE!</v>
          </cell>
          <cell r="BV52" t="e">
            <v>#VALUE!</v>
          </cell>
          <cell r="BW52" t="e">
            <v>#VALUE!</v>
          </cell>
          <cell r="BX52" t="e">
            <v>#VALUE!</v>
          </cell>
          <cell r="BY52" t="e">
            <v>#VALUE!</v>
          </cell>
          <cell r="BZ52" t="e">
            <v>#VALUE!</v>
          </cell>
          <cell r="CA52" t="e">
            <v>#VALUE!</v>
          </cell>
          <cell r="CB52" t="e">
            <v>#VALUE!</v>
          </cell>
          <cell r="CC52" t="e">
            <v>#VALUE!</v>
          </cell>
          <cell r="CD52" t="e">
            <v>#VALUE!</v>
          </cell>
          <cell r="CE52" t="e">
            <v>#VALUE!</v>
          </cell>
          <cell r="CF52" t="e">
            <v>#VALUE!</v>
          </cell>
          <cell r="CG52" t="e">
            <v>#VALUE!</v>
          </cell>
          <cell r="CH52" t="e">
            <v>#VALUE!</v>
          </cell>
          <cell r="CI52" t="e">
            <v>#VALUE!</v>
          </cell>
          <cell r="CJ52" t="e">
            <v>#VALUE!</v>
          </cell>
          <cell r="CK52" t="e">
            <v>#VALUE!</v>
          </cell>
          <cell r="CL52" t="e">
            <v>#VALUE!</v>
          </cell>
          <cell r="CM52" t="e">
            <v>#VALUE!</v>
          </cell>
          <cell r="CN52" t="e">
            <v>#VALUE!</v>
          </cell>
          <cell r="CO52" t="e">
            <v>#VALUE!</v>
          </cell>
          <cell r="CP52" t="e">
            <v>#VALUE!</v>
          </cell>
          <cell r="CQ52" t="e">
            <v>#VALUE!</v>
          </cell>
          <cell r="CR52" t="e">
            <v>#VALUE!</v>
          </cell>
          <cell r="CS52" t="e">
            <v>#VALUE!</v>
          </cell>
          <cell r="CT52" t="e">
            <v>#VALUE!</v>
          </cell>
          <cell r="CU52" t="e">
            <v>#VALUE!</v>
          </cell>
          <cell r="CV52" t="e">
            <v>#VALUE!</v>
          </cell>
          <cell r="CW52" t="e">
            <v>#VALUE!</v>
          </cell>
          <cell r="CX52" t="e">
            <v>#VALUE!</v>
          </cell>
          <cell r="CY52" t="e">
            <v>#VALUE!</v>
          </cell>
          <cell r="CZ52" t="e">
            <v>#VALUE!</v>
          </cell>
          <cell r="DA52" t="e">
            <v>#VALUE!</v>
          </cell>
          <cell r="DB52" t="e">
            <v>#VALUE!</v>
          </cell>
          <cell r="DC52" t="e">
            <v>#VALUE!</v>
          </cell>
          <cell r="DD52" t="e">
            <v>#VALUE!</v>
          </cell>
          <cell r="DE52" t="e">
            <v>#VALUE!</v>
          </cell>
          <cell r="DF52" t="e">
            <v>#VALUE!</v>
          </cell>
          <cell r="DG52" t="e">
            <v>#VALUE!</v>
          </cell>
          <cell r="DH52" t="e">
            <v>#VALUE!</v>
          </cell>
          <cell r="DI52" t="e">
            <v>#VALUE!</v>
          </cell>
          <cell r="DJ52" t="e">
            <v>#VALUE!</v>
          </cell>
          <cell r="DK52" t="e">
            <v>#VALUE!</v>
          </cell>
          <cell r="DL52" t="e">
            <v>#VALUE!</v>
          </cell>
          <cell r="DM52" t="e">
            <v>#VALUE!</v>
          </cell>
        </row>
        <row r="53">
          <cell r="C53" t="str">
            <v>F3.1.b</v>
          </cell>
          <cell r="D53" t="str">
            <v>Strom Gebäudetechnik (ohne Kühlen/Lüften)</v>
          </cell>
          <cell r="F53" t="str">
            <v>STTkWh*BGFbeheizt*KOSTROM</v>
          </cell>
          <cell r="G53">
            <v>22.183199999999999</v>
          </cell>
          <cell r="H53">
            <v>22.183199999999999</v>
          </cell>
          <cell r="J53" t="str">
            <v>€/Jahr</v>
          </cell>
          <cell r="K53" t="str">
            <v>1</v>
          </cell>
          <cell r="L53" t="str">
            <v>PENERG</v>
          </cell>
          <cell r="M53">
            <v>4.5</v>
          </cell>
          <cell r="N53">
            <v>1.0295566502463054</v>
          </cell>
          <cell r="O53">
            <v>1432.3845721543737</v>
          </cell>
          <cell r="P53" t="str">
            <v>€</v>
          </cell>
          <cell r="Q53">
            <v>0</v>
          </cell>
          <cell r="R53">
            <v>22.83886108374384</v>
          </cell>
          <cell r="S53">
            <v>46.352762396563847</v>
          </cell>
          <cell r="T53">
            <v>70.561655866413034</v>
          </cell>
          <cell r="U53">
            <v>95.486083133400641</v>
          </cell>
          <cell r="V53">
            <v>121.14719297970797</v>
          </cell>
          <cell r="W53">
            <v>147.56675927467484</v>
          </cell>
          <cell r="X53">
            <v>174.76719945028103</v>
          </cell>
          <cell r="Y53">
            <v>202.77159352270306</v>
          </cell>
          <cell r="Z53">
            <v>231.60370367608343</v>
          </cell>
          <cell r="AA53">
            <v>261.28799442513019</v>
          </cell>
          <cell r="AB53">
            <v>291.84965337365628</v>
          </cell>
          <cell r="AC53">
            <v>323.31461258667082</v>
          </cell>
          <cell r="AD53">
            <v>355.70957059415838</v>
          </cell>
          <cell r="AE53">
            <v>389.06201504521744</v>
          </cell>
          <cell r="AF53">
            <v>423.40024603177568</v>
          </cell>
          <cell r="AG53">
            <v>458.75340010168037</v>
          </cell>
          <cell r="AH53">
            <v>495.151474981533</v>
          </cell>
          <cell r="AI53">
            <v>532.62535503024822</v>
          </cell>
          <cell r="AJ53">
            <v>571.20683744493545</v>
          </cell>
          <cell r="AK53">
            <v>610.9286592413373</v>
          </cell>
          <cell r="AL53">
            <v>651.82452503172169</v>
          </cell>
          <cell r="AM53">
            <v>693.92913562379238</v>
          </cell>
          <cell r="AN53">
            <v>737.27821746488974</v>
          </cell>
          <cell r="AO53">
            <v>781.90855295646293</v>
          </cell>
          <cell r="AP53">
            <v>827.85801166453552</v>
          </cell>
          <cell r="AQ53">
            <v>875.1655824526498</v>
          </cell>
          <cell r="AR53">
            <v>923.87140656455074</v>
          </cell>
          <cell r="AS53">
            <v>974.01681168468542</v>
          </cell>
          <cell r="AT53">
            <v>1025.6443470054146</v>
          </cell>
          <cell r="AU53">
            <v>1078.7978193306983</v>
          </cell>
          <cell r="AV53">
            <v>1133.5223302468767</v>
          </cell>
          <cell r="AW53">
            <v>1189.8643143921045</v>
          </cell>
          <cell r="AX53">
            <v>1247.8715788568959</v>
          </cell>
          <cell r="AY53">
            <v>1307.5933437492179</v>
          </cell>
          <cell r="AZ53">
            <v>1369.0802839585542</v>
          </cell>
          <cell r="BA53">
            <v>1432.3845721543737</v>
          </cell>
          <cell r="BB53" t="e">
            <v>#VALUE!</v>
          </cell>
          <cell r="BC53" t="e">
            <v>#VALUE!</v>
          </cell>
          <cell r="BD53" t="e">
            <v>#VALUE!</v>
          </cell>
          <cell r="BE53" t="e">
            <v>#VALUE!</v>
          </cell>
          <cell r="BF53" t="e">
            <v>#VALUE!</v>
          </cell>
          <cell r="BG53" t="e">
            <v>#VALUE!</v>
          </cell>
          <cell r="BH53" t="e">
            <v>#VALUE!</v>
          </cell>
          <cell r="BI53" t="e">
            <v>#VALUE!</v>
          </cell>
          <cell r="BJ53" t="e">
            <v>#VALUE!</v>
          </cell>
          <cell r="BK53" t="e">
            <v>#VALUE!</v>
          </cell>
          <cell r="BL53" t="e">
            <v>#VALUE!</v>
          </cell>
          <cell r="BM53" t="e">
            <v>#VALUE!</v>
          </cell>
          <cell r="BN53" t="e">
            <v>#VALUE!</v>
          </cell>
          <cell r="BO53" t="e">
            <v>#VALUE!</v>
          </cell>
          <cell r="BP53" t="e">
            <v>#VALUE!</v>
          </cell>
          <cell r="BQ53" t="e">
            <v>#VALUE!</v>
          </cell>
          <cell r="BR53" t="e">
            <v>#VALUE!</v>
          </cell>
          <cell r="BS53" t="e">
            <v>#VALUE!</v>
          </cell>
          <cell r="BT53" t="e">
            <v>#VALUE!</v>
          </cell>
          <cell r="BU53" t="e">
            <v>#VALUE!</v>
          </cell>
          <cell r="BV53" t="e">
            <v>#VALUE!</v>
          </cell>
          <cell r="BW53" t="e">
            <v>#VALUE!</v>
          </cell>
          <cell r="BX53" t="e">
            <v>#VALUE!</v>
          </cell>
          <cell r="BY53" t="e">
            <v>#VALUE!</v>
          </cell>
          <cell r="BZ53" t="e">
            <v>#VALUE!</v>
          </cell>
          <cell r="CA53" t="e">
            <v>#VALUE!</v>
          </cell>
          <cell r="CB53" t="e">
            <v>#VALUE!</v>
          </cell>
          <cell r="CC53" t="e">
            <v>#VALUE!</v>
          </cell>
          <cell r="CD53" t="e">
            <v>#VALUE!</v>
          </cell>
          <cell r="CE53" t="e">
            <v>#VALUE!</v>
          </cell>
          <cell r="CF53" t="e">
            <v>#VALUE!</v>
          </cell>
          <cell r="CG53" t="e">
            <v>#VALUE!</v>
          </cell>
          <cell r="CH53" t="e">
            <v>#VALUE!</v>
          </cell>
          <cell r="CI53" t="e">
            <v>#VALUE!</v>
          </cell>
          <cell r="CJ53" t="e">
            <v>#VALUE!</v>
          </cell>
          <cell r="CK53" t="e">
            <v>#VALUE!</v>
          </cell>
          <cell r="CL53" t="e">
            <v>#VALUE!</v>
          </cell>
          <cell r="CM53" t="e">
            <v>#VALUE!</v>
          </cell>
          <cell r="CN53" t="e">
            <v>#VALUE!</v>
          </cell>
          <cell r="CO53" t="e">
            <v>#VALUE!</v>
          </cell>
          <cell r="CP53" t="e">
            <v>#VALUE!</v>
          </cell>
          <cell r="CQ53" t="e">
            <v>#VALUE!</v>
          </cell>
          <cell r="CR53" t="e">
            <v>#VALUE!</v>
          </cell>
          <cell r="CS53" t="e">
            <v>#VALUE!</v>
          </cell>
          <cell r="CT53" t="e">
            <v>#VALUE!</v>
          </cell>
          <cell r="CU53" t="e">
            <v>#VALUE!</v>
          </cell>
          <cell r="CV53" t="e">
            <v>#VALUE!</v>
          </cell>
          <cell r="CW53" t="e">
            <v>#VALUE!</v>
          </cell>
          <cell r="CX53" t="e">
            <v>#VALUE!</v>
          </cell>
          <cell r="CY53" t="e">
            <v>#VALUE!</v>
          </cell>
          <cell r="CZ53" t="e">
            <v>#VALUE!</v>
          </cell>
          <cell r="DA53" t="e">
            <v>#VALUE!</v>
          </cell>
          <cell r="DB53" t="e">
            <v>#VALUE!</v>
          </cell>
          <cell r="DC53" t="e">
            <v>#VALUE!</v>
          </cell>
          <cell r="DD53" t="e">
            <v>#VALUE!</v>
          </cell>
          <cell r="DE53" t="e">
            <v>#VALUE!</v>
          </cell>
          <cell r="DF53" t="e">
            <v>#VALUE!</v>
          </cell>
          <cell r="DG53" t="e">
            <v>#VALUE!</v>
          </cell>
          <cell r="DH53" t="e">
            <v>#VALUE!</v>
          </cell>
          <cell r="DI53" t="e">
            <v>#VALUE!</v>
          </cell>
          <cell r="DJ53" t="e">
            <v>#VALUE!</v>
          </cell>
          <cell r="DK53" t="e">
            <v>#VALUE!</v>
          </cell>
          <cell r="DL53" t="e">
            <v>#VALUE!</v>
          </cell>
          <cell r="DM53" t="e">
            <v>#VALUE!</v>
          </cell>
        </row>
        <row r="54">
          <cell r="C54" t="str">
            <v>F3.1.c</v>
          </cell>
          <cell r="D54" t="str">
            <v>Strom Aufzüge</v>
          </cell>
          <cell r="F54" t="str">
            <v>AUFZkWh*BGFbeheizt*KOSTROM</v>
          </cell>
          <cell r="G54">
            <v>0</v>
          </cell>
          <cell r="H54">
            <v>0</v>
          </cell>
          <cell r="J54" t="str">
            <v>€/Jahr</v>
          </cell>
          <cell r="K54" t="str">
            <v>1</v>
          </cell>
          <cell r="L54" t="str">
            <v>PENERG</v>
          </cell>
          <cell r="M54">
            <v>4.5</v>
          </cell>
          <cell r="N54">
            <v>1.0295566502463054</v>
          </cell>
          <cell r="O54">
            <v>0</v>
          </cell>
          <cell r="P54" t="str">
            <v>€</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t="e">
            <v>#VALUE!</v>
          </cell>
          <cell r="BC54" t="e">
            <v>#VALUE!</v>
          </cell>
          <cell r="BD54" t="e">
            <v>#VALUE!</v>
          </cell>
          <cell r="BE54" t="e">
            <v>#VALUE!</v>
          </cell>
          <cell r="BF54" t="e">
            <v>#VALUE!</v>
          </cell>
          <cell r="BG54" t="e">
            <v>#VALUE!</v>
          </cell>
          <cell r="BH54" t="e">
            <v>#VALUE!</v>
          </cell>
          <cell r="BI54" t="e">
            <v>#VALUE!</v>
          </cell>
          <cell r="BJ54" t="e">
            <v>#VALUE!</v>
          </cell>
          <cell r="BK54" t="e">
            <v>#VALUE!</v>
          </cell>
          <cell r="BL54" t="e">
            <v>#VALUE!</v>
          </cell>
          <cell r="BM54" t="e">
            <v>#VALUE!</v>
          </cell>
          <cell r="BN54" t="e">
            <v>#VALUE!</v>
          </cell>
          <cell r="BO54" t="e">
            <v>#VALUE!</v>
          </cell>
          <cell r="BP54" t="e">
            <v>#VALUE!</v>
          </cell>
          <cell r="BQ54" t="e">
            <v>#VALUE!</v>
          </cell>
          <cell r="BR54" t="e">
            <v>#VALUE!</v>
          </cell>
          <cell r="BS54" t="e">
            <v>#VALUE!</v>
          </cell>
          <cell r="BT54" t="e">
            <v>#VALUE!</v>
          </cell>
          <cell r="BU54" t="e">
            <v>#VALUE!</v>
          </cell>
          <cell r="BV54" t="e">
            <v>#VALUE!</v>
          </cell>
          <cell r="BW54" t="e">
            <v>#VALUE!</v>
          </cell>
          <cell r="BX54" t="e">
            <v>#VALUE!</v>
          </cell>
          <cell r="BY54" t="e">
            <v>#VALUE!</v>
          </cell>
          <cell r="BZ54" t="e">
            <v>#VALUE!</v>
          </cell>
          <cell r="CA54" t="e">
            <v>#VALUE!</v>
          </cell>
          <cell r="CB54" t="e">
            <v>#VALUE!</v>
          </cell>
          <cell r="CC54" t="e">
            <v>#VALUE!</v>
          </cell>
          <cell r="CD54" t="e">
            <v>#VALUE!</v>
          </cell>
          <cell r="CE54" t="e">
            <v>#VALUE!</v>
          </cell>
          <cell r="CF54" t="e">
            <v>#VALUE!</v>
          </cell>
          <cell r="CG54" t="e">
            <v>#VALUE!</v>
          </cell>
          <cell r="CH54" t="e">
            <v>#VALUE!</v>
          </cell>
          <cell r="CI54" t="e">
            <v>#VALUE!</v>
          </cell>
          <cell r="CJ54" t="e">
            <v>#VALUE!</v>
          </cell>
          <cell r="CK54" t="e">
            <v>#VALUE!</v>
          </cell>
          <cell r="CL54" t="e">
            <v>#VALUE!</v>
          </cell>
          <cell r="CM54" t="e">
            <v>#VALUE!</v>
          </cell>
          <cell r="CN54" t="e">
            <v>#VALUE!</v>
          </cell>
          <cell r="CO54" t="e">
            <v>#VALUE!</v>
          </cell>
          <cell r="CP54" t="e">
            <v>#VALUE!</v>
          </cell>
          <cell r="CQ54" t="e">
            <v>#VALUE!</v>
          </cell>
          <cell r="CR54" t="e">
            <v>#VALUE!</v>
          </cell>
          <cell r="CS54" t="e">
            <v>#VALUE!</v>
          </cell>
          <cell r="CT54" t="e">
            <v>#VALUE!</v>
          </cell>
          <cell r="CU54" t="e">
            <v>#VALUE!</v>
          </cell>
          <cell r="CV54" t="e">
            <v>#VALUE!</v>
          </cell>
          <cell r="CW54" t="e">
            <v>#VALUE!</v>
          </cell>
          <cell r="CX54" t="e">
            <v>#VALUE!</v>
          </cell>
          <cell r="CY54" t="e">
            <v>#VALUE!</v>
          </cell>
          <cell r="CZ54" t="e">
            <v>#VALUE!</v>
          </cell>
          <cell r="DA54" t="e">
            <v>#VALUE!</v>
          </cell>
          <cell r="DB54" t="e">
            <v>#VALUE!</v>
          </cell>
          <cell r="DC54" t="e">
            <v>#VALUE!</v>
          </cell>
          <cell r="DD54" t="e">
            <v>#VALUE!</v>
          </cell>
          <cell r="DE54" t="e">
            <v>#VALUE!</v>
          </cell>
          <cell r="DF54" t="e">
            <v>#VALUE!</v>
          </cell>
          <cell r="DG54" t="e">
            <v>#VALUE!</v>
          </cell>
          <cell r="DH54" t="e">
            <v>#VALUE!</v>
          </cell>
          <cell r="DI54" t="e">
            <v>#VALUE!</v>
          </cell>
          <cell r="DJ54" t="e">
            <v>#VALUE!</v>
          </cell>
          <cell r="DK54" t="e">
            <v>#VALUE!</v>
          </cell>
          <cell r="DL54" t="e">
            <v>#VALUE!</v>
          </cell>
          <cell r="DM54" t="e">
            <v>#VALUE!</v>
          </cell>
        </row>
        <row r="55">
          <cell r="C55" t="str">
            <v>F3.1.d</v>
          </cell>
          <cell r="D55" t="str">
            <v>Heizung</v>
          </cell>
          <cell r="E55" t="str">
            <v>Hilfsstrom? KOHEIZ? Annahme: Raumwärmeerzeugung mit Energieträger Gas, Warmwassererzeugung mit Energieträger Strom</v>
          </cell>
          <cell r="F55" t="str">
            <v>BGFbeheizt*HEIZkWh*KOHEIZ</v>
          </cell>
          <cell r="G55">
            <v>343.88269878857142</v>
          </cell>
          <cell r="H55">
            <v>343.88269878857142</v>
          </cell>
          <cell r="J55" t="str">
            <v>€/Jahr</v>
          </cell>
          <cell r="K55" t="str">
            <v>1</v>
          </cell>
          <cell r="L55" t="str">
            <v>PENERG</v>
          </cell>
          <cell r="M55">
            <v>4.5</v>
          </cell>
          <cell r="N55">
            <v>1.0295566502463054</v>
          </cell>
          <cell r="O55">
            <v>22204.743786990119</v>
          </cell>
          <cell r="P55" t="str">
            <v>€</v>
          </cell>
          <cell r="Q55">
            <v>0</v>
          </cell>
          <cell r="R55">
            <v>354.04671944242079</v>
          </cell>
          <cell r="S55">
            <v>718.55787394225297</v>
          </cell>
          <cell r="T55">
            <v>1093.842757146514</v>
          </cell>
          <cell r="U55">
            <v>1480.2198043863691</v>
          </cell>
          <cell r="V55">
            <v>1878.0168628746912</v>
          </cell>
          <cell r="W55">
            <v>2287.571469889765</v>
          </cell>
          <cell r="X55">
            <v>2709.231139181145</v>
          </cell>
          <cell r="Y55">
            <v>3143.3536558407418</v>
          </cell>
          <cell r="Z55">
            <v>3590.3073798892924</v>
          </cell>
          <cell r="AA55">
            <v>4050.4715588358299</v>
          </cell>
          <cell r="AB55">
            <v>4524.2366494753696</v>
          </cell>
          <cell r="AC55">
            <v>5012.0046491978519</v>
          </cell>
          <cell r="AD55">
            <v>5514.189437089467</v>
          </cell>
          <cell r="AE55">
            <v>6031.2171251158152</v>
          </cell>
          <cell r="AF55">
            <v>6563.5264196848138</v>
          </cell>
          <cell r="AG55">
            <v>7111.5689938962432</v>
          </cell>
          <cell r="AH55">
            <v>7675.8098707937252</v>
          </cell>
          <cell r="AI55">
            <v>8256.7278179443347</v>
          </cell>
          <cell r="AJ55">
            <v>8854.8157536806775</v>
          </cell>
          <cell r="AK55">
            <v>9470.5811653501114</v>
          </cell>
          <cell r="AL55">
            <v>10104.546539926034</v>
          </cell>
          <cell r="AM55">
            <v>10757.249807346565</v>
          </cell>
          <cell r="AN55">
            <v>11429.244796956866</v>
          </cell>
          <cell r="AO55">
            <v>12121.101707442349</v>
          </cell>
          <cell r="AP55">
            <v>12833.407590651534</v>
          </cell>
          <cell r="AQ55">
            <v>13566.766849719123</v>
          </cell>
          <cell r="AR55">
            <v>14321.801751911862</v>
          </cell>
          <cell r="AS55">
            <v>15099.15295663247</v>
          </cell>
          <cell r="AT55">
            <v>15899.480059029536</v>
          </cell>
          <cell r="AU55">
            <v>16723.462149674808</v>
          </cell>
          <cell r="AV55">
            <v>17571.798390782496</v>
          </cell>
          <cell r="AW55">
            <v>18445.208609459867</v>
          </cell>
          <cell r="AX55">
            <v>19344.433908492236</v>
          </cell>
          <cell r="AY55">
            <v>20270.237295180734</v>
          </cell>
          <cell r="AZ55">
            <v>21223.404328766424</v>
          </cell>
          <cell r="BA55">
            <v>22204.743786990119</v>
          </cell>
          <cell r="BB55" t="e">
            <v>#VALUE!</v>
          </cell>
          <cell r="BC55" t="e">
            <v>#VALUE!</v>
          </cell>
          <cell r="BD55" t="e">
            <v>#VALUE!</v>
          </cell>
          <cell r="BE55" t="e">
            <v>#VALUE!</v>
          </cell>
          <cell r="BF55" t="e">
            <v>#VALUE!</v>
          </cell>
          <cell r="BG55" t="e">
            <v>#VALUE!</v>
          </cell>
          <cell r="BH55" t="e">
            <v>#VALUE!</v>
          </cell>
          <cell r="BI55" t="e">
            <v>#VALUE!</v>
          </cell>
          <cell r="BJ55" t="e">
            <v>#VALUE!</v>
          </cell>
          <cell r="BK55" t="e">
            <v>#VALUE!</v>
          </cell>
          <cell r="BL55" t="e">
            <v>#VALUE!</v>
          </cell>
          <cell r="BM55" t="e">
            <v>#VALUE!</v>
          </cell>
          <cell r="BN55" t="e">
            <v>#VALUE!</v>
          </cell>
          <cell r="BO55" t="e">
            <v>#VALUE!</v>
          </cell>
          <cell r="BP55" t="e">
            <v>#VALUE!</v>
          </cell>
          <cell r="BQ55" t="e">
            <v>#VALUE!</v>
          </cell>
          <cell r="BR55" t="e">
            <v>#VALUE!</v>
          </cell>
          <cell r="BS55" t="e">
            <v>#VALUE!</v>
          </cell>
          <cell r="BT55" t="e">
            <v>#VALUE!</v>
          </cell>
          <cell r="BU55" t="e">
            <v>#VALUE!</v>
          </cell>
          <cell r="BV55" t="e">
            <v>#VALUE!</v>
          </cell>
          <cell r="BW55" t="e">
            <v>#VALUE!</v>
          </cell>
          <cell r="BX55" t="e">
            <v>#VALUE!</v>
          </cell>
          <cell r="BY55" t="e">
            <v>#VALUE!</v>
          </cell>
          <cell r="BZ55" t="e">
            <v>#VALUE!</v>
          </cell>
          <cell r="CA55" t="e">
            <v>#VALUE!</v>
          </cell>
          <cell r="CB55" t="e">
            <v>#VALUE!</v>
          </cell>
          <cell r="CC55" t="e">
            <v>#VALUE!</v>
          </cell>
          <cell r="CD55" t="e">
            <v>#VALUE!</v>
          </cell>
          <cell r="CE55" t="e">
            <v>#VALUE!</v>
          </cell>
          <cell r="CF55" t="e">
            <v>#VALUE!</v>
          </cell>
          <cell r="CG55" t="e">
            <v>#VALUE!</v>
          </cell>
          <cell r="CH55" t="e">
            <v>#VALUE!</v>
          </cell>
          <cell r="CI55" t="e">
            <v>#VALUE!</v>
          </cell>
          <cell r="CJ55" t="e">
            <v>#VALUE!</v>
          </cell>
          <cell r="CK55" t="e">
            <v>#VALUE!</v>
          </cell>
          <cell r="CL55" t="e">
            <v>#VALUE!</v>
          </cell>
          <cell r="CM55" t="e">
            <v>#VALUE!</v>
          </cell>
          <cell r="CN55" t="e">
            <v>#VALUE!</v>
          </cell>
          <cell r="CO55" t="e">
            <v>#VALUE!</v>
          </cell>
          <cell r="CP55" t="e">
            <v>#VALUE!</v>
          </cell>
          <cell r="CQ55" t="e">
            <v>#VALUE!</v>
          </cell>
          <cell r="CR55" t="e">
            <v>#VALUE!</v>
          </cell>
          <cell r="CS55" t="e">
            <v>#VALUE!</v>
          </cell>
          <cell r="CT55" t="e">
            <v>#VALUE!</v>
          </cell>
          <cell r="CU55" t="e">
            <v>#VALUE!</v>
          </cell>
          <cell r="CV55" t="e">
            <v>#VALUE!</v>
          </cell>
          <cell r="CW55" t="e">
            <v>#VALUE!</v>
          </cell>
          <cell r="CX55" t="e">
            <v>#VALUE!</v>
          </cell>
          <cell r="CY55" t="e">
            <v>#VALUE!</v>
          </cell>
          <cell r="CZ55" t="e">
            <v>#VALUE!</v>
          </cell>
          <cell r="DA55" t="e">
            <v>#VALUE!</v>
          </cell>
          <cell r="DB55" t="e">
            <v>#VALUE!</v>
          </cell>
          <cell r="DC55" t="e">
            <v>#VALUE!</v>
          </cell>
          <cell r="DD55" t="e">
            <v>#VALUE!</v>
          </cell>
          <cell r="DE55" t="e">
            <v>#VALUE!</v>
          </cell>
          <cell r="DF55" t="e">
            <v>#VALUE!</v>
          </cell>
          <cell r="DG55" t="e">
            <v>#VALUE!</v>
          </cell>
          <cell r="DH55" t="e">
            <v>#VALUE!</v>
          </cell>
          <cell r="DI55" t="e">
            <v>#VALUE!</v>
          </cell>
          <cell r="DJ55" t="e">
            <v>#VALUE!</v>
          </cell>
          <cell r="DK55" t="e">
            <v>#VALUE!</v>
          </cell>
          <cell r="DL55" t="e">
            <v>#VALUE!</v>
          </cell>
          <cell r="DM55" t="e">
            <v>#VALUE!</v>
          </cell>
        </row>
        <row r="56">
          <cell r="C56" t="str">
            <v>F3.1.e</v>
          </cell>
          <cell r="D56" t="str">
            <v>Kühlung</v>
          </cell>
          <cell r="E56" t="str">
            <v>Hilfsstrom? KOKÜHL?</v>
          </cell>
          <cell r="F56" t="str">
            <v>BGFgekühlt*KÜHLkWh*KOKÜHL</v>
          </cell>
          <cell r="G56">
            <v>21.394463999999999</v>
          </cell>
          <cell r="H56">
            <v>21.394463999999999</v>
          </cell>
          <cell r="J56" t="str">
            <v>€/Jahr</v>
          </cell>
          <cell r="K56" t="str">
            <v>1</v>
          </cell>
          <cell r="L56" t="str">
            <v>PENERG</v>
          </cell>
          <cell r="M56">
            <v>4.5</v>
          </cell>
          <cell r="N56">
            <v>1.0295566502463054</v>
          </cell>
          <cell r="O56">
            <v>1381.4553429222181</v>
          </cell>
          <cell r="P56" t="str">
            <v>€</v>
          </cell>
          <cell r="Q56">
            <v>0</v>
          </cell>
          <cell r="R56">
            <v>22.02681268965517</v>
          </cell>
          <cell r="S56">
            <v>44.704664178019357</v>
          </cell>
          <cell r="T56">
            <v>68.052796991162793</v>
          </cell>
          <cell r="U56">
            <v>92.091022399768619</v>
          </cell>
          <cell r="V56">
            <v>116.83973722931835</v>
          </cell>
          <cell r="W56">
            <v>142.31994116713085</v>
          </cell>
          <cell r="X56">
            <v>168.55325458093768</v>
          </cell>
          <cell r="Y56">
            <v>195.56193686411805</v>
          </cell>
          <cell r="Z56">
            <v>223.36890532315601</v>
          </cell>
          <cell r="AA56">
            <v>251.99775462334782</v>
          </cell>
          <cell r="AB56">
            <v>281.47277680925964</v>
          </cell>
          <cell r="AC56">
            <v>311.8189819169225</v>
          </cell>
          <cell r="AD56">
            <v>343.06211919525498</v>
          </cell>
          <cell r="AE56">
            <v>375.22869895472081</v>
          </cell>
          <cell r="AF56">
            <v>408.34601506175699</v>
          </cell>
          <cell r="AG56">
            <v>442.44216809806505</v>
          </cell>
          <cell r="AH56">
            <v>477.54608920441183</v>
          </cell>
          <cell r="AI56">
            <v>513.6875646291727</v>
          </cell>
          <cell r="AJ56">
            <v>550.89726100244877</v>
          </cell>
          <cell r="AK56">
            <v>589.20675135720091</v>
          </cell>
          <cell r="AL56">
            <v>628.64854191948268</v>
          </cell>
          <cell r="AM56">
            <v>669.25609969050197</v>
          </cell>
          <cell r="AN56">
            <v>711.06388084391597</v>
          </cell>
          <cell r="AO56">
            <v>754.10735996245535</v>
          </cell>
          <cell r="AP56">
            <v>798.4230601386854</v>
          </cell>
          <cell r="AQ56">
            <v>844.04858396544455</v>
          </cell>
          <cell r="AR56">
            <v>891.02264544225568</v>
          </cell>
          <cell r="AS56">
            <v>939.38510282478558</v>
          </cell>
          <cell r="AT56">
            <v>989.17699244522203</v>
          </cell>
          <cell r="AU56">
            <v>1040.4405635322735</v>
          </cell>
          <cell r="AV56">
            <v>1093.219314060321</v>
          </cell>
          <cell r="AW56">
            <v>1147.5580276581629</v>
          </cell>
          <cell r="AX56">
            <v>1203.5028116086505</v>
          </cell>
          <cell r="AY56">
            <v>1261.101135971468</v>
          </cell>
          <cell r="AZ56">
            <v>1320.4018738622499</v>
          </cell>
          <cell r="BA56">
            <v>1381.4553429222181</v>
          </cell>
          <cell r="BB56" t="e">
            <v>#VALUE!</v>
          </cell>
          <cell r="BC56" t="e">
            <v>#VALUE!</v>
          </cell>
          <cell r="BD56" t="e">
            <v>#VALUE!</v>
          </cell>
          <cell r="BE56" t="e">
            <v>#VALUE!</v>
          </cell>
          <cell r="BF56" t="e">
            <v>#VALUE!</v>
          </cell>
          <cell r="BG56" t="e">
            <v>#VALUE!</v>
          </cell>
          <cell r="BH56" t="e">
            <v>#VALUE!</v>
          </cell>
          <cell r="BI56" t="e">
            <v>#VALUE!</v>
          </cell>
          <cell r="BJ56" t="e">
            <v>#VALUE!</v>
          </cell>
          <cell r="BK56" t="e">
            <v>#VALUE!</v>
          </cell>
          <cell r="BL56" t="e">
            <v>#VALUE!</v>
          </cell>
          <cell r="BM56" t="e">
            <v>#VALUE!</v>
          </cell>
          <cell r="BN56" t="e">
            <v>#VALUE!</v>
          </cell>
          <cell r="BO56" t="e">
            <v>#VALUE!</v>
          </cell>
          <cell r="BP56" t="e">
            <v>#VALUE!</v>
          </cell>
          <cell r="BQ56" t="e">
            <v>#VALUE!</v>
          </cell>
          <cell r="BR56" t="e">
            <v>#VALUE!</v>
          </cell>
          <cell r="BS56" t="e">
            <v>#VALUE!</v>
          </cell>
          <cell r="BT56" t="e">
            <v>#VALUE!</v>
          </cell>
          <cell r="BU56" t="e">
            <v>#VALUE!</v>
          </cell>
          <cell r="BV56" t="e">
            <v>#VALUE!</v>
          </cell>
          <cell r="BW56" t="e">
            <v>#VALUE!</v>
          </cell>
          <cell r="BX56" t="e">
            <v>#VALUE!</v>
          </cell>
          <cell r="BY56" t="e">
            <v>#VALUE!</v>
          </cell>
          <cell r="BZ56" t="e">
            <v>#VALUE!</v>
          </cell>
          <cell r="CA56" t="e">
            <v>#VALUE!</v>
          </cell>
          <cell r="CB56" t="e">
            <v>#VALUE!</v>
          </cell>
          <cell r="CC56" t="e">
            <v>#VALUE!</v>
          </cell>
          <cell r="CD56" t="e">
            <v>#VALUE!</v>
          </cell>
          <cell r="CE56" t="e">
            <v>#VALUE!</v>
          </cell>
          <cell r="CF56" t="e">
            <v>#VALUE!</v>
          </cell>
          <cell r="CG56" t="e">
            <v>#VALUE!</v>
          </cell>
          <cell r="CH56" t="e">
            <v>#VALUE!</v>
          </cell>
          <cell r="CI56" t="e">
            <v>#VALUE!</v>
          </cell>
          <cell r="CJ56" t="e">
            <v>#VALUE!</v>
          </cell>
          <cell r="CK56" t="e">
            <v>#VALUE!</v>
          </cell>
          <cell r="CL56" t="e">
            <v>#VALUE!</v>
          </cell>
          <cell r="CM56" t="e">
            <v>#VALUE!</v>
          </cell>
          <cell r="CN56" t="e">
            <v>#VALUE!</v>
          </cell>
          <cell r="CO56" t="e">
            <v>#VALUE!</v>
          </cell>
          <cell r="CP56" t="e">
            <v>#VALUE!</v>
          </cell>
          <cell r="CQ56" t="e">
            <v>#VALUE!</v>
          </cell>
          <cell r="CR56" t="e">
            <v>#VALUE!</v>
          </cell>
          <cell r="CS56" t="e">
            <v>#VALUE!</v>
          </cell>
          <cell r="CT56" t="e">
            <v>#VALUE!</v>
          </cell>
          <cell r="CU56" t="e">
            <v>#VALUE!</v>
          </cell>
          <cell r="CV56" t="e">
            <v>#VALUE!</v>
          </cell>
          <cell r="CW56" t="e">
            <v>#VALUE!</v>
          </cell>
          <cell r="CX56" t="e">
            <v>#VALUE!</v>
          </cell>
          <cell r="CY56" t="e">
            <v>#VALUE!</v>
          </cell>
          <cell r="CZ56" t="e">
            <v>#VALUE!</v>
          </cell>
          <cell r="DA56" t="e">
            <v>#VALUE!</v>
          </cell>
          <cell r="DB56" t="e">
            <v>#VALUE!</v>
          </cell>
          <cell r="DC56" t="e">
            <v>#VALUE!</v>
          </cell>
          <cell r="DD56" t="e">
            <v>#VALUE!</v>
          </cell>
          <cell r="DE56" t="e">
            <v>#VALUE!</v>
          </cell>
          <cell r="DF56" t="e">
            <v>#VALUE!</v>
          </cell>
          <cell r="DG56" t="e">
            <v>#VALUE!</v>
          </cell>
          <cell r="DH56" t="e">
            <v>#VALUE!</v>
          </cell>
          <cell r="DI56" t="e">
            <v>#VALUE!</v>
          </cell>
          <cell r="DJ56" t="e">
            <v>#VALUE!</v>
          </cell>
          <cell r="DK56" t="e">
            <v>#VALUE!</v>
          </cell>
          <cell r="DL56" t="e">
            <v>#VALUE!</v>
          </cell>
          <cell r="DM56" t="e">
            <v>#VALUE!</v>
          </cell>
        </row>
        <row r="57">
          <cell r="C57" t="str">
            <v>F3.1.f</v>
          </cell>
          <cell r="D57" t="str">
            <v>Warmwasser</v>
          </cell>
          <cell r="E57" t="str">
            <v>Hilfsstrom? KOWW?</v>
          </cell>
          <cell r="F57" t="str">
            <v>BGFbeheizt*WWkWh*KOWW</v>
          </cell>
          <cell r="G57">
            <v>142.98656914285715</v>
          </cell>
          <cell r="H57">
            <v>142.98656914285715</v>
          </cell>
          <cell r="J57" t="str">
            <v>€/Jahr</v>
          </cell>
          <cell r="K57" t="str">
            <v>1</v>
          </cell>
          <cell r="L57" t="str">
            <v>PENERG</v>
          </cell>
          <cell r="M57">
            <v>4.5</v>
          </cell>
          <cell r="N57">
            <v>1.0295566502463054</v>
          </cell>
          <cell r="O57">
            <v>9232.7416993721927</v>
          </cell>
          <cell r="P57" t="str">
            <v>€</v>
          </cell>
          <cell r="Q57">
            <v>0</v>
          </cell>
          <cell r="R57">
            <v>147.21277315693175</v>
          </cell>
          <cell r="S57">
            <v>298.77666276185158</v>
          </cell>
          <cell r="T57">
            <v>454.82027324179381</v>
          </cell>
          <cell r="U57">
            <v>615.47601013986252</v>
          </cell>
          <cell r="V57">
            <v>780.88019246348915</v>
          </cell>
          <cell r="W57">
            <v>951.17316835333281</v>
          </cell>
          <cell r="X57">
            <v>1126.4994341709544</v>
          </cell>
          <cell r="Y57">
            <v>1307.0077571063377</v>
          </cell>
          <cell r="Z57">
            <v>1492.8513014092696</v>
          </cell>
          <cell r="AA57">
            <v>1684.1877583516969</v>
          </cell>
          <cell r="AB57">
            <v>1881.1794800313392</v>
          </cell>
          <cell r="AC57">
            <v>2083.9936171300842</v>
          </cell>
          <cell r="AD57">
            <v>2292.8022607440612</v>
          </cell>
          <cell r="AE57">
            <v>2507.7825884057447</v>
          </cell>
          <cell r="AF57">
            <v>2729.1170144219604</v>
          </cell>
          <cell r="AG57">
            <v>2956.9933446554032</v>
          </cell>
          <cell r="AH57">
            <v>3191.6049358809673</v>
          </cell>
          <cell r="AI57">
            <v>3433.1508598521145</v>
          </cell>
          <cell r="AJ57">
            <v>3681.8360722164985</v>
          </cell>
          <cell r="AK57">
            <v>3937.8715864241635</v>
          </cell>
          <cell r="AL57">
            <v>4201.474652775898</v>
          </cell>
          <cell r="AM57">
            <v>4472.8689427636455</v>
          </cell>
          <cell r="AN57">
            <v>4752.2847388594046</v>
          </cell>
          <cell r="AO57">
            <v>5039.9591299136591</v>
          </cell>
          <cell r="AP57">
            <v>5336.136212329121</v>
          </cell>
          <cell r="AQ57">
            <v>5641.0672971805097</v>
          </cell>
          <cell r="AR57">
            <v>5955.0111234560773</v>
          </cell>
          <cell r="AS57">
            <v>6278.2340776018591</v>
          </cell>
          <cell r="AT57">
            <v>6611.0104195549011</v>
          </cell>
          <cell r="AU57">
            <v>6953.6225154573012</v>
          </cell>
          <cell r="AV57">
            <v>7306.3610772484399</v>
          </cell>
          <cell r="AW57">
            <v>7669.5254093388239</v>
          </cell>
          <cell r="AX57">
            <v>8043.4236625747353</v>
          </cell>
          <cell r="AY57">
            <v>8428.3730957092448</v>
          </cell>
          <cell r="AZ57">
            <v>8824.7003446014241</v>
          </cell>
          <cell r="BA57">
            <v>9232.7416993721927</v>
          </cell>
          <cell r="BB57" t="e">
            <v>#VALUE!</v>
          </cell>
          <cell r="BC57" t="e">
            <v>#VALUE!</v>
          </cell>
          <cell r="BD57" t="e">
            <v>#VALUE!</v>
          </cell>
          <cell r="BE57" t="e">
            <v>#VALUE!</v>
          </cell>
          <cell r="BF57" t="e">
            <v>#VALUE!</v>
          </cell>
          <cell r="BG57" t="e">
            <v>#VALUE!</v>
          </cell>
          <cell r="BH57" t="e">
            <v>#VALUE!</v>
          </cell>
          <cell r="BI57" t="e">
            <v>#VALUE!</v>
          </cell>
          <cell r="BJ57" t="e">
            <v>#VALUE!</v>
          </cell>
          <cell r="BK57" t="e">
            <v>#VALUE!</v>
          </cell>
          <cell r="BL57" t="e">
            <v>#VALUE!</v>
          </cell>
          <cell r="BM57" t="e">
            <v>#VALUE!</v>
          </cell>
          <cell r="BN57" t="e">
            <v>#VALUE!</v>
          </cell>
          <cell r="BO57" t="e">
            <v>#VALUE!</v>
          </cell>
          <cell r="BP57" t="e">
            <v>#VALUE!</v>
          </cell>
          <cell r="BQ57" t="e">
            <v>#VALUE!</v>
          </cell>
          <cell r="BR57" t="e">
            <v>#VALUE!</v>
          </cell>
          <cell r="BS57" t="e">
            <v>#VALUE!</v>
          </cell>
          <cell r="BT57" t="e">
            <v>#VALUE!</v>
          </cell>
          <cell r="BU57" t="e">
            <v>#VALUE!</v>
          </cell>
          <cell r="BV57" t="e">
            <v>#VALUE!</v>
          </cell>
          <cell r="BW57" t="e">
            <v>#VALUE!</v>
          </cell>
          <cell r="BX57" t="e">
            <v>#VALUE!</v>
          </cell>
          <cell r="BY57" t="e">
            <v>#VALUE!</v>
          </cell>
          <cell r="BZ57" t="e">
            <v>#VALUE!</v>
          </cell>
          <cell r="CA57" t="e">
            <v>#VALUE!</v>
          </cell>
          <cell r="CB57" t="e">
            <v>#VALUE!</v>
          </cell>
          <cell r="CC57" t="e">
            <v>#VALUE!</v>
          </cell>
          <cell r="CD57" t="e">
            <v>#VALUE!</v>
          </cell>
          <cell r="CE57" t="e">
            <v>#VALUE!</v>
          </cell>
          <cell r="CF57" t="e">
            <v>#VALUE!</v>
          </cell>
          <cell r="CG57" t="e">
            <v>#VALUE!</v>
          </cell>
          <cell r="CH57" t="e">
            <v>#VALUE!</v>
          </cell>
          <cell r="CI57" t="e">
            <v>#VALUE!</v>
          </cell>
          <cell r="CJ57" t="e">
            <v>#VALUE!</v>
          </cell>
          <cell r="CK57" t="e">
            <v>#VALUE!</v>
          </cell>
          <cell r="CL57" t="e">
            <v>#VALUE!</v>
          </cell>
          <cell r="CM57" t="e">
            <v>#VALUE!</v>
          </cell>
          <cell r="CN57" t="e">
            <v>#VALUE!</v>
          </cell>
          <cell r="CO57" t="e">
            <v>#VALUE!</v>
          </cell>
          <cell r="CP57" t="e">
            <v>#VALUE!</v>
          </cell>
          <cell r="CQ57" t="e">
            <v>#VALUE!</v>
          </cell>
          <cell r="CR57" t="e">
            <v>#VALUE!</v>
          </cell>
          <cell r="CS57" t="e">
            <v>#VALUE!</v>
          </cell>
          <cell r="CT57" t="e">
            <v>#VALUE!</v>
          </cell>
          <cell r="CU57" t="e">
            <v>#VALUE!</v>
          </cell>
          <cell r="CV57" t="e">
            <v>#VALUE!</v>
          </cell>
          <cell r="CW57" t="e">
            <v>#VALUE!</v>
          </cell>
          <cell r="CX57" t="e">
            <v>#VALUE!</v>
          </cell>
          <cell r="CY57" t="e">
            <v>#VALUE!</v>
          </cell>
          <cell r="CZ57" t="e">
            <v>#VALUE!</v>
          </cell>
          <cell r="DA57" t="e">
            <v>#VALUE!</v>
          </cell>
          <cell r="DB57" t="e">
            <v>#VALUE!</v>
          </cell>
          <cell r="DC57" t="e">
            <v>#VALUE!</v>
          </cell>
          <cell r="DD57" t="e">
            <v>#VALUE!</v>
          </cell>
          <cell r="DE57" t="e">
            <v>#VALUE!</v>
          </cell>
          <cell r="DF57" t="e">
            <v>#VALUE!</v>
          </cell>
          <cell r="DG57" t="e">
            <v>#VALUE!</v>
          </cell>
          <cell r="DH57" t="e">
            <v>#VALUE!</v>
          </cell>
          <cell r="DI57" t="e">
            <v>#VALUE!</v>
          </cell>
          <cell r="DJ57" t="e">
            <v>#VALUE!</v>
          </cell>
          <cell r="DK57" t="e">
            <v>#VALUE!</v>
          </cell>
          <cell r="DL57" t="e">
            <v>#VALUE!</v>
          </cell>
          <cell r="DM57" t="e">
            <v>#VALUE!</v>
          </cell>
        </row>
        <row r="58">
          <cell r="C58" t="str">
            <v>F3.1.g</v>
          </cell>
          <cell r="D58" t="str">
            <v>Erträge aus PV nach Deckung Eigenbedarf</v>
          </cell>
          <cell r="E58" t="str">
            <v>negative Kosten</v>
          </cell>
          <cell r="F58" t="str">
            <v>PVEINSP* EINSPTARIF</v>
          </cell>
          <cell r="G58">
            <v>0</v>
          </cell>
          <cell r="H58">
            <v>0</v>
          </cell>
          <cell r="J58" t="str">
            <v>€/Jahr</v>
          </cell>
          <cell r="K58" t="str">
            <v>1</v>
          </cell>
          <cell r="L58" t="str">
            <v>PENERG</v>
          </cell>
          <cell r="M58">
            <v>4.5</v>
          </cell>
          <cell r="N58">
            <v>1.0295566502463054</v>
          </cell>
          <cell r="O58">
            <v>0</v>
          </cell>
          <cell r="P58" t="str">
            <v>€</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t="e">
            <v>#VALUE!</v>
          </cell>
          <cell r="BC58" t="e">
            <v>#VALUE!</v>
          </cell>
          <cell r="BD58" t="e">
            <v>#VALUE!</v>
          </cell>
          <cell r="BE58" t="e">
            <v>#VALUE!</v>
          </cell>
          <cell r="BF58" t="e">
            <v>#VALUE!</v>
          </cell>
          <cell r="BG58" t="e">
            <v>#VALUE!</v>
          </cell>
          <cell r="BH58" t="e">
            <v>#VALUE!</v>
          </cell>
          <cell r="BI58" t="e">
            <v>#VALUE!</v>
          </cell>
          <cell r="BJ58" t="e">
            <v>#VALUE!</v>
          </cell>
          <cell r="BK58" t="e">
            <v>#VALUE!</v>
          </cell>
          <cell r="BL58" t="e">
            <v>#VALUE!</v>
          </cell>
          <cell r="BM58" t="e">
            <v>#VALUE!</v>
          </cell>
          <cell r="BN58" t="e">
            <v>#VALUE!</v>
          </cell>
          <cell r="BO58" t="e">
            <v>#VALUE!</v>
          </cell>
          <cell r="BP58" t="e">
            <v>#VALUE!</v>
          </cell>
          <cell r="BQ58" t="e">
            <v>#VALUE!</v>
          </cell>
          <cell r="BR58" t="e">
            <v>#VALUE!</v>
          </cell>
          <cell r="BS58" t="e">
            <v>#VALUE!</v>
          </cell>
          <cell r="BT58" t="e">
            <v>#VALUE!</v>
          </cell>
          <cell r="BU58" t="e">
            <v>#VALUE!</v>
          </cell>
          <cell r="BV58" t="e">
            <v>#VALUE!</v>
          </cell>
          <cell r="BW58" t="e">
            <v>#VALUE!</v>
          </cell>
          <cell r="BX58" t="e">
            <v>#VALUE!</v>
          </cell>
          <cell r="BY58" t="e">
            <v>#VALUE!</v>
          </cell>
          <cell r="BZ58" t="e">
            <v>#VALUE!</v>
          </cell>
          <cell r="CA58" t="e">
            <v>#VALUE!</v>
          </cell>
          <cell r="CB58" t="e">
            <v>#VALUE!</v>
          </cell>
          <cell r="CC58" t="e">
            <v>#VALUE!</v>
          </cell>
          <cell r="CD58" t="e">
            <v>#VALUE!</v>
          </cell>
          <cell r="CE58" t="e">
            <v>#VALUE!</v>
          </cell>
          <cell r="CF58" t="e">
            <v>#VALUE!</v>
          </cell>
          <cell r="CG58" t="e">
            <v>#VALUE!</v>
          </cell>
          <cell r="CH58" t="e">
            <v>#VALUE!</v>
          </cell>
          <cell r="CI58" t="e">
            <v>#VALUE!</v>
          </cell>
          <cell r="CJ58" t="e">
            <v>#VALUE!</v>
          </cell>
          <cell r="CK58" t="e">
            <v>#VALUE!</v>
          </cell>
          <cell r="CL58" t="e">
            <v>#VALUE!</v>
          </cell>
          <cell r="CM58" t="e">
            <v>#VALUE!</v>
          </cell>
          <cell r="CN58" t="e">
            <v>#VALUE!</v>
          </cell>
          <cell r="CO58" t="e">
            <v>#VALUE!</v>
          </cell>
          <cell r="CP58" t="e">
            <v>#VALUE!</v>
          </cell>
          <cell r="CQ58" t="e">
            <v>#VALUE!</v>
          </cell>
          <cell r="CR58" t="e">
            <v>#VALUE!</v>
          </cell>
          <cell r="CS58" t="e">
            <v>#VALUE!</v>
          </cell>
          <cell r="CT58" t="e">
            <v>#VALUE!</v>
          </cell>
          <cell r="CU58" t="e">
            <v>#VALUE!</v>
          </cell>
          <cell r="CV58" t="e">
            <v>#VALUE!</v>
          </cell>
          <cell r="CW58" t="e">
            <v>#VALUE!</v>
          </cell>
          <cell r="CX58" t="e">
            <v>#VALUE!</v>
          </cell>
          <cell r="CY58" t="e">
            <v>#VALUE!</v>
          </cell>
          <cell r="CZ58" t="e">
            <v>#VALUE!</v>
          </cell>
          <cell r="DA58" t="e">
            <v>#VALUE!</v>
          </cell>
          <cell r="DB58" t="e">
            <v>#VALUE!</v>
          </cell>
          <cell r="DC58" t="e">
            <v>#VALUE!</v>
          </cell>
          <cell r="DD58" t="e">
            <v>#VALUE!</v>
          </cell>
          <cell r="DE58" t="e">
            <v>#VALUE!</v>
          </cell>
          <cell r="DF58" t="e">
            <v>#VALUE!</v>
          </cell>
          <cell r="DG58" t="e">
            <v>#VALUE!</v>
          </cell>
          <cell r="DH58" t="e">
            <v>#VALUE!</v>
          </cell>
          <cell r="DI58" t="e">
            <v>#VALUE!</v>
          </cell>
          <cell r="DJ58" t="e">
            <v>#VALUE!</v>
          </cell>
          <cell r="DK58" t="e">
            <v>#VALUE!</v>
          </cell>
          <cell r="DL58" t="e">
            <v>#VALUE!</v>
          </cell>
          <cell r="DM58" t="e">
            <v>#VALUE!</v>
          </cell>
        </row>
        <row r="59">
          <cell r="C59" t="str">
            <v>F3.2</v>
          </cell>
          <cell r="D59" t="str">
            <v>Wasser und Abwasser</v>
          </cell>
          <cell r="F59" t="str">
            <v>#SUM</v>
          </cell>
          <cell r="G59">
            <v>1487.7467810999999</v>
          </cell>
          <cell r="J59" t="str">
            <v>€/Jahr</v>
          </cell>
          <cell r="O59">
            <v>64543.324785170909</v>
          </cell>
          <cell r="P59" t="str">
            <v>€</v>
          </cell>
        </row>
        <row r="60">
          <cell r="C60" t="str">
            <v>F3.2.a</v>
          </cell>
          <cell r="D60" t="str">
            <v>Wasser</v>
          </cell>
          <cell r="F60" t="str">
            <v>NF*(WAVnf*KOWA) + GRÜNF*(WAVgf*KOWA)</v>
          </cell>
          <cell r="G60">
            <v>710.98464330000002</v>
          </cell>
          <cell r="H60">
            <v>710.98464330000002</v>
          </cell>
          <cell r="J60" t="str">
            <v>€/Jahr</v>
          </cell>
          <cell r="K60">
            <v>1</v>
          </cell>
          <cell r="L60" t="str">
            <v>PALLG</v>
          </cell>
          <cell r="M60">
            <v>2.5</v>
          </cell>
          <cell r="N60">
            <v>1.0098522167487685</v>
          </cell>
          <cell r="O60">
            <v>30844.840891439511</v>
          </cell>
          <cell r="P60" t="str">
            <v>€</v>
          </cell>
          <cell r="Q60">
            <v>0</v>
          </cell>
          <cell r="R60">
            <v>717.98941811083739</v>
          </cell>
          <cell r="S60">
            <v>1443.0526235922248</v>
          </cell>
          <cell r="T60">
            <v>2175.2593089305774</v>
          </cell>
          <cell r="U60">
            <v>2914.679853237767</v>
          </cell>
          <cell r="V60">
            <v>3661.3853290159682</v>
          </cell>
          <cell r="W60">
            <v>4415.4475089890375</v>
          </cell>
          <cell r="X60">
            <v>5176.9388730012479</v>
          </cell>
          <cell r="Y60">
            <v>5945.9326149840081</v>
          </cell>
          <cell r="Z60">
            <v>6722.5026499912392</v>
          </cell>
          <cell r="AA60">
            <v>7506.7236213039641</v>
          </cell>
          <cell r="AB60">
            <v>8298.6709076049901</v>
          </cell>
          <cell r="AC60">
            <v>9098.4206302242419</v>
          </cell>
          <cell r="AD60">
            <v>9906.0496604555083</v>
          </cell>
          <cell r="AE60">
            <v>10721.63562694523</v>
          </cell>
          <cell r="AF60">
            <v>11545.256923154047</v>
          </cell>
          <cell r="AG60">
            <v>12376.992714892007</v>
          </cell>
          <cell r="AH60">
            <v>13216.922947927897</v>
          </cell>
          <cell r="AI60">
            <v>14065.12835567348</v>
          </cell>
          <cell r="AJ60">
            <v>14921.690466943664</v>
          </cell>
          <cell r="AK60">
            <v>15786.691613792864</v>
          </cell>
          <cell r="AL60">
            <v>16660.214939428744</v>
          </cell>
          <cell r="AM60">
            <v>17542.34440620392</v>
          </cell>
          <cell r="AN60">
            <v>18433.164803686221</v>
          </cell>
          <cell r="AO60">
            <v>19332.76175680873</v>
          </cell>
          <cell r="AP60">
            <v>20241.22173409996</v>
          </cell>
          <cell r="AQ60">
            <v>21158.632055995022</v>
          </cell>
          <cell r="AR60">
            <v>22085.080903228973</v>
          </cell>
          <cell r="AS60">
            <v>23020.657325312506</v>
          </cell>
          <cell r="AT60">
            <v>23965.451249091431</v>
          </cell>
          <cell r="AU60">
            <v>24919.553487390374</v>
          </cell>
          <cell r="AV60">
            <v>25883.05574774151</v>
          </cell>
          <cell r="AW60">
            <v>26856.050641199537</v>
          </cell>
          <cell r="AX60">
            <v>27838.631691243383</v>
          </cell>
          <cell r="AY60">
            <v>28830.893342765481</v>
          </cell>
          <cell r="AZ60">
            <v>29832.930971149883</v>
          </cell>
          <cell r="BA60">
            <v>30844.840891439511</v>
          </cell>
          <cell r="BB60" t="e">
            <v>#VALUE!</v>
          </cell>
          <cell r="BC60" t="e">
            <v>#VALUE!</v>
          </cell>
          <cell r="BD60" t="e">
            <v>#VALUE!</v>
          </cell>
          <cell r="BE60" t="e">
            <v>#VALUE!</v>
          </cell>
          <cell r="BF60" t="e">
            <v>#VALUE!</v>
          </cell>
          <cell r="BG60" t="e">
            <v>#VALUE!</v>
          </cell>
          <cell r="BH60" t="e">
            <v>#VALUE!</v>
          </cell>
          <cell r="BI60" t="e">
            <v>#VALUE!</v>
          </cell>
          <cell r="BJ60" t="e">
            <v>#VALUE!</v>
          </cell>
          <cell r="BK60" t="e">
            <v>#VALUE!</v>
          </cell>
          <cell r="BL60" t="e">
            <v>#VALUE!</v>
          </cell>
          <cell r="BM60" t="e">
            <v>#VALUE!</v>
          </cell>
          <cell r="BN60" t="e">
            <v>#VALUE!</v>
          </cell>
          <cell r="BO60" t="e">
            <v>#VALUE!</v>
          </cell>
          <cell r="BP60" t="e">
            <v>#VALUE!</v>
          </cell>
          <cell r="BQ60" t="e">
            <v>#VALUE!</v>
          </cell>
          <cell r="BR60" t="e">
            <v>#VALUE!</v>
          </cell>
          <cell r="BS60" t="e">
            <v>#VALUE!</v>
          </cell>
          <cell r="BT60" t="e">
            <v>#VALUE!</v>
          </cell>
          <cell r="BU60" t="e">
            <v>#VALUE!</v>
          </cell>
          <cell r="BV60" t="e">
            <v>#VALUE!</v>
          </cell>
          <cell r="BW60" t="e">
            <v>#VALUE!</v>
          </cell>
          <cell r="BX60" t="e">
            <v>#VALUE!</v>
          </cell>
          <cell r="BY60" t="e">
            <v>#VALUE!</v>
          </cell>
          <cell r="BZ60" t="e">
            <v>#VALUE!</v>
          </cell>
          <cell r="CA60" t="e">
            <v>#VALUE!</v>
          </cell>
          <cell r="CB60" t="e">
            <v>#VALUE!</v>
          </cell>
          <cell r="CC60" t="e">
            <v>#VALUE!</v>
          </cell>
          <cell r="CD60" t="e">
            <v>#VALUE!</v>
          </cell>
          <cell r="CE60" t="e">
            <v>#VALUE!</v>
          </cell>
          <cell r="CF60" t="e">
            <v>#VALUE!</v>
          </cell>
          <cell r="CG60" t="e">
            <v>#VALUE!</v>
          </cell>
          <cell r="CH60" t="e">
            <v>#VALUE!</v>
          </cell>
          <cell r="CI60" t="e">
            <v>#VALUE!</v>
          </cell>
          <cell r="CJ60" t="e">
            <v>#VALUE!</v>
          </cell>
          <cell r="CK60" t="e">
            <v>#VALUE!</v>
          </cell>
          <cell r="CL60" t="e">
            <v>#VALUE!</v>
          </cell>
          <cell r="CM60" t="e">
            <v>#VALUE!</v>
          </cell>
          <cell r="CN60" t="e">
            <v>#VALUE!</v>
          </cell>
          <cell r="CO60" t="e">
            <v>#VALUE!</v>
          </cell>
          <cell r="CP60" t="e">
            <v>#VALUE!</v>
          </cell>
          <cell r="CQ60" t="e">
            <v>#VALUE!</v>
          </cell>
          <cell r="CR60" t="e">
            <v>#VALUE!</v>
          </cell>
          <cell r="CS60" t="e">
            <v>#VALUE!</v>
          </cell>
          <cell r="CT60" t="e">
            <v>#VALUE!</v>
          </cell>
          <cell r="CU60" t="e">
            <v>#VALUE!</v>
          </cell>
          <cell r="CV60" t="e">
            <v>#VALUE!</v>
          </cell>
          <cell r="CW60" t="e">
            <v>#VALUE!</v>
          </cell>
          <cell r="CX60" t="e">
            <v>#VALUE!</v>
          </cell>
          <cell r="CY60" t="e">
            <v>#VALUE!</v>
          </cell>
          <cell r="CZ60" t="e">
            <v>#VALUE!</v>
          </cell>
          <cell r="DA60" t="e">
            <v>#VALUE!</v>
          </cell>
          <cell r="DB60" t="e">
            <v>#VALUE!</v>
          </cell>
          <cell r="DC60" t="e">
            <v>#VALUE!</v>
          </cell>
          <cell r="DD60" t="e">
            <v>#VALUE!</v>
          </cell>
          <cell r="DE60" t="e">
            <v>#VALUE!</v>
          </cell>
          <cell r="DF60" t="e">
            <v>#VALUE!</v>
          </cell>
          <cell r="DG60" t="e">
            <v>#VALUE!</v>
          </cell>
          <cell r="DH60" t="e">
            <v>#VALUE!</v>
          </cell>
          <cell r="DI60" t="e">
            <v>#VALUE!</v>
          </cell>
          <cell r="DJ60" t="e">
            <v>#VALUE!</v>
          </cell>
          <cell r="DK60" t="e">
            <v>#VALUE!</v>
          </cell>
          <cell r="DL60" t="e">
            <v>#VALUE!</v>
          </cell>
          <cell r="DM60" t="e">
            <v>#VALUE!</v>
          </cell>
        </row>
        <row r="61">
          <cell r="C61" t="str">
            <v>F3.2.b</v>
          </cell>
          <cell r="D61" t="str">
            <v>Abwasser</v>
          </cell>
          <cell r="F61" t="str">
            <v>NF*(AWVnf*KOAW) + GRÜNF*(AWVgf*KOAW)</v>
          </cell>
          <cell r="G61">
            <v>776.76213779999989</v>
          </cell>
          <cell r="H61">
            <v>776.76213779999989</v>
          </cell>
          <cell r="J61" t="str">
            <v>€/Jahr</v>
          </cell>
          <cell r="K61">
            <v>1</v>
          </cell>
          <cell r="L61" t="str">
            <v>PALLG</v>
          </cell>
          <cell r="M61">
            <v>2.5</v>
          </cell>
          <cell r="N61">
            <v>1.0098522167487685</v>
          </cell>
          <cell r="O61">
            <v>33698.483893731398</v>
          </cell>
          <cell r="P61" t="str">
            <v>€</v>
          </cell>
          <cell r="Q61">
            <v>0</v>
          </cell>
          <cell r="R61">
            <v>784.41496674384223</v>
          </cell>
          <cell r="S61">
            <v>1576.5581597610226</v>
          </cell>
          <cell r="T61">
            <v>2376.5057192118761</v>
          </cell>
          <cell r="U61">
            <v>3184.334535406073</v>
          </cell>
          <cell r="V61">
            <v>4000.1222561933209</v>
          </cell>
          <cell r="W61">
            <v>4823.9472944267591</v>
          </cell>
          <cell r="X61">
            <v>5655.8888354999317</v>
          </cell>
          <cell r="Y61">
            <v>6496.0268449580481</v>
          </cell>
          <cell r="Z61">
            <v>7344.4420761842348</v>
          </cell>
          <cell r="AA61">
            <v>8201.2160781614239</v>
          </cell>
          <cell r="AB61">
            <v>9066.4312033107981</v>
          </cell>
          <cell r="AC61">
            <v>9940.1706154074473</v>
          </cell>
          <cell r="AD61">
            <v>10822.518297574015</v>
          </cell>
          <cell r="AE61">
            <v>11713.559060353082</v>
          </cell>
          <cell r="AF61">
            <v>12613.37854985902</v>
          </cell>
          <cell r="AG61">
            <v>13522.063256010329</v>
          </cell>
          <cell r="AH61">
            <v>14439.700520842951</v>
          </cell>
          <cell r="AI61">
            <v>15366.378546905429</v>
          </cell>
          <cell r="AJ61">
            <v>16302.186405737013</v>
          </cell>
          <cell r="AK61">
            <v>17247.214046429002</v>
          </cell>
          <cell r="AL61">
            <v>18201.552304270659</v>
          </cell>
          <cell r="AM61">
            <v>19165.292909480238</v>
          </cell>
          <cell r="AN61">
            <v>20138.528496021911</v>
          </cell>
          <cell r="AO61">
            <v>21121.352610509795</v>
          </cell>
          <cell r="AP61">
            <v>22113.859721199558</v>
          </cell>
          <cell r="AQ61">
            <v>23116.145227068511</v>
          </cell>
          <cell r="AR61">
            <v>24128.30546698545</v>
          </cell>
          <cell r="AS61">
            <v>25150.437728970523</v>
          </cell>
          <cell r="AT61">
            <v>26182.64025954657</v>
          </cell>
          <cell r="AU61">
            <v>27225.01227318251</v>
          </cell>
          <cell r="AV61">
            <v>28277.653961829626</v>
          </cell>
          <cell r="AW61">
            <v>29340.666504552071</v>
          </cell>
          <cell r="AX61">
            <v>30414.1520772521</v>
          </cell>
          <cell r="AY61">
            <v>31498.213862491029</v>
          </cell>
          <cell r="AZ61">
            <v>32592.956059407214</v>
          </cell>
          <cell r="BA61">
            <v>33698.483893731398</v>
          </cell>
          <cell r="BB61" t="e">
            <v>#VALUE!</v>
          </cell>
          <cell r="BC61" t="e">
            <v>#VALUE!</v>
          </cell>
          <cell r="BD61" t="e">
            <v>#VALUE!</v>
          </cell>
          <cell r="BE61" t="e">
            <v>#VALUE!</v>
          </cell>
          <cell r="BF61" t="e">
            <v>#VALUE!</v>
          </cell>
          <cell r="BG61" t="e">
            <v>#VALUE!</v>
          </cell>
          <cell r="BH61" t="e">
            <v>#VALUE!</v>
          </cell>
          <cell r="BI61" t="e">
            <v>#VALUE!</v>
          </cell>
          <cell r="BJ61" t="e">
            <v>#VALUE!</v>
          </cell>
          <cell r="BK61" t="e">
            <v>#VALUE!</v>
          </cell>
          <cell r="BL61" t="e">
            <v>#VALUE!</v>
          </cell>
          <cell r="BM61" t="e">
            <v>#VALUE!</v>
          </cell>
          <cell r="BN61" t="e">
            <v>#VALUE!</v>
          </cell>
          <cell r="BO61" t="e">
            <v>#VALUE!</v>
          </cell>
          <cell r="BP61" t="e">
            <v>#VALUE!</v>
          </cell>
          <cell r="BQ61" t="e">
            <v>#VALUE!</v>
          </cell>
          <cell r="BR61" t="e">
            <v>#VALUE!</v>
          </cell>
          <cell r="BS61" t="e">
            <v>#VALUE!</v>
          </cell>
          <cell r="BT61" t="e">
            <v>#VALUE!</v>
          </cell>
          <cell r="BU61" t="e">
            <v>#VALUE!</v>
          </cell>
          <cell r="BV61" t="e">
            <v>#VALUE!</v>
          </cell>
          <cell r="BW61" t="e">
            <v>#VALUE!</v>
          </cell>
          <cell r="BX61" t="e">
            <v>#VALUE!</v>
          </cell>
          <cell r="BY61" t="e">
            <v>#VALUE!</v>
          </cell>
          <cell r="BZ61" t="e">
            <v>#VALUE!</v>
          </cell>
          <cell r="CA61" t="e">
            <v>#VALUE!</v>
          </cell>
          <cell r="CB61" t="e">
            <v>#VALUE!</v>
          </cell>
          <cell r="CC61" t="e">
            <v>#VALUE!</v>
          </cell>
          <cell r="CD61" t="e">
            <v>#VALUE!</v>
          </cell>
          <cell r="CE61" t="e">
            <v>#VALUE!</v>
          </cell>
          <cell r="CF61" t="e">
            <v>#VALUE!</v>
          </cell>
          <cell r="CG61" t="e">
            <v>#VALUE!</v>
          </cell>
          <cell r="CH61" t="e">
            <v>#VALUE!</v>
          </cell>
          <cell r="CI61" t="e">
            <v>#VALUE!</v>
          </cell>
          <cell r="CJ61" t="e">
            <v>#VALUE!</v>
          </cell>
          <cell r="CK61" t="e">
            <v>#VALUE!</v>
          </cell>
          <cell r="CL61" t="e">
            <v>#VALUE!</v>
          </cell>
          <cell r="CM61" t="e">
            <v>#VALUE!</v>
          </cell>
          <cell r="CN61" t="e">
            <v>#VALUE!</v>
          </cell>
          <cell r="CO61" t="e">
            <v>#VALUE!</v>
          </cell>
          <cell r="CP61" t="e">
            <v>#VALUE!</v>
          </cell>
          <cell r="CQ61" t="e">
            <v>#VALUE!</v>
          </cell>
          <cell r="CR61" t="e">
            <v>#VALUE!</v>
          </cell>
          <cell r="CS61" t="e">
            <v>#VALUE!</v>
          </cell>
          <cell r="CT61" t="e">
            <v>#VALUE!</v>
          </cell>
          <cell r="CU61" t="e">
            <v>#VALUE!</v>
          </cell>
          <cell r="CV61" t="e">
            <v>#VALUE!</v>
          </cell>
          <cell r="CW61" t="e">
            <v>#VALUE!</v>
          </cell>
          <cell r="CX61" t="e">
            <v>#VALUE!</v>
          </cell>
          <cell r="CY61" t="e">
            <v>#VALUE!</v>
          </cell>
          <cell r="CZ61" t="e">
            <v>#VALUE!</v>
          </cell>
          <cell r="DA61" t="e">
            <v>#VALUE!</v>
          </cell>
          <cell r="DB61" t="e">
            <v>#VALUE!</v>
          </cell>
          <cell r="DC61" t="e">
            <v>#VALUE!</v>
          </cell>
          <cell r="DD61" t="e">
            <v>#VALUE!</v>
          </cell>
          <cell r="DE61" t="e">
            <v>#VALUE!</v>
          </cell>
          <cell r="DF61" t="e">
            <v>#VALUE!</v>
          </cell>
          <cell r="DG61" t="e">
            <v>#VALUE!</v>
          </cell>
          <cell r="DH61" t="e">
            <v>#VALUE!</v>
          </cell>
          <cell r="DI61" t="e">
            <v>#VALUE!</v>
          </cell>
          <cell r="DJ61" t="e">
            <v>#VALUE!</v>
          </cell>
          <cell r="DK61" t="e">
            <v>#VALUE!</v>
          </cell>
          <cell r="DL61" t="e">
            <v>#VALUE!</v>
          </cell>
          <cell r="DM61" t="e">
            <v>#VALUE!</v>
          </cell>
        </row>
        <row r="62">
          <cell r="C62" t="str">
            <v>F3.3</v>
          </cell>
          <cell r="D62" t="str">
            <v>Müllentsorgung</v>
          </cell>
          <cell r="F62" t="str">
            <v>NUE*MÜLLm3*MÜLLKm3</v>
          </cell>
          <cell r="G62">
            <v>134.0196</v>
          </cell>
          <cell r="H62">
            <v>134.0196</v>
          </cell>
          <cell r="J62" t="str">
            <v>€/Jahr</v>
          </cell>
          <cell r="K62" t="str">
            <v>1</v>
          </cell>
          <cell r="L62" t="str">
            <v>PLOHN</v>
          </cell>
          <cell r="M62">
            <v>2.5</v>
          </cell>
          <cell r="N62">
            <v>1.0098522167487685</v>
          </cell>
          <cell r="O62">
            <v>5814.2088964783798</v>
          </cell>
          <cell r="P62" t="str">
            <v>€</v>
          </cell>
          <cell r="Q62">
            <v>0</v>
          </cell>
          <cell r="R62">
            <v>135.33999014778325</v>
          </cell>
          <cell r="S62">
            <v>272.01337921327865</v>
          </cell>
          <cell r="T62">
            <v>410.03330413163712</v>
          </cell>
          <cell r="U62">
            <v>549.41303126593743</v>
          </cell>
          <cell r="V62">
            <v>690.16595768235004</v>
          </cell>
          <cell r="W62">
            <v>832.30561243784223</v>
          </cell>
          <cell r="X62">
            <v>975.84565788058001</v>
          </cell>
          <cell r="Y62">
            <v>1120.7998909631453</v>
          </cell>
          <cell r="Z62">
            <v>1267.1822445686935</v>
          </cell>
          <cell r="AA62">
            <v>1415.0067888501592</v>
          </cell>
          <cell r="AB62">
            <v>1564.2877325826732</v>
          </cell>
          <cell r="AC62">
            <v>1715.0394245292991</v>
          </cell>
          <cell r="AD62">
            <v>1867.2763548202267</v>
          </cell>
          <cell r="AE62">
            <v>2021.0131563455514</v>
          </cell>
          <cell r="AF62">
            <v>2176.2646061617634</v>
          </cell>
          <cell r="AG62">
            <v>2333.0456269121232</v>
          </cell>
          <cell r="AH62">
            <v>2491.371288261013</v>
          </cell>
          <cell r="AI62">
            <v>2651.2568083423998</v>
          </cell>
          <cell r="AJ62">
            <v>2812.7175552226208</v>
          </cell>
          <cell r="AK62">
            <v>2975.7690483775236</v>
          </cell>
          <cell r="AL62">
            <v>3140.426960184197</v>
          </cell>
          <cell r="AM62">
            <v>3306.7071174273942</v>
          </cell>
          <cell r="AN62">
            <v>3474.6255028207665</v>
          </cell>
          <cell r="AO62">
            <v>3644.1982565431358</v>
          </cell>
          <cell r="AP62">
            <v>3815.4416777898687</v>
          </cell>
          <cell r="AQ62">
            <v>3988.3722263395207</v>
          </cell>
          <cell r="AR62">
            <v>4163.0065241359707</v>
          </cell>
          <cell r="AS62">
            <v>4339.3613568860774</v>
          </cell>
          <cell r="AT62">
            <v>4517.4536756731295</v>
          </cell>
          <cell r="AU62">
            <v>4697.3005985861682</v>
          </cell>
          <cell r="AV62">
            <v>4878.9194123653415</v>
          </cell>
          <cell r="AW62">
            <v>5062.3275740635199</v>
          </cell>
          <cell r="AX62">
            <v>5247.5427127242456</v>
          </cell>
          <cell r="AY62">
            <v>5434.5826310762077</v>
          </cell>
          <cell r="AZ62">
            <v>5623.4653072444489</v>
          </cell>
          <cell r="BA62">
            <v>5814.2088964783798</v>
          </cell>
          <cell r="BB62" t="e">
            <v>#VALUE!</v>
          </cell>
          <cell r="BC62" t="e">
            <v>#VALUE!</v>
          </cell>
          <cell r="BD62" t="e">
            <v>#VALUE!</v>
          </cell>
          <cell r="BE62" t="e">
            <v>#VALUE!</v>
          </cell>
          <cell r="BF62" t="e">
            <v>#VALUE!</v>
          </cell>
          <cell r="BG62" t="e">
            <v>#VALUE!</v>
          </cell>
          <cell r="BH62" t="e">
            <v>#VALUE!</v>
          </cell>
          <cell r="BI62" t="e">
            <v>#VALUE!</v>
          </cell>
          <cell r="BJ62" t="e">
            <v>#VALUE!</v>
          </cell>
          <cell r="BK62" t="e">
            <v>#VALUE!</v>
          </cell>
          <cell r="BL62" t="e">
            <v>#VALUE!</v>
          </cell>
          <cell r="BM62" t="e">
            <v>#VALUE!</v>
          </cell>
          <cell r="BN62" t="e">
            <v>#VALUE!</v>
          </cell>
          <cell r="BO62" t="e">
            <v>#VALUE!</v>
          </cell>
          <cell r="BP62" t="e">
            <v>#VALUE!</v>
          </cell>
          <cell r="BQ62" t="e">
            <v>#VALUE!</v>
          </cell>
          <cell r="BR62" t="e">
            <v>#VALUE!</v>
          </cell>
          <cell r="BS62" t="e">
            <v>#VALUE!</v>
          </cell>
          <cell r="BT62" t="e">
            <v>#VALUE!</v>
          </cell>
          <cell r="BU62" t="e">
            <v>#VALUE!</v>
          </cell>
          <cell r="BV62" t="e">
            <v>#VALUE!</v>
          </cell>
          <cell r="BW62" t="e">
            <v>#VALUE!</v>
          </cell>
          <cell r="BX62" t="e">
            <v>#VALUE!</v>
          </cell>
          <cell r="BY62" t="e">
            <v>#VALUE!</v>
          </cell>
          <cell r="BZ62" t="e">
            <v>#VALUE!</v>
          </cell>
          <cell r="CA62" t="e">
            <v>#VALUE!</v>
          </cell>
          <cell r="CB62" t="e">
            <v>#VALUE!</v>
          </cell>
          <cell r="CC62" t="e">
            <v>#VALUE!</v>
          </cell>
          <cell r="CD62" t="e">
            <v>#VALUE!</v>
          </cell>
          <cell r="CE62" t="e">
            <v>#VALUE!</v>
          </cell>
          <cell r="CF62" t="e">
            <v>#VALUE!</v>
          </cell>
          <cell r="CG62" t="e">
            <v>#VALUE!</v>
          </cell>
          <cell r="CH62" t="e">
            <v>#VALUE!</v>
          </cell>
          <cell r="CI62" t="e">
            <v>#VALUE!</v>
          </cell>
          <cell r="CJ62" t="e">
            <v>#VALUE!</v>
          </cell>
          <cell r="CK62" t="e">
            <v>#VALUE!</v>
          </cell>
          <cell r="CL62" t="e">
            <v>#VALUE!</v>
          </cell>
          <cell r="CM62" t="e">
            <v>#VALUE!</v>
          </cell>
          <cell r="CN62" t="e">
            <v>#VALUE!</v>
          </cell>
          <cell r="CO62" t="e">
            <v>#VALUE!</v>
          </cell>
          <cell r="CP62" t="e">
            <v>#VALUE!</v>
          </cell>
          <cell r="CQ62" t="e">
            <v>#VALUE!</v>
          </cell>
          <cell r="CR62" t="e">
            <v>#VALUE!</v>
          </cell>
          <cell r="CS62" t="e">
            <v>#VALUE!</v>
          </cell>
          <cell r="CT62" t="e">
            <v>#VALUE!</v>
          </cell>
          <cell r="CU62" t="e">
            <v>#VALUE!</v>
          </cell>
          <cell r="CV62" t="e">
            <v>#VALUE!</v>
          </cell>
          <cell r="CW62" t="e">
            <v>#VALUE!</v>
          </cell>
          <cell r="CX62" t="e">
            <v>#VALUE!</v>
          </cell>
          <cell r="CY62" t="e">
            <v>#VALUE!</v>
          </cell>
          <cell r="CZ62" t="e">
            <v>#VALUE!</v>
          </cell>
          <cell r="DA62" t="e">
            <v>#VALUE!</v>
          </cell>
          <cell r="DB62" t="e">
            <v>#VALUE!</v>
          </cell>
          <cell r="DC62" t="e">
            <v>#VALUE!</v>
          </cell>
          <cell r="DD62" t="e">
            <v>#VALUE!</v>
          </cell>
          <cell r="DE62" t="e">
            <v>#VALUE!</v>
          </cell>
          <cell r="DF62" t="e">
            <v>#VALUE!</v>
          </cell>
          <cell r="DG62" t="e">
            <v>#VALUE!</v>
          </cell>
          <cell r="DH62" t="e">
            <v>#VALUE!</v>
          </cell>
          <cell r="DI62" t="e">
            <v>#VALUE!</v>
          </cell>
          <cell r="DJ62" t="e">
            <v>#VALUE!</v>
          </cell>
          <cell r="DK62" t="e">
            <v>#VALUE!</v>
          </cell>
          <cell r="DL62" t="e">
            <v>#VALUE!</v>
          </cell>
          <cell r="DM62" t="e">
            <v>#VALUE!</v>
          </cell>
        </row>
        <row r="63">
          <cell r="C63" t="str">
            <v>F3.4</v>
          </cell>
          <cell r="D63" t="str">
            <v>Sonstige Medien</v>
          </cell>
          <cell r="G63">
            <v>0</v>
          </cell>
          <cell r="J63" t="str">
            <v>€/Jahr</v>
          </cell>
          <cell r="K63">
            <v>1</v>
          </cell>
          <cell r="L63" t="str">
            <v>PENERG</v>
          </cell>
          <cell r="M63">
            <v>4.5</v>
          </cell>
          <cell r="N63">
            <v>1.0295566502463054</v>
          </cell>
          <cell r="O63">
            <v>0</v>
          </cell>
          <cell r="P63" t="str">
            <v>€</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t="e">
            <v>#VALUE!</v>
          </cell>
          <cell r="BC63" t="e">
            <v>#VALUE!</v>
          </cell>
          <cell r="BD63" t="e">
            <v>#VALUE!</v>
          </cell>
          <cell r="BE63" t="e">
            <v>#VALUE!</v>
          </cell>
          <cell r="BF63" t="e">
            <v>#VALUE!</v>
          </cell>
          <cell r="BG63" t="e">
            <v>#VALUE!</v>
          </cell>
          <cell r="BH63" t="e">
            <v>#VALUE!</v>
          </cell>
          <cell r="BI63" t="e">
            <v>#VALUE!</v>
          </cell>
          <cell r="BJ63" t="e">
            <v>#VALUE!</v>
          </cell>
          <cell r="BK63" t="e">
            <v>#VALUE!</v>
          </cell>
          <cell r="BL63" t="e">
            <v>#VALUE!</v>
          </cell>
          <cell r="BM63" t="e">
            <v>#VALUE!</v>
          </cell>
          <cell r="BN63" t="e">
            <v>#VALUE!</v>
          </cell>
          <cell r="BO63" t="e">
            <v>#VALUE!</v>
          </cell>
          <cell r="BP63" t="e">
            <v>#VALUE!</v>
          </cell>
          <cell r="BQ63" t="e">
            <v>#VALUE!</v>
          </cell>
          <cell r="BR63" t="e">
            <v>#VALUE!</v>
          </cell>
          <cell r="BS63" t="e">
            <v>#VALUE!</v>
          </cell>
          <cell r="BT63" t="e">
            <v>#VALUE!</v>
          </cell>
          <cell r="BU63" t="e">
            <v>#VALUE!</v>
          </cell>
          <cell r="BV63" t="e">
            <v>#VALUE!</v>
          </cell>
          <cell r="BW63" t="e">
            <v>#VALUE!</v>
          </cell>
          <cell r="BX63" t="e">
            <v>#VALUE!</v>
          </cell>
          <cell r="BY63" t="e">
            <v>#VALUE!</v>
          </cell>
          <cell r="BZ63" t="e">
            <v>#VALUE!</v>
          </cell>
          <cell r="CA63" t="e">
            <v>#VALUE!</v>
          </cell>
          <cell r="CB63" t="e">
            <v>#VALUE!</v>
          </cell>
          <cell r="CC63" t="e">
            <v>#VALUE!</v>
          </cell>
          <cell r="CD63" t="e">
            <v>#VALUE!</v>
          </cell>
          <cell r="CE63" t="e">
            <v>#VALUE!</v>
          </cell>
          <cell r="CF63" t="e">
            <v>#VALUE!</v>
          </cell>
          <cell r="CG63" t="e">
            <v>#VALUE!</v>
          </cell>
          <cell r="CH63" t="e">
            <v>#VALUE!</v>
          </cell>
          <cell r="CI63" t="e">
            <v>#VALUE!</v>
          </cell>
          <cell r="CJ63" t="e">
            <v>#VALUE!</v>
          </cell>
          <cell r="CK63" t="e">
            <v>#VALUE!</v>
          </cell>
          <cell r="CL63" t="e">
            <v>#VALUE!</v>
          </cell>
          <cell r="CM63" t="e">
            <v>#VALUE!</v>
          </cell>
          <cell r="CN63" t="e">
            <v>#VALUE!</v>
          </cell>
          <cell r="CO63" t="e">
            <v>#VALUE!</v>
          </cell>
          <cell r="CP63" t="e">
            <v>#VALUE!</v>
          </cell>
          <cell r="CQ63" t="e">
            <v>#VALUE!</v>
          </cell>
          <cell r="CR63" t="e">
            <v>#VALUE!</v>
          </cell>
          <cell r="CS63" t="e">
            <v>#VALUE!</v>
          </cell>
          <cell r="CT63" t="e">
            <v>#VALUE!</v>
          </cell>
          <cell r="CU63" t="e">
            <v>#VALUE!</v>
          </cell>
          <cell r="CV63" t="e">
            <v>#VALUE!</v>
          </cell>
          <cell r="CW63" t="e">
            <v>#VALUE!</v>
          </cell>
          <cell r="CX63" t="e">
            <v>#VALUE!</v>
          </cell>
          <cell r="CY63" t="e">
            <v>#VALUE!</v>
          </cell>
          <cell r="CZ63" t="e">
            <v>#VALUE!</v>
          </cell>
          <cell r="DA63" t="e">
            <v>#VALUE!</v>
          </cell>
          <cell r="DB63" t="e">
            <v>#VALUE!</v>
          </cell>
          <cell r="DC63" t="e">
            <v>#VALUE!</v>
          </cell>
          <cell r="DD63" t="e">
            <v>#VALUE!</v>
          </cell>
          <cell r="DE63" t="e">
            <v>#VALUE!</v>
          </cell>
          <cell r="DF63" t="e">
            <v>#VALUE!</v>
          </cell>
          <cell r="DG63" t="e">
            <v>#VALUE!</v>
          </cell>
          <cell r="DH63" t="e">
            <v>#VALUE!</v>
          </cell>
          <cell r="DI63" t="e">
            <v>#VALUE!</v>
          </cell>
          <cell r="DJ63" t="e">
            <v>#VALUE!</v>
          </cell>
          <cell r="DK63" t="e">
            <v>#VALUE!</v>
          </cell>
          <cell r="DL63" t="e">
            <v>#VALUE!</v>
          </cell>
          <cell r="DM63" t="e">
            <v>#VALUE!</v>
          </cell>
        </row>
        <row r="64">
          <cell r="C64" t="str">
            <v>F4</v>
          </cell>
          <cell r="D64" t="str">
            <v>Reinigung und Pflege</v>
          </cell>
          <cell r="F64" t="str">
            <v>#SUM</v>
          </cell>
          <cell r="G64">
            <v>58705.009085999991</v>
          </cell>
          <cell r="J64" t="str">
            <v>€/Jahr</v>
          </cell>
          <cell r="O64">
            <v>2546815.4366649743</v>
          </cell>
          <cell r="P64" t="str">
            <v>€</v>
          </cell>
        </row>
        <row r="65">
          <cell r="C65" t="str">
            <v>F4.1</v>
          </cell>
          <cell r="D65" t="str">
            <v>Unterhaltsreinigung</v>
          </cell>
          <cell r="F65" t="str">
            <v>#SUM</v>
          </cell>
          <cell r="G65">
            <v>50850.646703999992</v>
          </cell>
          <cell r="J65" t="str">
            <v>€/Jahr</v>
          </cell>
          <cell r="O65">
            <v>2206067.4890693277</v>
          </cell>
          <cell r="P65" t="str">
            <v>€</v>
          </cell>
        </row>
        <row r="66">
          <cell r="C66" t="str">
            <v>F4.1.a</v>
          </cell>
          <cell r="D66" t="str">
            <v>Büro/Wohnflächenreinigungskosten</v>
          </cell>
          <cell r="F66" t="str">
            <v>RKBWa</v>
          </cell>
          <cell r="G66">
            <v>11328.644448000001</v>
          </cell>
          <cell r="H66">
            <v>11328.644448000001</v>
          </cell>
          <cell r="J66" t="str">
            <v>€/Jahr</v>
          </cell>
          <cell r="K66" t="str">
            <v>1</v>
          </cell>
          <cell r="L66" t="str">
            <v>PALLG</v>
          </cell>
          <cell r="M66">
            <v>2.5</v>
          </cell>
          <cell r="N66">
            <v>1.0098522167487685</v>
          </cell>
          <cell r="O66">
            <v>491473.67500426807</v>
          </cell>
          <cell r="P66" t="str">
            <v>€</v>
          </cell>
          <cell r="Q66">
            <v>0</v>
          </cell>
          <cell r="R66">
            <v>11440.256708571429</v>
          </cell>
          <cell r="S66">
            <v>22993.225305897253</v>
          </cell>
          <cell r="T66">
            <v>34660.016253935741</v>
          </cell>
          <cell r="U66">
            <v>46441.750955156655</v>
          </cell>
          <cell r="V66">
            <v>58339.561860330556</v>
          </cell>
          <cell r="W66">
            <v>70354.592577378251</v>
          </cell>
          <cell r="X66">
            <v>82487.997981293345</v>
          </cell>
          <cell r="Y66">
            <v>94740.944325148288</v>
          </cell>
          <cell r="Z66">
            <v>107114.60935219408</v>
          </cell>
          <cell r="AA66">
            <v>119610.18240906304</v>
          </cell>
          <cell r="AB66">
            <v>132228.86456008832</v>
          </cell>
          <cell r="AC66">
            <v>144971.86870274914</v>
          </cell>
          <cell r="AD66">
            <v>157840.41968425395</v>
          </cell>
          <cell r="AE66">
            <v>170835.75441927143</v>
          </cell>
          <cell r="AF66">
            <v>183959.12200882085</v>
          </cell>
          <cell r="AG66">
            <v>197211.78386033615</v>
          </cell>
          <cell r="AH66">
            <v>210595.01380891103</v>
          </cell>
          <cell r="AI66">
            <v>224110.09823973753</v>
          </cell>
          <cell r="AJ66">
            <v>237758.33621175471</v>
          </cell>
          <cell r="AK66">
            <v>251541.03958251092</v>
          </cell>
          <cell r="AL66">
            <v>265459.53313425963</v>
          </cell>
          <cell r="AM66">
            <v>279515.15470129694</v>
          </cell>
          <cell r="AN66">
            <v>293709.255298551</v>
          </cell>
          <cell r="AO66">
            <v>308043.19925144291</v>
          </cell>
          <cell r="AP66">
            <v>322518.3643270238</v>
          </cell>
          <cell r="AQ66">
            <v>337136.14186640317</v>
          </cell>
          <cell r="AR66">
            <v>351897.93691848614</v>
          </cell>
          <cell r="AS66">
            <v>366805.16837502283</v>
          </cell>
          <cell r="AT66">
            <v>381859.26910699328</v>
          </cell>
          <cell r="AU66">
            <v>397061.6861023333</v>
          </cell>
          <cell r="AV66">
            <v>412413.88060501637</v>
          </cell>
          <cell r="AW66">
            <v>427917.32825550891</v>
          </cell>
          <cell r="AX66">
            <v>443573.51923260768</v>
          </cell>
          <cell r="AY66">
            <v>459383.95839667268</v>
          </cell>
          <cell r="AZ66">
            <v>475350.16543427558</v>
          </cell>
          <cell r="BA66">
            <v>491473.67500426807</v>
          </cell>
          <cell r="BB66" t="e">
            <v>#VALUE!</v>
          </cell>
          <cell r="BC66" t="e">
            <v>#VALUE!</v>
          </cell>
          <cell r="BD66" t="e">
            <v>#VALUE!</v>
          </cell>
          <cell r="BE66" t="e">
            <v>#VALUE!</v>
          </cell>
          <cell r="BF66" t="e">
            <v>#VALUE!</v>
          </cell>
          <cell r="BG66" t="e">
            <v>#VALUE!</v>
          </cell>
          <cell r="BH66" t="e">
            <v>#VALUE!</v>
          </cell>
          <cell r="BI66" t="e">
            <v>#VALUE!</v>
          </cell>
          <cell r="BJ66" t="e">
            <v>#VALUE!</v>
          </cell>
          <cell r="BK66" t="e">
            <v>#VALUE!</v>
          </cell>
          <cell r="BL66" t="e">
            <v>#VALUE!</v>
          </cell>
          <cell r="BM66" t="e">
            <v>#VALUE!</v>
          </cell>
          <cell r="BN66" t="e">
            <v>#VALUE!</v>
          </cell>
          <cell r="BO66" t="e">
            <v>#VALUE!</v>
          </cell>
          <cell r="BP66" t="e">
            <v>#VALUE!</v>
          </cell>
          <cell r="BQ66" t="e">
            <v>#VALUE!</v>
          </cell>
          <cell r="BR66" t="e">
            <v>#VALUE!</v>
          </cell>
          <cell r="BS66" t="e">
            <v>#VALUE!</v>
          </cell>
          <cell r="BT66" t="e">
            <v>#VALUE!</v>
          </cell>
          <cell r="BU66" t="e">
            <v>#VALUE!</v>
          </cell>
          <cell r="BV66" t="e">
            <v>#VALUE!</v>
          </cell>
          <cell r="BW66" t="e">
            <v>#VALUE!</v>
          </cell>
          <cell r="BX66" t="e">
            <v>#VALUE!</v>
          </cell>
          <cell r="BY66" t="e">
            <v>#VALUE!</v>
          </cell>
          <cell r="BZ66" t="e">
            <v>#VALUE!</v>
          </cell>
          <cell r="CA66" t="e">
            <v>#VALUE!</v>
          </cell>
          <cell r="CB66" t="e">
            <v>#VALUE!</v>
          </cell>
          <cell r="CC66" t="e">
            <v>#VALUE!</v>
          </cell>
          <cell r="CD66" t="e">
            <v>#VALUE!</v>
          </cell>
          <cell r="CE66" t="e">
            <v>#VALUE!</v>
          </cell>
          <cell r="CF66" t="e">
            <v>#VALUE!</v>
          </cell>
          <cell r="CG66" t="e">
            <v>#VALUE!</v>
          </cell>
          <cell r="CH66" t="e">
            <v>#VALUE!</v>
          </cell>
          <cell r="CI66" t="e">
            <v>#VALUE!</v>
          </cell>
          <cell r="CJ66" t="e">
            <v>#VALUE!</v>
          </cell>
          <cell r="CK66" t="e">
            <v>#VALUE!</v>
          </cell>
          <cell r="CL66" t="e">
            <v>#VALUE!</v>
          </cell>
          <cell r="CM66" t="e">
            <v>#VALUE!</v>
          </cell>
          <cell r="CN66" t="e">
            <v>#VALUE!</v>
          </cell>
          <cell r="CO66" t="e">
            <v>#VALUE!</v>
          </cell>
          <cell r="CP66" t="e">
            <v>#VALUE!</v>
          </cell>
          <cell r="CQ66" t="e">
            <v>#VALUE!</v>
          </cell>
          <cell r="CR66" t="e">
            <v>#VALUE!</v>
          </cell>
          <cell r="CS66" t="e">
            <v>#VALUE!</v>
          </cell>
          <cell r="CT66" t="e">
            <v>#VALUE!</v>
          </cell>
          <cell r="CU66" t="e">
            <v>#VALUE!</v>
          </cell>
          <cell r="CV66" t="e">
            <v>#VALUE!</v>
          </cell>
          <cell r="CW66" t="e">
            <v>#VALUE!</v>
          </cell>
          <cell r="CX66" t="e">
            <v>#VALUE!</v>
          </cell>
          <cell r="CY66" t="e">
            <v>#VALUE!</v>
          </cell>
          <cell r="CZ66" t="e">
            <v>#VALUE!</v>
          </cell>
          <cell r="DA66" t="e">
            <v>#VALUE!</v>
          </cell>
          <cell r="DB66" t="e">
            <v>#VALUE!</v>
          </cell>
          <cell r="DC66" t="e">
            <v>#VALUE!</v>
          </cell>
          <cell r="DD66" t="e">
            <v>#VALUE!</v>
          </cell>
          <cell r="DE66" t="e">
            <v>#VALUE!</v>
          </cell>
          <cell r="DF66" t="e">
            <v>#VALUE!</v>
          </cell>
          <cell r="DG66" t="e">
            <v>#VALUE!</v>
          </cell>
          <cell r="DH66" t="e">
            <v>#VALUE!</v>
          </cell>
          <cell r="DI66" t="e">
            <v>#VALUE!</v>
          </cell>
          <cell r="DJ66" t="e">
            <v>#VALUE!</v>
          </cell>
          <cell r="DK66" t="e">
            <v>#VALUE!</v>
          </cell>
          <cell r="DL66" t="e">
            <v>#VALUE!</v>
          </cell>
          <cell r="DM66" t="e">
            <v>#VALUE!</v>
          </cell>
        </row>
        <row r="67">
          <cell r="C67" t="str">
            <v>F4.1.b</v>
          </cell>
          <cell r="D67" t="str">
            <v>Sanitärreinigungskosten</v>
          </cell>
          <cell r="F67" t="str">
            <v>RKSANta</v>
          </cell>
          <cell r="G67">
            <v>38420.29619999999</v>
          </cell>
          <cell r="H67">
            <v>38420.29619999999</v>
          </cell>
          <cell r="J67" t="str">
            <v>€/Jahr</v>
          </cell>
          <cell r="K67" t="str">
            <v>1</v>
          </cell>
          <cell r="L67" t="str">
            <v>PALLG</v>
          </cell>
          <cell r="M67">
            <v>2.5</v>
          </cell>
          <cell r="N67">
            <v>1.0098522167487685</v>
          </cell>
          <cell r="O67">
            <v>1666798.1994527248</v>
          </cell>
          <cell r="P67" t="str">
            <v>€</v>
          </cell>
          <cell r="Q67">
            <v>0</v>
          </cell>
          <cell r="R67">
            <v>38798.821285714272</v>
          </cell>
          <cell r="S67">
            <v>77979.896968332119</v>
          </cell>
          <cell r="T67">
            <v>117546.99310102533</v>
          </cell>
          <cell r="U67">
            <v>157503.91284093648</v>
          </cell>
          <cell r="V67">
            <v>197854.49681473861</v>
          </cell>
          <cell r="W67">
            <v>238602.62348779052</v>
          </cell>
          <cell r="X67">
            <v>279752.20953693142</v>
          </cell>
          <cell r="Y67">
            <v>321307.21022694989</v>
          </cell>
          <cell r="Z67">
            <v>363271.6197907622</v>
          </cell>
          <cell r="AA67">
            <v>405649.47181333142</v>
          </cell>
          <cell r="AB67">
            <v>448444.83961937414</v>
          </cell>
          <cell r="AC67">
            <v>491661.83666488476</v>
          </cell>
          <cell r="AD67">
            <v>535304.61693251866</v>
          </cell>
          <cell r="AE67">
            <v>579377.37533086922</v>
          </cell>
          <cell r="AF67">
            <v>623884.34809767571</v>
          </cell>
          <cell r="AG67">
            <v>668829.81320701179</v>
          </cell>
          <cell r="AH67">
            <v>714218.0907804803</v>
          </cell>
          <cell r="AI67">
            <v>760053.54350245476</v>
          </cell>
          <cell r="AJ67">
            <v>806340.57703942491</v>
          </cell>
          <cell r="AK67">
            <v>853083.64046345872</v>
          </cell>
          <cell r="AL67">
            <v>900287.22667984688</v>
          </cell>
          <cell r="AM67">
            <v>947955.8728589596</v>
          </cell>
          <cell r="AN67">
            <v>996094.160872348</v>
          </cell>
          <cell r="AO67">
            <v>1044706.7177331585</v>
          </cell>
          <cell r="AP67">
            <v>1093798.2160408751</v>
          </cell>
          <cell r="AQ67">
            <v>1143373.3744304397</v>
          </cell>
          <cell r="AR67">
            <v>1193436.958025814</v>
          </cell>
          <cell r="AS67">
            <v>1243993.7788979891</v>
          </cell>
          <cell r="AT67">
            <v>1295048.6965275253</v>
          </cell>
          <cell r="AU67">
            <v>1346606.6182716393</v>
          </cell>
          <cell r="AV67">
            <v>1398672.4998358919</v>
          </cell>
          <cell r="AW67">
            <v>1451251.3457505305</v>
          </cell>
          <cell r="AX67">
            <v>1504348.2098515213</v>
          </cell>
          <cell r="AY67">
            <v>1557968.1957663144</v>
          </cell>
          <cell r="AZ67">
            <v>1612116.457404407</v>
          </cell>
          <cell r="BA67">
            <v>1666798.1994527248</v>
          </cell>
          <cell r="BB67" t="e">
            <v>#VALUE!</v>
          </cell>
          <cell r="BC67" t="e">
            <v>#VALUE!</v>
          </cell>
          <cell r="BD67" t="e">
            <v>#VALUE!</v>
          </cell>
          <cell r="BE67" t="e">
            <v>#VALUE!</v>
          </cell>
          <cell r="BF67" t="e">
            <v>#VALUE!</v>
          </cell>
          <cell r="BG67" t="e">
            <v>#VALUE!</v>
          </cell>
          <cell r="BH67" t="e">
            <v>#VALUE!</v>
          </cell>
          <cell r="BI67" t="e">
            <v>#VALUE!</v>
          </cell>
          <cell r="BJ67" t="e">
            <v>#VALUE!</v>
          </cell>
          <cell r="BK67" t="e">
            <v>#VALUE!</v>
          </cell>
          <cell r="BL67" t="e">
            <v>#VALUE!</v>
          </cell>
          <cell r="BM67" t="e">
            <v>#VALUE!</v>
          </cell>
          <cell r="BN67" t="e">
            <v>#VALUE!</v>
          </cell>
          <cell r="BO67" t="e">
            <v>#VALUE!</v>
          </cell>
          <cell r="BP67" t="e">
            <v>#VALUE!</v>
          </cell>
          <cell r="BQ67" t="e">
            <v>#VALUE!</v>
          </cell>
          <cell r="BR67" t="e">
            <v>#VALUE!</v>
          </cell>
          <cell r="BS67" t="e">
            <v>#VALUE!</v>
          </cell>
          <cell r="BT67" t="e">
            <v>#VALUE!</v>
          </cell>
          <cell r="BU67" t="e">
            <v>#VALUE!</v>
          </cell>
          <cell r="BV67" t="e">
            <v>#VALUE!</v>
          </cell>
          <cell r="BW67" t="e">
            <v>#VALUE!</v>
          </cell>
          <cell r="BX67" t="e">
            <v>#VALUE!</v>
          </cell>
          <cell r="BY67" t="e">
            <v>#VALUE!</v>
          </cell>
          <cell r="BZ67" t="e">
            <v>#VALUE!</v>
          </cell>
          <cell r="CA67" t="e">
            <v>#VALUE!</v>
          </cell>
          <cell r="CB67" t="e">
            <v>#VALUE!</v>
          </cell>
          <cell r="CC67" t="e">
            <v>#VALUE!</v>
          </cell>
          <cell r="CD67" t="e">
            <v>#VALUE!</v>
          </cell>
          <cell r="CE67" t="e">
            <v>#VALUE!</v>
          </cell>
          <cell r="CF67" t="e">
            <v>#VALUE!</v>
          </cell>
          <cell r="CG67" t="e">
            <v>#VALUE!</v>
          </cell>
          <cell r="CH67" t="e">
            <v>#VALUE!</v>
          </cell>
          <cell r="CI67" t="e">
            <v>#VALUE!</v>
          </cell>
          <cell r="CJ67" t="e">
            <v>#VALUE!</v>
          </cell>
          <cell r="CK67" t="e">
            <v>#VALUE!</v>
          </cell>
          <cell r="CL67" t="e">
            <v>#VALUE!</v>
          </cell>
          <cell r="CM67" t="e">
            <v>#VALUE!</v>
          </cell>
          <cell r="CN67" t="e">
            <v>#VALUE!</v>
          </cell>
          <cell r="CO67" t="e">
            <v>#VALUE!</v>
          </cell>
          <cell r="CP67" t="e">
            <v>#VALUE!</v>
          </cell>
          <cell r="CQ67" t="e">
            <v>#VALUE!</v>
          </cell>
          <cell r="CR67" t="e">
            <v>#VALUE!</v>
          </cell>
          <cell r="CS67" t="e">
            <v>#VALUE!</v>
          </cell>
          <cell r="CT67" t="e">
            <v>#VALUE!</v>
          </cell>
          <cell r="CU67" t="e">
            <v>#VALUE!</v>
          </cell>
          <cell r="CV67" t="e">
            <v>#VALUE!</v>
          </cell>
          <cell r="CW67" t="e">
            <v>#VALUE!</v>
          </cell>
          <cell r="CX67" t="e">
            <v>#VALUE!</v>
          </cell>
          <cell r="CY67" t="e">
            <v>#VALUE!</v>
          </cell>
          <cell r="CZ67" t="e">
            <v>#VALUE!</v>
          </cell>
          <cell r="DA67" t="e">
            <v>#VALUE!</v>
          </cell>
          <cell r="DB67" t="e">
            <v>#VALUE!</v>
          </cell>
          <cell r="DC67" t="e">
            <v>#VALUE!</v>
          </cell>
          <cell r="DD67" t="e">
            <v>#VALUE!</v>
          </cell>
          <cell r="DE67" t="e">
            <v>#VALUE!</v>
          </cell>
          <cell r="DF67" t="e">
            <v>#VALUE!</v>
          </cell>
          <cell r="DG67" t="e">
            <v>#VALUE!</v>
          </cell>
          <cell r="DH67" t="e">
            <v>#VALUE!</v>
          </cell>
          <cell r="DI67" t="e">
            <v>#VALUE!</v>
          </cell>
          <cell r="DJ67" t="e">
            <v>#VALUE!</v>
          </cell>
          <cell r="DK67" t="e">
            <v>#VALUE!</v>
          </cell>
          <cell r="DL67" t="e">
            <v>#VALUE!</v>
          </cell>
          <cell r="DM67" t="e">
            <v>#VALUE!</v>
          </cell>
        </row>
        <row r="68">
          <cell r="C68" t="str">
            <v>F4.1.c</v>
          </cell>
          <cell r="D68" t="str">
            <v>Gang+Stiegenreinigungskosten</v>
          </cell>
          <cell r="F68" t="str">
            <v>RKGSTa</v>
          </cell>
          <cell r="G68">
            <v>1101.7060559999995</v>
          </cell>
          <cell r="H68">
            <v>1101.7060559999995</v>
          </cell>
          <cell r="J68" t="str">
            <v>€/Jahr</v>
          </cell>
          <cell r="K68">
            <v>1</v>
          </cell>
          <cell r="L68" t="str">
            <v>PALLG</v>
          </cell>
          <cell r="M68">
            <v>2.5</v>
          </cell>
          <cell r="N68">
            <v>1.0098522167487685</v>
          </cell>
          <cell r="O68">
            <v>47795.614612335099</v>
          </cell>
          <cell r="P68" t="str">
            <v>€</v>
          </cell>
          <cell r="Q68">
            <v>0</v>
          </cell>
          <cell r="R68">
            <v>1112.5603028571425</v>
          </cell>
          <cell r="S68">
            <v>2236.0817909641087</v>
          </cell>
          <cell r="T68">
            <v>3370.6724562938125</v>
          </cell>
          <cell r="U68">
            <v>4516.4413547794538</v>
          </cell>
          <cell r="V68">
            <v>5673.4986167969791</v>
          </cell>
          <cell r="W68">
            <v>6841.9554577506524</v>
          </cell>
          <cell r="X68">
            <v>8021.9241887629778</v>
          </cell>
          <cell r="Y68">
            <v>9213.5182274699855</v>
          </cell>
          <cell r="Z68">
            <v>10416.852108922891</v>
          </cell>
          <cell r="AA68">
            <v>11632.041496597014</v>
          </cell>
          <cell r="AB68">
            <v>12859.2031935093</v>
          </cell>
          <cell r="AC68">
            <v>14098.45515344534</v>
          </cell>
          <cell r="AD68">
            <v>15349.916492297007</v>
          </cell>
          <cell r="AE68">
            <v>16613.707499511773</v>
          </cell>
          <cell r="AF68">
            <v>17889.949649654744</v>
          </cell>
          <cell r="AG68">
            <v>19178.765614084819</v>
          </cell>
          <cell r="AH68">
            <v>20480.279272745767</v>
          </cell>
          <cell r="AI68">
            <v>21794.615726073291</v>
          </cell>
          <cell r="AJ68">
            <v>23121.901307019831</v>
          </cell>
          <cell r="AK68">
            <v>24462.263593197367</v>
          </cell>
          <cell r="AL68">
            <v>25815.831419140181</v>
          </cell>
          <cell r="AM68">
            <v>27182.734888688388</v>
          </cell>
          <cell r="AN68">
            <v>28563.105387493189</v>
          </cell>
          <cell r="AO68">
            <v>29957.075595645805</v>
          </cell>
          <cell r="AP68">
            <v>31364.779500430515</v>
          </cell>
          <cell r="AQ68">
            <v>32786.352409203209</v>
          </cell>
          <cell r="AR68">
            <v>34221.930962397346</v>
          </cell>
          <cell r="AS68">
            <v>35671.653146657409</v>
          </cell>
          <cell r="AT68">
            <v>37135.658308102284</v>
          </cell>
          <cell r="AU68">
            <v>38614.08716571908</v>
          </cell>
          <cell r="AV68">
            <v>40107.081824888723</v>
          </cell>
          <cell r="AW68">
            <v>41614.785791045237</v>
          </cell>
          <cell r="AX68">
            <v>43137.343983469342</v>
          </cell>
          <cell r="AY68">
            <v>44674.902749217792</v>
          </cell>
          <cell r="AZ68">
            <v>46227.609877190407</v>
          </cell>
          <cell r="BA68">
            <v>47795.614612335099</v>
          </cell>
          <cell r="BB68" t="e">
            <v>#VALUE!</v>
          </cell>
          <cell r="BC68" t="e">
            <v>#VALUE!</v>
          </cell>
          <cell r="BD68" t="e">
            <v>#VALUE!</v>
          </cell>
          <cell r="BE68" t="e">
            <v>#VALUE!</v>
          </cell>
          <cell r="BF68" t="e">
            <v>#VALUE!</v>
          </cell>
          <cell r="BG68" t="e">
            <v>#VALUE!</v>
          </cell>
          <cell r="BH68" t="e">
            <v>#VALUE!</v>
          </cell>
          <cell r="BI68" t="e">
            <v>#VALUE!</v>
          </cell>
          <cell r="BJ68" t="e">
            <v>#VALUE!</v>
          </cell>
          <cell r="BK68" t="e">
            <v>#VALUE!</v>
          </cell>
          <cell r="BL68" t="e">
            <v>#VALUE!</v>
          </cell>
          <cell r="BM68" t="e">
            <v>#VALUE!</v>
          </cell>
          <cell r="BN68" t="e">
            <v>#VALUE!</v>
          </cell>
          <cell r="BO68" t="e">
            <v>#VALUE!</v>
          </cell>
          <cell r="BP68" t="e">
            <v>#VALUE!</v>
          </cell>
          <cell r="BQ68" t="e">
            <v>#VALUE!</v>
          </cell>
          <cell r="BR68" t="e">
            <v>#VALUE!</v>
          </cell>
          <cell r="BS68" t="e">
            <v>#VALUE!</v>
          </cell>
          <cell r="BT68" t="e">
            <v>#VALUE!</v>
          </cell>
          <cell r="BU68" t="e">
            <v>#VALUE!</v>
          </cell>
          <cell r="BV68" t="e">
            <v>#VALUE!</v>
          </cell>
          <cell r="BW68" t="e">
            <v>#VALUE!</v>
          </cell>
          <cell r="BX68" t="e">
            <v>#VALUE!</v>
          </cell>
          <cell r="BY68" t="e">
            <v>#VALUE!</v>
          </cell>
          <cell r="BZ68" t="e">
            <v>#VALUE!</v>
          </cell>
          <cell r="CA68" t="e">
            <v>#VALUE!</v>
          </cell>
          <cell r="CB68" t="e">
            <v>#VALUE!</v>
          </cell>
          <cell r="CC68" t="e">
            <v>#VALUE!</v>
          </cell>
          <cell r="CD68" t="e">
            <v>#VALUE!</v>
          </cell>
          <cell r="CE68" t="e">
            <v>#VALUE!</v>
          </cell>
          <cell r="CF68" t="e">
            <v>#VALUE!</v>
          </cell>
          <cell r="CG68" t="e">
            <v>#VALUE!</v>
          </cell>
          <cell r="CH68" t="e">
            <v>#VALUE!</v>
          </cell>
          <cell r="CI68" t="e">
            <v>#VALUE!</v>
          </cell>
          <cell r="CJ68" t="e">
            <v>#VALUE!</v>
          </cell>
          <cell r="CK68" t="e">
            <v>#VALUE!</v>
          </cell>
          <cell r="CL68" t="e">
            <v>#VALUE!</v>
          </cell>
          <cell r="CM68" t="e">
            <v>#VALUE!</v>
          </cell>
          <cell r="CN68" t="e">
            <v>#VALUE!</v>
          </cell>
          <cell r="CO68" t="e">
            <v>#VALUE!</v>
          </cell>
          <cell r="CP68" t="e">
            <v>#VALUE!</v>
          </cell>
          <cell r="CQ68" t="e">
            <v>#VALUE!</v>
          </cell>
          <cell r="CR68" t="e">
            <v>#VALUE!</v>
          </cell>
          <cell r="CS68" t="e">
            <v>#VALUE!</v>
          </cell>
          <cell r="CT68" t="e">
            <v>#VALUE!</v>
          </cell>
          <cell r="CU68" t="e">
            <v>#VALUE!</v>
          </cell>
          <cell r="CV68" t="e">
            <v>#VALUE!</v>
          </cell>
          <cell r="CW68" t="e">
            <v>#VALUE!</v>
          </cell>
          <cell r="CX68" t="e">
            <v>#VALUE!</v>
          </cell>
          <cell r="CY68" t="e">
            <v>#VALUE!</v>
          </cell>
          <cell r="CZ68" t="e">
            <v>#VALUE!</v>
          </cell>
          <cell r="DA68" t="e">
            <v>#VALUE!</v>
          </cell>
          <cell r="DB68" t="e">
            <v>#VALUE!</v>
          </cell>
          <cell r="DC68" t="e">
            <v>#VALUE!</v>
          </cell>
          <cell r="DD68" t="e">
            <v>#VALUE!</v>
          </cell>
          <cell r="DE68" t="e">
            <v>#VALUE!</v>
          </cell>
          <cell r="DF68" t="e">
            <v>#VALUE!</v>
          </cell>
          <cell r="DG68" t="e">
            <v>#VALUE!</v>
          </cell>
          <cell r="DH68" t="e">
            <v>#VALUE!</v>
          </cell>
          <cell r="DI68" t="e">
            <v>#VALUE!</v>
          </cell>
          <cell r="DJ68" t="e">
            <v>#VALUE!</v>
          </cell>
          <cell r="DK68" t="e">
            <v>#VALUE!</v>
          </cell>
          <cell r="DL68" t="e">
            <v>#VALUE!</v>
          </cell>
          <cell r="DM68" t="e">
            <v>#VALUE!</v>
          </cell>
        </row>
        <row r="69">
          <cell r="C69" t="str">
            <v>F4.1.d</v>
          </cell>
          <cell r="D69" t="str">
            <v>Tiefgaragen+Nebenflächenreingungskosten</v>
          </cell>
          <cell r="F69" t="str">
            <v>RKTGNFa</v>
          </cell>
          <cell r="G69">
            <v>0</v>
          </cell>
          <cell r="H69">
            <v>0</v>
          </cell>
          <cell r="J69" t="str">
            <v>€/Jahr</v>
          </cell>
          <cell r="K69" t="str">
            <v>1</v>
          </cell>
          <cell r="L69" t="str">
            <v>PALLG</v>
          </cell>
          <cell r="M69">
            <v>2.5</v>
          </cell>
          <cell r="N69">
            <v>1.0098522167487685</v>
          </cell>
          <cell r="O69">
            <v>0</v>
          </cell>
          <cell r="P69" t="str">
            <v>€</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t="e">
            <v>#VALUE!</v>
          </cell>
          <cell r="BC69" t="e">
            <v>#VALUE!</v>
          </cell>
          <cell r="BD69" t="e">
            <v>#VALUE!</v>
          </cell>
          <cell r="BE69" t="e">
            <v>#VALUE!</v>
          </cell>
          <cell r="BF69" t="e">
            <v>#VALUE!</v>
          </cell>
          <cell r="BG69" t="e">
            <v>#VALUE!</v>
          </cell>
          <cell r="BH69" t="e">
            <v>#VALUE!</v>
          </cell>
          <cell r="BI69" t="e">
            <v>#VALUE!</v>
          </cell>
          <cell r="BJ69" t="e">
            <v>#VALUE!</v>
          </cell>
          <cell r="BK69" t="e">
            <v>#VALUE!</v>
          </cell>
          <cell r="BL69" t="e">
            <v>#VALUE!</v>
          </cell>
          <cell r="BM69" t="e">
            <v>#VALUE!</v>
          </cell>
          <cell r="BN69" t="e">
            <v>#VALUE!</v>
          </cell>
          <cell r="BO69" t="e">
            <v>#VALUE!</v>
          </cell>
          <cell r="BP69" t="e">
            <v>#VALUE!</v>
          </cell>
          <cell r="BQ69" t="e">
            <v>#VALUE!</v>
          </cell>
          <cell r="BR69" t="e">
            <v>#VALUE!</v>
          </cell>
          <cell r="BS69" t="e">
            <v>#VALUE!</v>
          </cell>
          <cell r="BT69" t="e">
            <v>#VALUE!</v>
          </cell>
          <cell r="BU69" t="e">
            <v>#VALUE!</v>
          </cell>
          <cell r="BV69" t="e">
            <v>#VALUE!</v>
          </cell>
          <cell r="BW69" t="e">
            <v>#VALUE!</v>
          </cell>
          <cell r="BX69" t="e">
            <v>#VALUE!</v>
          </cell>
          <cell r="BY69" t="e">
            <v>#VALUE!</v>
          </cell>
          <cell r="BZ69" t="e">
            <v>#VALUE!</v>
          </cell>
          <cell r="CA69" t="e">
            <v>#VALUE!</v>
          </cell>
          <cell r="CB69" t="e">
            <v>#VALUE!</v>
          </cell>
          <cell r="CC69" t="e">
            <v>#VALUE!</v>
          </cell>
          <cell r="CD69" t="e">
            <v>#VALUE!</v>
          </cell>
          <cell r="CE69" t="e">
            <v>#VALUE!</v>
          </cell>
          <cell r="CF69" t="e">
            <v>#VALUE!</v>
          </cell>
          <cell r="CG69" t="e">
            <v>#VALUE!</v>
          </cell>
          <cell r="CH69" t="e">
            <v>#VALUE!</v>
          </cell>
          <cell r="CI69" t="e">
            <v>#VALUE!</v>
          </cell>
          <cell r="CJ69" t="e">
            <v>#VALUE!</v>
          </cell>
          <cell r="CK69" t="e">
            <v>#VALUE!</v>
          </cell>
          <cell r="CL69" t="e">
            <v>#VALUE!</v>
          </cell>
          <cell r="CM69" t="e">
            <v>#VALUE!</v>
          </cell>
          <cell r="CN69" t="e">
            <v>#VALUE!</v>
          </cell>
          <cell r="CO69" t="e">
            <v>#VALUE!</v>
          </cell>
          <cell r="CP69" t="e">
            <v>#VALUE!</v>
          </cell>
          <cell r="CQ69" t="e">
            <v>#VALUE!</v>
          </cell>
          <cell r="CR69" t="e">
            <v>#VALUE!</v>
          </cell>
          <cell r="CS69" t="e">
            <v>#VALUE!</v>
          </cell>
          <cell r="CT69" t="e">
            <v>#VALUE!</v>
          </cell>
          <cell r="CU69" t="e">
            <v>#VALUE!</v>
          </cell>
          <cell r="CV69" t="e">
            <v>#VALUE!</v>
          </cell>
          <cell r="CW69" t="e">
            <v>#VALUE!</v>
          </cell>
          <cell r="CX69" t="e">
            <v>#VALUE!</v>
          </cell>
          <cell r="CY69" t="e">
            <v>#VALUE!</v>
          </cell>
          <cell r="CZ69" t="e">
            <v>#VALUE!</v>
          </cell>
          <cell r="DA69" t="e">
            <v>#VALUE!</v>
          </cell>
          <cell r="DB69" t="e">
            <v>#VALUE!</v>
          </cell>
          <cell r="DC69" t="e">
            <v>#VALUE!</v>
          </cell>
          <cell r="DD69" t="e">
            <v>#VALUE!</v>
          </cell>
          <cell r="DE69" t="e">
            <v>#VALUE!</v>
          </cell>
          <cell r="DF69" t="e">
            <v>#VALUE!</v>
          </cell>
          <cell r="DG69" t="e">
            <v>#VALUE!</v>
          </cell>
          <cell r="DH69" t="e">
            <v>#VALUE!</v>
          </cell>
          <cell r="DI69" t="e">
            <v>#VALUE!</v>
          </cell>
          <cell r="DJ69" t="e">
            <v>#VALUE!</v>
          </cell>
          <cell r="DK69" t="e">
            <v>#VALUE!</v>
          </cell>
          <cell r="DL69" t="e">
            <v>#VALUE!</v>
          </cell>
          <cell r="DM69" t="e">
            <v>#VALUE!</v>
          </cell>
        </row>
        <row r="70">
          <cell r="C70" t="str">
            <v>F4.2</v>
          </cell>
          <cell r="D70" t="str">
            <v>Fenster- und Glasflächenreinigung</v>
          </cell>
          <cell r="F70" t="str">
            <v>#SUM</v>
          </cell>
          <cell r="G70">
            <v>2464.9440000000004</v>
          </cell>
          <cell r="J70" t="str">
            <v>€/Jahr</v>
          </cell>
          <cell r="O70">
            <v>106937.33852452182</v>
          </cell>
          <cell r="P70" t="str">
            <v>€</v>
          </cell>
        </row>
        <row r="71">
          <cell r="C71" t="str">
            <v>F4.2.a</v>
          </cell>
          <cell r="D71" t="str">
            <v>Fensterreinigungskosten</v>
          </cell>
          <cell r="F71" t="str">
            <v>GLASFRKa</v>
          </cell>
          <cell r="G71">
            <v>127.224</v>
          </cell>
          <cell r="H71">
            <v>127.224</v>
          </cell>
          <cell r="J71" t="str">
            <v>€/Jahr</v>
          </cell>
          <cell r="K71" t="str">
            <v>1</v>
          </cell>
          <cell r="L71" t="str">
            <v>PALLG</v>
          </cell>
          <cell r="M71">
            <v>2.5</v>
          </cell>
          <cell r="N71">
            <v>1.0098522167487685</v>
          </cell>
          <cell r="O71">
            <v>5519.3935263615567</v>
          </cell>
          <cell r="P71" t="str">
            <v>€</v>
          </cell>
          <cell r="Q71">
            <v>0</v>
          </cell>
          <cell r="R71">
            <v>128.47743842364531</v>
          </cell>
          <cell r="S71">
            <v>258.22066441796687</v>
          </cell>
          <cell r="T71">
            <v>389.24214879647002</v>
          </cell>
          <cell r="U71">
            <v>521.5544852378132</v>
          </cell>
          <cell r="V71">
            <v>655.17039149631307</v>
          </cell>
          <cell r="W71">
            <v>790.10271062435663</v>
          </cell>
          <cell r="X71">
            <v>926.36441220686311</v>
          </cell>
          <cell r="Y71">
            <v>1063.968593607914</v>
          </cell>
          <cell r="Z71">
            <v>1202.9284812296669</v>
          </cell>
          <cell r="AA71">
            <v>1343.2574317836543</v>
          </cell>
          <cell r="AB71">
            <v>1484.9689335746264</v>
          </cell>
          <cell r="AC71">
            <v>1628.0766077970352</v>
          </cell>
          <cell r="AD71">
            <v>1772.5942098442952</v>
          </cell>
          <cell r="AE71">
            <v>1918.5356306309407</v>
          </cell>
          <cell r="AF71">
            <v>2065.9148979277966</v>
          </cell>
          <cell r="AG71">
            <v>2214.7461777103345</v>
          </cell>
          <cell r="AH71">
            <v>2365.0437755202902</v>
          </cell>
          <cell r="AI71">
            <v>2516.8221378406847</v>
          </cell>
          <cell r="AJ71">
            <v>2670.0958534844358</v>
          </cell>
          <cell r="AK71">
            <v>2824.8796549965978</v>
          </cell>
          <cell r="AL71">
            <v>2981.1884200704544</v>
          </cell>
          <cell r="AM71">
            <v>3139.0371729775552</v>
          </cell>
          <cell r="AN71">
            <v>3298.441086011816</v>
          </cell>
          <cell r="AO71">
            <v>3459.41548094789</v>
          </cell>
          <cell r="AP71">
            <v>3621.9758305138816</v>
          </cell>
          <cell r="AQ71">
            <v>3786.1377598785484</v>
          </cell>
          <cell r="AR71">
            <v>3951.9170481532155</v>
          </cell>
          <cell r="AS71">
            <v>4119.3296299084186</v>
          </cell>
          <cell r="AT71">
            <v>4288.3915967055436</v>
          </cell>
          <cell r="AU71">
            <v>4459.1191986435315</v>
          </cell>
          <cell r="AV71">
            <v>4631.5288459208068</v>
          </cell>
          <cell r="AW71">
            <v>4805.6371104126347</v>
          </cell>
          <cell r="AX71">
            <v>4981.4607272639923</v>
          </cell>
          <cell r="AY71">
            <v>5159.0165964981188</v>
          </cell>
          <cell r="AZ71">
            <v>5338.3217846409607</v>
          </cell>
          <cell r="BA71">
            <v>5519.3935263615567</v>
          </cell>
          <cell r="BB71" t="e">
            <v>#VALUE!</v>
          </cell>
          <cell r="BC71" t="e">
            <v>#VALUE!</v>
          </cell>
          <cell r="BD71" t="e">
            <v>#VALUE!</v>
          </cell>
          <cell r="BE71" t="e">
            <v>#VALUE!</v>
          </cell>
          <cell r="BF71" t="e">
            <v>#VALUE!</v>
          </cell>
          <cell r="BG71" t="e">
            <v>#VALUE!</v>
          </cell>
          <cell r="BH71" t="e">
            <v>#VALUE!</v>
          </cell>
          <cell r="BI71" t="e">
            <v>#VALUE!</v>
          </cell>
          <cell r="BJ71" t="e">
            <v>#VALUE!</v>
          </cell>
          <cell r="BK71" t="e">
            <v>#VALUE!</v>
          </cell>
          <cell r="BL71" t="e">
            <v>#VALUE!</v>
          </cell>
          <cell r="BM71" t="e">
            <v>#VALUE!</v>
          </cell>
          <cell r="BN71" t="e">
            <v>#VALUE!</v>
          </cell>
          <cell r="BO71" t="e">
            <v>#VALUE!</v>
          </cell>
          <cell r="BP71" t="e">
            <v>#VALUE!</v>
          </cell>
          <cell r="BQ71" t="e">
            <v>#VALUE!</v>
          </cell>
          <cell r="BR71" t="e">
            <v>#VALUE!</v>
          </cell>
          <cell r="BS71" t="e">
            <v>#VALUE!</v>
          </cell>
          <cell r="BT71" t="e">
            <v>#VALUE!</v>
          </cell>
          <cell r="BU71" t="e">
            <v>#VALUE!</v>
          </cell>
          <cell r="BV71" t="e">
            <v>#VALUE!</v>
          </cell>
          <cell r="BW71" t="e">
            <v>#VALUE!</v>
          </cell>
          <cell r="BX71" t="e">
            <v>#VALUE!</v>
          </cell>
          <cell r="BY71" t="e">
            <v>#VALUE!</v>
          </cell>
          <cell r="BZ71" t="e">
            <v>#VALUE!</v>
          </cell>
          <cell r="CA71" t="e">
            <v>#VALUE!</v>
          </cell>
          <cell r="CB71" t="e">
            <v>#VALUE!</v>
          </cell>
          <cell r="CC71" t="e">
            <v>#VALUE!</v>
          </cell>
          <cell r="CD71" t="e">
            <v>#VALUE!</v>
          </cell>
          <cell r="CE71" t="e">
            <v>#VALUE!</v>
          </cell>
          <cell r="CF71" t="e">
            <v>#VALUE!</v>
          </cell>
          <cell r="CG71" t="e">
            <v>#VALUE!</v>
          </cell>
          <cell r="CH71" t="e">
            <v>#VALUE!</v>
          </cell>
          <cell r="CI71" t="e">
            <v>#VALUE!</v>
          </cell>
          <cell r="CJ71" t="e">
            <v>#VALUE!</v>
          </cell>
          <cell r="CK71" t="e">
            <v>#VALUE!</v>
          </cell>
          <cell r="CL71" t="e">
            <v>#VALUE!</v>
          </cell>
          <cell r="CM71" t="e">
            <v>#VALUE!</v>
          </cell>
          <cell r="CN71" t="e">
            <v>#VALUE!</v>
          </cell>
          <cell r="CO71" t="e">
            <v>#VALUE!</v>
          </cell>
          <cell r="CP71" t="e">
            <v>#VALUE!</v>
          </cell>
          <cell r="CQ71" t="e">
            <v>#VALUE!</v>
          </cell>
          <cell r="CR71" t="e">
            <v>#VALUE!</v>
          </cell>
          <cell r="CS71" t="e">
            <v>#VALUE!</v>
          </cell>
          <cell r="CT71" t="e">
            <v>#VALUE!</v>
          </cell>
          <cell r="CU71" t="e">
            <v>#VALUE!</v>
          </cell>
          <cell r="CV71" t="e">
            <v>#VALUE!</v>
          </cell>
          <cell r="CW71" t="e">
            <v>#VALUE!</v>
          </cell>
          <cell r="CX71" t="e">
            <v>#VALUE!</v>
          </cell>
          <cell r="CY71" t="e">
            <v>#VALUE!</v>
          </cell>
          <cell r="CZ71" t="e">
            <v>#VALUE!</v>
          </cell>
          <cell r="DA71" t="e">
            <v>#VALUE!</v>
          </cell>
          <cell r="DB71" t="e">
            <v>#VALUE!</v>
          </cell>
          <cell r="DC71" t="e">
            <v>#VALUE!</v>
          </cell>
          <cell r="DD71" t="e">
            <v>#VALUE!</v>
          </cell>
          <cell r="DE71" t="e">
            <v>#VALUE!</v>
          </cell>
          <cell r="DF71" t="e">
            <v>#VALUE!</v>
          </cell>
          <cell r="DG71" t="e">
            <v>#VALUE!</v>
          </cell>
          <cell r="DH71" t="e">
            <v>#VALUE!</v>
          </cell>
          <cell r="DI71" t="e">
            <v>#VALUE!</v>
          </cell>
          <cell r="DJ71" t="e">
            <v>#VALUE!</v>
          </cell>
          <cell r="DK71" t="e">
            <v>#VALUE!</v>
          </cell>
          <cell r="DL71" t="e">
            <v>#VALUE!</v>
          </cell>
          <cell r="DM71" t="e">
            <v>#VALUE!</v>
          </cell>
        </row>
        <row r="72">
          <cell r="C72" t="str">
            <v>F4.2.b</v>
          </cell>
          <cell r="D72" t="str">
            <v>Innenglasflächenreinigung</v>
          </cell>
          <cell r="F72" t="str">
            <v>IGLASFRKa</v>
          </cell>
          <cell r="G72">
            <v>2337.7200000000003</v>
          </cell>
          <cell r="H72">
            <v>2337.7200000000003</v>
          </cell>
          <cell r="J72" t="str">
            <v>€/Jahr</v>
          </cell>
          <cell r="K72" t="str">
            <v>1</v>
          </cell>
          <cell r="L72" t="str">
            <v>PALLG</v>
          </cell>
          <cell r="M72">
            <v>2.5</v>
          </cell>
          <cell r="N72">
            <v>1.0098522167487685</v>
          </cell>
          <cell r="O72">
            <v>101417.94499816027</v>
          </cell>
          <cell r="P72" t="str">
            <v>€</v>
          </cell>
          <cell r="Q72">
            <v>0</v>
          </cell>
          <cell r="R72">
            <v>2360.7517241379314</v>
          </cell>
          <cell r="S72">
            <v>4744.7620859520985</v>
          </cell>
          <cell r="T72">
            <v>7152.260234582187</v>
          </cell>
          <cell r="U72">
            <v>9583.477576794794</v>
          </cell>
          <cell r="V72">
            <v>12038.647799226259</v>
          </cell>
          <cell r="W72">
            <v>14518.006890844272</v>
          </cell>
          <cell r="X72">
            <v>17021.793165630923</v>
          </cell>
          <cell r="Y72">
            <v>19550.24728548932</v>
          </cell>
          <cell r="Z72">
            <v>22103.612283375915</v>
          </cell>
          <cell r="AA72">
            <v>24682.13358666042</v>
          </cell>
          <cell r="AB72">
            <v>27286.059040716191</v>
          </cell>
          <cell r="AC72">
            <v>29915.638932742924</v>
          </cell>
          <cell r="AD72">
            <v>32571.126015824113</v>
          </cell>
          <cell r="AE72">
            <v>35252.775533221436</v>
          </cell>
          <cell r="AF72">
            <v>37960.845242908341</v>
          </cell>
          <cell r="AG72">
            <v>40695.595442345824</v>
          </cell>
          <cell r="AH72">
            <v>43457.288993501963</v>
          </cell>
          <cell r="AI72">
            <v>46246.191348117703</v>
          </cell>
          <cell r="AJ72">
            <v>49062.570573222321</v>
          </cell>
          <cell r="AK72">
            <v>51906.697376899392</v>
          </cell>
          <cell r="AL72">
            <v>54778.845134307237</v>
          </cell>
          <cell r="AM72">
            <v>57679.289913955639</v>
          </cell>
          <cell r="AN72">
            <v>60608.310504240901</v>
          </cell>
          <cell r="AO72">
            <v>63566.188440243219</v>
          </cell>
          <cell r="AP72">
            <v>66553.208030787529</v>
          </cell>
          <cell r="AQ72">
            <v>69569.656385770635</v>
          </cell>
          <cell r="AR72">
            <v>72615.823443758549</v>
          </cell>
          <cell r="AS72">
            <v>75692.001999854678</v>
          </cell>
          <cell r="AT72">
            <v>78798.487733843343</v>
          </cell>
          <cell r="AU72">
            <v>81935.579238610313</v>
          </cell>
          <cell r="AV72">
            <v>85103.578048842915</v>
          </cell>
          <cell r="AW72">
            <v>88302.788670013746</v>
          </cell>
          <cell r="AX72">
            <v>91533.51860764937</v>
          </cell>
          <cell r="AY72">
            <v>94796.078396887271</v>
          </cell>
          <cell r="AZ72">
            <v>98090.781632324637</v>
          </cell>
          <cell r="BA72">
            <v>101417.94499816027</v>
          </cell>
          <cell r="BB72" t="e">
            <v>#VALUE!</v>
          </cell>
          <cell r="BC72" t="e">
            <v>#VALUE!</v>
          </cell>
          <cell r="BD72" t="e">
            <v>#VALUE!</v>
          </cell>
          <cell r="BE72" t="e">
            <v>#VALUE!</v>
          </cell>
          <cell r="BF72" t="e">
            <v>#VALUE!</v>
          </cell>
          <cell r="BG72" t="e">
            <v>#VALUE!</v>
          </cell>
          <cell r="BH72" t="e">
            <v>#VALUE!</v>
          </cell>
          <cell r="BI72" t="e">
            <v>#VALUE!</v>
          </cell>
          <cell r="BJ72" t="e">
            <v>#VALUE!</v>
          </cell>
          <cell r="BK72" t="e">
            <v>#VALUE!</v>
          </cell>
          <cell r="BL72" t="e">
            <v>#VALUE!</v>
          </cell>
          <cell r="BM72" t="e">
            <v>#VALUE!</v>
          </cell>
          <cell r="BN72" t="e">
            <v>#VALUE!</v>
          </cell>
          <cell r="BO72" t="e">
            <v>#VALUE!</v>
          </cell>
          <cell r="BP72" t="e">
            <v>#VALUE!</v>
          </cell>
          <cell r="BQ72" t="e">
            <v>#VALUE!</v>
          </cell>
          <cell r="BR72" t="e">
            <v>#VALUE!</v>
          </cell>
          <cell r="BS72" t="e">
            <v>#VALUE!</v>
          </cell>
          <cell r="BT72" t="e">
            <v>#VALUE!</v>
          </cell>
          <cell r="BU72" t="e">
            <v>#VALUE!</v>
          </cell>
          <cell r="BV72" t="e">
            <v>#VALUE!</v>
          </cell>
          <cell r="BW72" t="e">
            <v>#VALUE!</v>
          </cell>
          <cell r="BX72" t="e">
            <v>#VALUE!</v>
          </cell>
          <cell r="BY72" t="e">
            <v>#VALUE!</v>
          </cell>
          <cell r="BZ72" t="e">
            <v>#VALUE!</v>
          </cell>
          <cell r="CA72" t="e">
            <v>#VALUE!</v>
          </cell>
          <cell r="CB72" t="e">
            <v>#VALUE!</v>
          </cell>
          <cell r="CC72" t="e">
            <v>#VALUE!</v>
          </cell>
          <cell r="CD72" t="e">
            <v>#VALUE!</v>
          </cell>
          <cell r="CE72" t="e">
            <v>#VALUE!</v>
          </cell>
          <cell r="CF72" t="e">
            <v>#VALUE!</v>
          </cell>
          <cell r="CG72" t="e">
            <v>#VALUE!</v>
          </cell>
          <cell r="CH72" t="e">
            <v>#VALUE!</v>
          </cell>
          <cell r="CI72" t="e">
            <v>#VALUE!</v>
          </cell>
          <cell r="CJ72" t="e">
            <v>#VALUE!</v>
          </cell>
          <cell r="CK72" t="e">
            <v>#VALUE!</v>
          </cell>
          <cell r="CL72" t="e">
            <v>#VALUE!</v>
          </cell>
          <cell r="CM72" t="e">
            <v>#VALUE!</v>
          </cell>
          <cell r="CN72" t="e">
            <v>#VALUE!</v>
          </cell>
          <cell r="CO72" t="e">
            <v>#VALUE!</v>
          </cell>
          <cell r="CP72" t="e">
            <v>#VALUE!</v>
          </cell>
          <cell r="CQ72" t="e">
            <v>#VALUE!</v>
          </cell>
          <cell r="CR72" t="e">
            <v>#VALUE!</v>
          </cell>
          <cell r="CS72" t="e">
            <v>#VALUE!</v>
          </cell>
          <cell r="CT72" t="e">
            <v>#VALUE!</v>
          </cell>
          <cell r="CU72" t="e">
            <v>#VALUE!</v>
          </cell>
          <cell r="CV72" t="e">
            <v>#VALUE!</v>
          </cell>
          <cell r="CW72" t="e">
            <v>#VALUE!</v>
          </cell>
          <cell r="CX72" t="e">
            <v>#VALUE!</v>
          </cell>
          <cell r="CY72" t="e">
            <v>#VALUE!</v>
          </cell>
          <cell r="CZ72" t="e">
            <v>#VALUE!</v>
          </cell>
          <cell r="DA72" t="e">
            <v>#VALUE!</v>
          </cell>
          <cell r="DB72" t="e">
            <v>#VALUE!</v>
          </cell>
          <cell r="DC72" t="e">
            <v>#VALUE!</v>
          </cell>
          <cell r="DD72" t="e">
            <v>#VALUE!</v>
          </cell>
          <cell r="DE72" t="e">
            <v>#VALUE!</v>
          </cell>
          <cell r="DF72" t="e">
            <v>#VALUE!</v>
          </cell>
          <cell r="DG72" t="e">
            <v>#VALUE!</v>
          </cell>
          <cell r="DH72" t="e">
            <v>#VALUE!</v>
          </cell>
          <cell r="DI72" t="e">
            <v>#VALUE!</v>
          </cell>
          <cell r="DJ72" t="e">
            <v>#VALUE!</v>
          </cell>
          <cell r="DK72" t="e">
            <v>#VALUE!</v>
          </cell>
          <cell r="DL72" t="e">
            <v>#VALUE!</v>
          </cell>
          <cell r="DM72" t="e">
            <v>#VALUE!</v>
          </cell>
        </row>
        <row r="73">
          <cell r="C73" t="str">
            <v>F4.3</v>
          </cell>
          <cell r="D73" t="str">
            <v>Fassadenreinigung</v>
          </cell>
          <cell r="F73" t="str">
            <v>FASSRKTa</v>
          </cell>
          <cell r="G73">
            <v>178.55999999999997</v>
          </cell>
          <cell r="H73">
            <v>178.55999999999997</v>
          </cell>
          <cell r="J73" t="str">
            <v>€/Jahr</v>
          </cell>
          <cell r="K73" t="str">
            <v>1</v>
          </cell>
          <cell r="L73" t="str">
            <v>PLOHN</v>
          </cell>
          <cell r="M73">
            <v>2.5</v>
          </cell>
          <cell r="N73">
            <v>1.0098522167487685</v>
          </cell>
          <cell r="O73">
            <v>7746.5172299811311</v>
          </cell>
          <cell r="P73" t="str">
            <v>€</v>
          </cell>
          <cell r="Q73">
            <v>0</v>
          </cell>
          <cell r="R73">
            <v>180.31921182266007</v>
          </cell>
          <cell r="S73">
            <v>362.41496760416402</v>
          </cell>
          <cell r="T73">
            <v>546.30477024065965</v>
          </cell>
          <cell r="U73">
            <v>732.0062950706149</v>
          </cell>
          <cell r="V73">
            <v>919.53739157377265</v>
          </cell>
          <cell r="W73">
            <v>1108.9160850868163</v>
          </cell>
          <cell r="X73">
            <v>1300.1605785359479</v>
          </cell>
          <cell r="Y73">
            <v>1493.2892541865458</v>
          </cell>
          <cell r="Z73">
            <v>1688.3206754100586</v>
          </cell>
          <cell r="AA73">
            <v>1885.2735884682866</v>
          </cell>
          <cell r="AB73">
            <v>2084.1669243152651</v>
          </cell>
          <cell r="AC73">
            <v>2285.019800416891</v>
          </cell>
          <cell r="AD73">
            <v>2487.8515225884844</v>
          </cell>
          <cell r="AE73">
            <v>2692.6815868504427</v>
          </cell>
          <cell r="AF73">
            <v>2899.5296813021705</v>
          </cell>
          <cell r="AG73">
            <v>3108.4156880145042</v>
          </cell>
          <cell r="AH73">
            <v>3319.3596849407577</v>
          </cell>
          <cell r="AI73">
            <v>3532.3819478465748</v>
          </cell>
          <cell r="AJ73">
            <v>3747.502952258857</v>
          </cell>
          <cell r="AK73">
            <v>3964.7433754338213</v>
          </cell>
          <cell r="AL73">
            <v>4184.1240983444968</v>
          </cell>
          <cell r="AM73">
            <v>4405.6662076877965</v>
          </cell>
          <cell r="AN73">
            <v>4629.3909979113205</v>
          </cell>
          <cell r="AO73">
            <v>4855.3199732601961</v>
          </cell>
          <cell r="AP73">
            <v>5083.474849844044</v>
          </cell>
          <cell r="AQ73">
            <v>5313.8775577242777</v>
          </cell>
          <cell r="AR73">
            <v>5546.5502430220567</v>
          </cell>
          <cell r="AS73">
            <v>5781.5152700469025</v>
          </cell>
          <cell r="AT73">
            <v>6018.7952234463755</v>
          </cell>
          <cell r="AU73">
            <v>6258.4129103768855</v>
          </cell>
          <cell r="AV73">
            <v>6500.3913626958692</v>
          </cell>
          <cell r="AW73">
            <v>6744.753839175627</v>
          </cell>
          <cell r="AX73">
            <v>6991.5238277389362</v>
          </cell>
          <cell r="AY73">
            <v>7240.7250477166581</v>
          </cell>
          <cell r="AZ73">
            <v>7492.3814521276636</v>
          </cell>
          <cell r="BA73">
            <v>7746.5172299811311</v>
          </cell>
          <cell r="BB73" t="e">
            <v>#VALUE!</v>
          </cell>
          <cell r="BC73" t="e">
            <v>#VALUE!</v>
          </cell>
          <cell r="BD73" t="e">
            <v>#VALUE!</v>
          </cell>
          <cell r="BE73" t="e">
            <v>#VALUE!</v>
          </cell>
          <cell r="BF73" t="e">
            <v>#VALUE!</v>
          </cell>
          <cell r="BG73" t="e">
            <v>#VALUE!</v>
          </cell>
          <cell r="BH73" t="e">
            <v>#VALUE!</v>
          </cell>
          <cell r="BI73" t="e">
            <v>#VALUE!</v>
          </cell>
          <cell r="BJ73" t="e">
            <v>#VALUE!</v>
          </cell>
          <cell r="BK73" t="e">
            <v>#VALUE!</v>
          </cell>
          <cell r="BL73" t="e">
            <v>#VALUE!</v>
          </cell>
          <cell r="BM73" t="e">
            <v>#VALUE!</v>
          </cell>
          <cell r="BN73" t="e">
            <v>#VALUE!</v>
          </cell>
          <cell r="BO73" t="e">
            <v>#VALUE!</v>
          </cell>
          <cell r="BP73" t="e">
            <v>#VALUE!</v>
          </cell>
          <cell r="BQ73" t="e">
            <v>#VALUE!</v>
          </cell>
          <cell r="BR73" t="e">
            <v>#VALUE!</v>
          </cell>
          <cell r="BS73" t="e">
            <v>#VALUE!</v>
          </cell>
          <cell r="BT73" t="e">
            <v>#VALUE!</v>
          </cell>
          <cell r="BU73" t="e">
            <v>#VALUE!</v>
          </cell>
          <cell r="BV73" t="e">
            <v>#VALUE!</v>
          </cell>
          <cell r="BW73" t="e">
            <v>#VALUE!</v>
          </cell>
          <cell r="BX73" t="e">
            <v>#VALUE!</v>
          </cell>
          <cell r="BY73" t="e">
            <v>#VALUE!</v>
          </cell>
          <cell r="BZ73" t="e">
            <v>#VALUE!</v>
          </cell>
          <cell r="CA73" t="e">
            <v>#VALUE!</v>
          </cell>
          <cell r="CB73" t="e">
            <v>#VALUE!</v>
          </cell>
          <cell r="CC73" t="e">
            <v>#VALUE!</v>
          </cell>
          <cell r="CD73" t="e">
            <v>#VALUE!</v>
          </cell>
          <cell r="CE73" t="e">
            <v>#VALUE!</v>
          </cell>
          <cell r="CF73" t="e">
            <v>#VALUE!</v>
          </cell>
          <cell r="CG73" t="e">
            <v>#VALUE!</v>
          </cell>
          <cell r="CH73" t="e">
            <v>#VALUE!</v>
          </cell>
          <cell r="CI73" t="e">
            <v>#VALUE!</v>
          </cell>
          <cell r="CJ73" t="e">
            <v>#VALUE!</v>
          </cell>
          <cell r="CK73" t="e">
            <v>#VALUE!</v>
          </cell>
          <cell r="CL73" t="e">
            <v>#VALUE!</v>
          </cell>
          <cell r="CM73" t="e">
            <v>#VALUE!</v>
          </cell>
          <cell r="CN73" t="e">
            <v>#VALUE!</v>
          </cell>
          <cell r="CO73" t="e">
            <v>#VALUE!</v>
          </cell>
          <cell r="CP73" t="e">
            <v>#VALUE!</v>
          </cell>
          <cell r="CQ73" t="e">
            <v>#VALUE!</v>
          </cell>
          <cell r="CR73" t="e">
            <v>#VALUE!</v>
          </cell>
          <cell r="CS73" t="e">
            <v>#VALUE!</v>
          </cell>
          <cell r="CT73" t="e">
            <v>#VALUE!</v>
          </cell>
          <cell r="CU73" t="e">
            <v>#VALUE!</v>
          </cell>
          <cell r="CV73" t="e">
            <v>#VALUE!</v>
          </cell>
          <cell r="CW73" t="e">
            <v>#VALUE!</v>
          </cell>
          <cell r="CX73" t="e">
            <v>#VALUE!</v>
          </cell>
          <cell r="CY73" t="e">
            <v>#VALUE!</v>
          </cell>
          <cell r="CZ73" t="e">
            <v>#VALUE!</v>
          </cell>
          <cell r="DA73" t="e">
            <v>#VALUE!</v>
          </cell>
          <cell r="DB73" t="e">
            <v>#VALUE!</v>
          </cell>
          <cell r="DC73" t="e">
            <v>#VALUE!</v>
          </cell>
          <cell r="DD73" t="e">
            <v>#VALUE!</v>
          </cell>
          <cell r="DE73" t="e">
            <v>#VALUE!</v>
          </cell>
          <cell r="DF73" t="e">
            <v>#VALUE!</v>
          </cell>
          <cell r="DG73" t="e">
            <v>#VALUE!</v>
          </cell>
          <cell r="DH73" t="e">
            <v>#VALUE!</v>
          </cell>
          <cell r="DI73" t="e">
            <v>#VALUE!</v>
          </cell>
          <cell r="DJ73" t="e">
            <v>#VALUE!</v>
          </cell>
          <cell r="DK73" t="e">
            <v>#VALUE!</v>
          </cell>
          <cell r="DL73" t="e">
            <v>#VALUE!</v>
          </cell>
          <cell r="DM73" t="e">
            <v>#VALUE!</v>
          </cell>
        </row>
        <row r="74">
          <cell r="C74" t="str">
            <v>F4.4</v>
          </cell>
          <cell r="D74" t="str">
            <v>Sonderreinigungen</v>
          </cell>
          <cell r="F74" t="str">
            <v>#SUM</v>
          </cell>
          <cell r="G74">
            <v>415.8</v>
          </cell>
          <cell r="J74" t="str">
            <v>€/Jahr</v>
          </cell>
          <cell r="O74">
            <v>18038.76492062139</v>
          </cell>
          <cell r="P74" t="str">
            <v>€</v>
          </cell>
        </row>
        <row r="75">
          <cell r="C75" t="str">
            <v>F4.4.a</v>
          </cell>
          <cell r="D75" t="str">
            <v>Sonnenschutzreinigungskosten</v>
          </cell>
          <cell r="F75" t="str">
            <v>JALRKa</v>
          </cell>
          <cell r="G75">
            <v>415.8</v>
          </cell>
          <cell r="H75">
            <v>415.8</v>
          </cell>
          <cell r="J75" t="str">
            <v>€/Jahr</v>
          </cell>
          <cell r="K75" t="str">
            <v>1</v>
          </cell>
          <cell r="L75" t="str">
            <v>PLOHN</v>
          </cell>
          <cell r="M75">
            <v>2.5</v>
          </cell>
          <cell r="N75">
            <v>1.0098522167487685</v>
          </cell>
          <cell r="O75">
            <v>18038.76492062139</v>
          </cell>
          <cell r="P75" t="str">
            <v>€</v>
          </cell>
          <cell r="Q75">
            <v>0</v>
          </cell>
          <cell r="R75">
            <v>419.89655172413796</v>
          </cell>
          <cell r="S75">
            <v>843.93001528792252</v>
          </cell>
          <cell r="T75">
            <v>1272.1411484434718</v>
          </cell>
          <cell r="U75">
            <v>1704.5711104970976</v>
          </cell>
          <cell r="V75">
            <v>2141.2614662655396</v>
          </cell>
          <cell r="W75">
            <v>2582.2541900711153</v>
          </cell>
          <cell r="X75">
            <v>3027.5916697762509</v>
          </cell>
          <cell r="Y75">
            <v>3477.3167108577841</v>
          </cell>
          <cell r="Z75">
            <v>3931.4725405214076</v>
          </cell>
          <cell r="AA75">
            <v>4390.1028118565955</v>
          </cell>
          <cell r="AB75">
            <v>4853.251608032524</v>
          </cell>
          <cell r="AC75">
            <v>5320.963446535302</v>
          </cell>
          <cell r="AD75">
            <v>5793.2832834469764</v>
          </cell>
          <cell r="AE75">
            <v>6270.2565177666575</v>
          </cell>
          <cell r="AF75">
            <v>6751.9289957742094</v>
          </cell>
          <cell r="AG75">
            <v>7238.3470154370034</v>
          </cell>
          <cell r="AH75">
            <v>7729.5573308600324</v>
          </cell>
          <cell r="AI75">
            <v>8225.6071567798281</v>
          </cell>
          <cell r="AJ75">
            <v>8726.544173102784</v>
          </cell>
          <cell r="AK75">
            <v>9232.4165294880331</v>
          </cell>
          <cell r="AL75">
            <v>9743.272849975594</v>
          </cell>
          <cell r="AM75">
            <v>10259.162237660094</v>
          </cell>
          <cell r="AN75">
            <v>10780.134279410435</v>
          </cell>
          <cell r="AO75">
            <v>11306.239050636144</v>
          </cell>
          <cell r="AP75">
            <v>11837.527120100549</v>
          </cell>
          <cell r="AQ75">
            <v>12374.049554781335</v>
          </cell>
          <cell r="AR75">
            <v>12915.857924779188</v>
          </cell>
          <cell r="AS75">
            <v>13463.004308274545</v>
          </cell>
          <cell r="AT75">
            <v>14015.5412965334</v>
          </cell>
          <cell r="AU75">
            <v>14573.521998962307</v>
          </cell>
          <cell r="AV75">
            <v>15137.000048213165</v>
          </cell>
          <cell r="AW75">
            <v>15706.02960533841</v>
          </cell>
          <cell r="AX75">
            <v>16280.665364996921</v>
          </cell>
          <cell r="AY75">
            <v>16860.962560711174</v>
          </cell>
          <cell r="AZ75">
            <v>17446.976970176318</v>
          </cell>
          <cell r="BA75">
            <v>18038.76492062139</v>
          </cell>
          <cell r="BB75" t="e">
            <v>#VALUE!</v>
          </cell>
          <cell r="BC75" t="e">
            <v>#VALUE!</v>
          </cell>
          <cell r="BD75" t="e">
            <v>#VALUE!</v>
          </cell>
          <cell r="BE75" t="e">
            <v>#VALUE!</v>
          </cell>
          <cell r="BF75" t="e">
            <v>#VALUE!</v>
          </cell>
          <cell r="BG75" t="e">
            <v>#VALUE!</v>
          </cell>
          <cell r="BH75" t="e">
            <v>#VALUE!</v>
          </cell>
          <cell r="BI75" t="e">
            <v>#VALUE!</v>
          </cell>
          <cell r="BJ75" t="e">
            <v>#VALUE!</v>
          </cell>
          <cell r="BK75" t="e">
            <v>#VALUE!</v>
          </cell>
          <cell r="BL75" t="e">
            <v>#VALUE!</v>
          </cell>
          <cell r="BM75" t="e">
            <v>#VALUE!</v>
          </cell>
          <cell r="BN75" t="e">
            <v>#VALUE!</v>
          </cell>
          <cell r="BO75" t="e">
            <v>#VALUE!</v>
          </cell>
          <cell r="BP75" t="e">
            <v>#VALUE!</v>
          </cell>
          <cell r="BQ75" t="e">
            <v>#VALUE!</v>
          </cell>
          <cell r="BR75" t="e">
            <v>#VALUE!</v>
          </cell>
          <cell r="BS75" t="e">
            <v>#VALUE!</v>
          </cell>
          <cell r="BT75" t="e">
            <v>#VALUE!</v>
          </cell>
          <cell r="BU75" t="e">
            <v>#VALUE!</v>
          </cell>
          <cell r="BV75" t="e">
            <v>#VALUE!</v>
          </cell>
          <cell r="BW75" t="e">
            <v>#VALUE!</v>
          </cell>
          <cell r="BX75" t="e">
            <v>#VALUE!</v>
          </cell>
          <cell r="BY75" t="e">
            <v>#VALUE!</v>
          </cell>
          <cell r="BZ75" t="e">
            <v>#VALUE!</v>
          </cell>
          <cell r="CA75" t="e">
            <v>#VALUE!</v>
          </cell>
          <cell r="CB75" t="e">
            <v>#VALUE!</v>
          </cell>
          <cell r="CC75" t="e">
            <v>#VALUE!</v>
          </cell>
          <cell r="CD75" t="e">
            <v>#VALUE!</v>
          </cell>
          <cell r="CE75" t="e">
            <v>#VALUE!</v>
          </cell>
          <cell r="CF75" t="e">
            <v>#VALUE!</v>
          </cell>
          <cell r="CG75" t="e">
            <v>#VALUE!</v>
          </cell>
          <cell r="CH75" t="e">
            <v>#VALUE!</v>
          </cell>
          <cell r="CI75" t="e">
            <v>#VALUE!</v>
          </cell>
          <cell r="CJ75" t="e">
            <v>#VALUE!</v>
          </cell>
          <cell r="CK75" t="e">
            <v>#VALUE!</v>
          </cell>
          <cell r="CL75" t="e">
            <v>#VALUE!</v>
          </cell>
          <cell r="CM75" t="e">
            <v>#VALUE!</v>
          </cell>
          <cell r="CN75" t="e">
            <v>#VALUE!</v>
          </cell>
          <cell r="CO75" t="e">
            <v>#VALUE!</v>
          </cell>
          <cell r="CP75" t="e">
            <v>#VALUE!</v>
          </cell>
          <cell r="CQ75" t="e">
            <v>#VALUE!</v>
          </cell>
          <cell r="CR75" t="e">
            <v>#VALUE!</v>
          </cell>
          <cell r="CS75" t="e">
            <v>#VALUE!</v>
          </cell>
          <cell r="CT75" t="e">
            <v>#VALUE!</v>
          </cell>
          <cell r="CU75" t="e">
            <v>#VALUE!</v>
          </cell>
          <cell r="CV75" t="e">
            <v>#VALUE!</v>
          </cell>
          <cell r="CW75" t="e">
            <v>#VALUE!</v>
          </cell>
          <cell r="CX75" t="e">
            <v>#VALUE!</v>
          </cell>
          <cell r="CY75" t="e">
            <v>#VALUE!</v>
          </cell>
          <cell r="CZ75" t="e">
            <v>#VALUE!</v>
          </cell>
          <cell r="DA75" t="e">
            <v>#VALUE!</v>
          </cell>
          <cell r="DB75" t="e">
            <v>#VALUE!</v>
          </cell>
          <cell r="DC75" t="e">
            <v>#VALUE!</v>
          </cell>
          <cell r="DD75" t="e">
            <v>#VALUE!</v>
          </cell>
          <cell r="DE75" t="e">
            <v>#VALUE!</v>
          </cell>
          <cell r="DF75" t="e">
            <v>#VALUE!</v>
          </cell>
          <cell r="DG75" t="e">
            <v>#VALUE!</v>
          </cell>
          <cell r="DH75" t="e">
            <v>#VALUE!</v>
          </cell>
          <cell r="DI75" t="e">
            <v>#VALUE!</v>
          </cell>
          <cell r="DJ75" t="e">
            <v>#VALUE!</v>
          </cell>
          <cell r="DK75" t="e">
            <v>#VALUE!</v>
          </cell>
          <cell r="DL75" t="e">
            <v>#VALUE!</v>
          </cell>
          <cell r="DM75" t="e">
            <v>#VALUE!</v>
          </cell>
        </row>
        <row r="76">
          <cell r="C76" t="str">
            <v>F4.4.b</v>
          </cell>
          <cell r="D76" t="str">
            <v>Reinigungskosten PV und Solarthermie</v>
          </cell>
          <cell r="F76" t="str">
            <v>PVSOLRKa</v>
          </cell>
          <cell r="G76">
            <v>0</v>
          </cell>
          <cell r="H76">
            <v>0</v>
          </cell>
          <cell r="J76" t="str">
            <v>€/Jahr</v>
          </cell>
          <cell r="K76" t="str">
            <v>1</v>
          </cell>
          <cell r="L76" t="str">
            <v>PLOHN</v>
          </cell>
          <cell r="M76">
            <v>2.5</v>
          </cell>
          <cell r="N76">
            <v>1.0098522167487685</v>
          </cell>
          <cell r="O76">
            <v>0</v>
          </cell>
          <cell r="P76" t="str">
            <v>€</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t="e">
            <v>#VALUE!</v>
          </cell>
          <cell r="BC76" t="e">
            <v>#VALUE!</v>
          </cell>
          <cell r="BD76" t="e">
            <v>#VALUE!</v>
          </cell>
          <cell r="BE76" t="e">
            <v>#VALUE!</v>
          </cell>
          <cell r="BF76" t="e">
            <v>#VALUE!</v>
          </cell>
          <cell r="BG76" t="e">
            <v>#VALUE!</v>
          </cell>
          <cell r="BH76" t="e">
            <v>#VALUE!</v>
          </cell>
          <cell r="BI76" t="e">
            <v>#VALUE!</v>
          </cell>
          <cell r="BJ76" t="e">
            <v>#VALUE!</v>
          </cell>
          <cell r="BK76" t="e">
            <v>#VALUE!</v>
          </cell>
          <cell r="BL76" t="e">
            <v>#VALUE!</v>
          </cell>
          <cell r="BM76" t="e">
            <v>#VALUE!</v>
          </cell>
          <cell r="BN76" t="e">
            <v>#VALUE!</v>
          </cell>
          <cell r="BO76" t="e">
            <v>#VALUE!</v>
          </cell>
          <cell r="BP76" t="e">
            <v>#VALUE!</v>
          </cell>
          <cell r="BQ76" t="e">
            <v>#VALUE!</v>
          </cell>
          <cell r="BR76" t="e">
            <v>#VALUE!</v>
          </cell>
          <cell r="BS76" t="e">
            <v>#VALUE!</v>
          </cell>
          <cell r="BT76" t="e">
            <v>#VALUE!</v>
          </cell>
          <cell r="BU76" t="e">
            <v>#VALUE!</v>
          </cell>
          <cell r="BV76" t="e">
            <v>#VALUE!</v>
          </cell>
          <cell r="BW76" t="e">
            <v>#VALUE!</v>
          </cell>
          <cell r="BX76" t="e">
            <v>#VALUE!</v>
          </cell>
          <cell r="BY76" t="e">
            <v>#VALUE!</v>
          </cell>
          <cell r="BZ76" t="e">
            <v>#VALUE!</v>
          </cell>
          <cell r="CA76" t="e">
            <v>#VALUE!</v>
          </cell>
          <cell r="CB76" t="e">
            <v>#VALUE!</v>
          </cell>
          <cell r="CC76" t="e">
            <v>#VALUE!</v>
          </cell>
          <cell r="CD76" t="e">
            <v>#VALUE!</v>
          </cell>
          <cell r="CE76" t="e">
            <v>#VALUE!</v>
          </cell>
          <cell r="CF76" t="e">
            <v>#VALUE!</v>
          </cell>
          <cell r="CG76" t="e">
            <v>#VALUE!</v>
          </cell>
          <cell r="CH76" t="e">
            <v>#VALUE!</v>
          </cell>
          <cell r="CI76" t="e">
            <v>#VALUE!</v>
          </cell>
          <cell r="CJ76" t="e">
            <v>#VALUE!</v>
          </cell>
          <cell r="CK76" t="e">
            <v>#VALUE!</v>
          </cell>
          <cell r="CL76" t="e">
            <v>#VALUE!</v>
          </cell>
          <cell r="CM76" t="e">
            <v>#VALUE!</v>
          </cell>
          <cell r="CN76" t="e">
            <v>#VALUE!</v>
          </cell>
          <cell r="CO76" t="e">
            <v>#VALUE!</v>
          </cell>
          <cell r="CP76" t="e">
            <v>#VALUE!</v>
          </cell>
          <cell r="CQ76" t="e">
            <v>#VALUE!</v>
          </cell>
          <cell r="CR76" t="e">
            <v>#VALUE!</v>
          </cell>
          <cell r="CS76" t="e">
            <v>#VALUE!</v>
          </cell>
          <cell r="CT76" t="e">
            <v>#VALUE!</v>
          </cell>
          <cell r="CU76" t="e">
            <v>#VALUE!</v>
          </cell>
          <cell r="CV76" t="e">
            <v>#VALUE!</v>
          </cell>
          <cell r="CW76" t="e">
            <v>#VALUE!</v>
          </cell>
          <cell r="CX76" t="e">
            <v>#VALUE!</v>
          </cell>
          <cell r="CY76" t="e">
            <v>#VALUE!</v>
          </cell>
          <cell r="CZ76" t="e">
            <v>#VALUE!</v>
          </cell>
          <cell r="DA76" t="e">
            <v>#VALUE!</v>
          </cell>
          <cell r="DB76" t="e">
            <v>#VALUE!</v>
          </cell>
          <cell r="DC76" t="e">
            <v>#VALUE!</v>
          </cell>
          <cell r="DD76" t="e">
            <v>#VALUE!</v>
          </cell>
          <cell r="DE76" t="e">
            <v>#VALUE!</v>
          </cell>
          <cell r="DF76" t="e">
            <v>#VALUE!</v>
          </cell>
          <cell r="DG76" t="e">
            <v>#VALUE!</v>
          </cell>
          <cell r="DH76" t="e">
            <v>#VALUE!</v>
          </cell>
          <cell r="DI76" t="e">
            <v>#VALUE!</v>
          </cell>
          <cell r="DJ76" t="e">
            <v>#VALUE!</v>
          </cell>
          <cell r="DK76" t="e">
            <v>#VALUE!</v>
          </cell>
          <cell r="DL76" t="e">
            <v>#VALUE!</v>
          </cell>
          <cell r="DM76" t="e">
            <v>#VALUE!</v>
          </cell>
        </row>
        <row r="77">
          <cell r="C77" t="str">
            <v>F4.5</v>
          </cell>
          <cell r="D77" t="str">
            <v>Winterdienste</v>
          </cell>
          <cell r="F77" t="str">
            <v>SRKm2a*BEFAF</v>
          </cell>
          <cell r="G77">
            <v>198.42</v>
          </cell>
          <cell r="H77">
            <v>198.42</v>
          </cell>
          <cell r="J77" t="str">
            <v>€/Jahr</v>
          </cell>
          <cell r="K77" t="str">
            <v>1</v>
          </cell>
          <cell r="L77" t="str">
            <v>PLOHN</v>
          </cell>
          <cell r="M77">
            <v>2.5</v>
          </cell>
          <cell r="N77">
            <v>1.0098522167487685</v>
          </cell>
          <cell r="O77">
            <v>8608.109032106051</v>
          </cell>
          <cell r="P77" t="str">
            <v>€</v>
          </cell>
          <cell r="Q77">
            <v>0</v>
          </cell>
          <cell r="R77">
            <v>200.37487684729064</v>
          </cell>
          <cell r="S77">
            <v>402.72389041228854</v>
          </cell>
          <cell r="T77">
            <v>607.0664903178299</v>
          </cell>
          <cell r="U77">
            <v>813.4223178086437</v>
          </cell>
          <cell r="V77">
            <v>1021.8112076392698</v>
          </cell>
          <cell r="W77">
            <v>1232.2531899805451</v>
          </cell>
          <cell r="X77">
            <v>1444.768492344886</v>
          </cell>
          <cell r="Y77">
            <v>1659.377541530547</v>
          </cell>
          <cell r="Z77">
            <v>1876.1009655850351</v>
          </cell>
          <cell r="AA77">
            <v>2094.9595957878441</v>
          </cell>
          <cell r="AB77">
            <v>2315.9744686527497</v>
          </cell>
          <cell r="AC77">
            <v>2539.1668279498185</v>
          </cell>
          <cell r="AD77">
            <v>2764.5581267473517</v>
          </cell>
          <cell r="AE77">
            <v>2992.1700294739298</v>
          </cell>
          <cell r="AF77">
            <v>3222.0244140007662</v>
          </cell>
          <cell r="AG77">
            <v>3454.1433737446127</v>
          </cell>
          <cell r="AH77">
            <v>3688.54921979136</v>
          </cell>
          <cell r="AI77">
            <v>3925.2644830405325</v>
          </cell>
          <cell r="AJ77">
            <v>4164.3119163709816</v>
          </cell>
          <cell r="AK77">
            <v>4405.714496827839</v>
          </cell>
          <cell r="AL77">
            <v>4649.4954278310661</v>
          </cell>
          <cell r="AM77">
            <v>4895.6781414057614</v>
          </cell>
          <cell r="AN77">
            <v>5144.2863004343881</v>
          </cell>
          <cell r="AO77">
            <v>5395.343800931274</v>
          </cell>
          <cell r="AP77">
            <v>5648.874774339467</v>
          </cell>
          <cell r="AQ77">
            <v>5904.9035898501979</v>
          </cell>
          <cell r="AR77">
            <v>6163.4548567452766</v>
          </cell>
          <cell r="AS77">
            <v>6424.5534267624698</v>
          </cell>
          <cell r="AT77">
            <v>6688.2243964842637</v>
          </cell>
          <cell r="AU77">
            <v>6954.4931097501221</v>
          </cell>
          <cell r="AV77">
            <v>7223.3851600924872</v>
          </cell>
          <cell r="AW77">
            <v>7494.9263931968426</v>
          </cell>
          <cell r="AX77">
            <v>7769.1429093859761</v>
          </cell>
          <cell r="AY77">
            <v>8046.0610661286937</v>
          </cell>
          <cell r="AZ77">
            <v>8325.7074805733155</v>
          </cell>
          <cell r="BA77">
            <v>8608.109032106051</v>
          </cell>
          <cell r="BB77" t="e">
            <v>#VALUE!</v>
          </cell>
          <cell r="BC77" t="e">
            <v>#VALUE!</v>
          </cell>
          <cell r="BD77" t="e">
            <v>#VALUE!</v>
          </cell>
          <cell r="BE77" t="e">
            <v>#VALUE!</v>
          </cell>
          <cell r="BF77" t="e">
            <v>#VALUE!</v>
          </cell>
          <cell r="BG77" t="e">
            <v>#VALUE!</v>
          </cell>
          <cell r="BH77" t="e">
            <v>#VALUE!</v>
          </cell>
          <cell r="BI77" t="e">
            <v>#VALUE!</v>
          </cell>
          <cell r="BJ77" t="e">
            <v>#VALUE!</v>
          </cell>
          <cell r="BK77" t="e">
            <v>#VALUE!</v>
          </cell>
          <cell r="BL77" t="e">
            <v>#VALUE!</v>
          </cell>
          <cell r="BM77" t="e">
            <v>#VALUE!</v>
          </cell>
          <cell r="BN77" t="e">
            <v>#VALUE!</v>
          </cell>
          <cell r="BO77" t="e">
            <v>#VALUE!</v>
          </cell>
          <cell r="BP77" t="e">
            <v>#VALUE!</v>
          </cell>
          <cell r="BQ77" t="e">
            <v>#VALUE!</v>
          </cell>
          <cell r="BR77" t="e">
            <v>#VALUE!</v>
          </cell>
          <cell r="BS77" t="e">
            <v>#VALUE!</v>
          </cell>
          <cell r="BT77" t="e">
            <v>#VALUE!</v>
          </cell>
          <cell r="BU77" t="e">
            <v>#VALUE!</v>
          </cell>
          <cell r="BV77" t="e">
            <v>#VALUE!</v>
          </cell>
          <cell r="BW77" t="e">
            <v>#VALUE!</v>
          </cell>
          <cell r="BX77" t="e">
            <v>#VALUE!</v>
          </cell>
          <cell r="BY77" t="e">
            <v>#VALUE!</v>
          </cell>
          <cell r="BZ77" t="e">
            <v>#VALUE!</v>
          </cell>
          <cell r="CA77" t="e">
            <v>#VALUE!</v>
          </cell>
          <cell r="CB77" t="e">
            <v>#VALUE!</v>
          </cell>
          <cell r="CC77" t="e">
            <v>#VALUE!</v>
          </cell>
          <cell r="CD77" t="e">
            <v>#VALUE!</v>
          </cell>
          <cell r="CE77" t="e">
            <v>#VALUE!</v>
          </cell>
          <cell r="CF77" t="e">
            <v>#VALUE!</v>
          </cell>
          <cell r="CG77" t="e">
            <v>#VALUE!</v>
          </cell>
          <cell r="CH77" t="e">
            <v>#VALUE!</v>
          </cell>
          <cell r="CI77" t="e">
            <v>#VALUE!</v>
          </cell>
          <cell r="CJ77" t="e">
            <v>#VALUE!</v>
          </cell>
          <cell r="CK77" t="e">
            <v>#VALUE!</v>
          </cell>
          <cell r="CL77" t="e">
            <v>#VALUE!</v>
          </cell>
          <cell r="CM77" t="e">
            <v>#VALUE!</v>
          </cell>
          <cell r="CN77" t="e">
            <v>#VALUE!</v>
          </cell>
          <cell r="CO77" t="e">
            <v>#VALUE!</v>
          </cell>
          <cell r="CP77" t="e">
            <v>#VALUE!</v>
          </cell>
          <cell r="CQ77" t="e">
            <v>#VALUE!</v>
          </cell>
          <cell r="CR77" t="e">
            <v>#VALUE!</v>
          </cell>
          <cell r="CS77" t="e">
            <v>#VALUE!</v>
          </cell>
          <cell r="CT77" t="e">
            <v>#VALUE!</v>
          </cell>
          <cell r="CU77" t="e">
            <v>#VALUE!</v>
          </cell>
          <cell r="CV77" t="e">
            <v>#VALUE!</v>
          </cell>
          <cell r="CW77" t="e">
            <v>#VALUE!</v>
          </cell>
          <cell r="CX77" t="e">
            <v>#VALUE!</v>
          </cell>
          <cell r="CY77" t="e">
            <v>#VALUE!</v>
          </cell>
          <cell r="CZ77" t="e">
            <v>#VALUE!</v>
          </cell>
          <cell r="DA77" t="e">
            <v>#VALUE!</v>
          </cell>
          <cell r="DB77" t="e">
            <v>#VALUE!</v>
          </cell>
          <cell r="DC77" t="e">
            <v>#VALUE!</v>
          </cell>
          <cell r="DD77" t="e">
            <v>#VALUE!</v>
          </cell>
          <cell r="DE77" t="e">
            <v>#VALUE!</v>
          </cell>
          <cell r="DF77" t="e">
            <v>#VALUE!</v>
          </cell>
          <cell r="DG77" t="e">
            <v>#VALUE!</v>
          </cell>
          <cell r="DH77" t="e">
            <v>#VALUE!</v>
          </cell>
          <cell r="DI77" t="e">
            <v>#VALUE!</v>
          </cell>
          <cell r="DJ77" t="e">
            <v>#VALUE!</v>
          </cell>
          <cell r="DK77" t="e">
            <v>#VALUE!</v>
          </cell>
          <cell r="DL77" t="e">
            <v>#VALUE!</v>
          </cell>
          <cell r="DM77" t="e">
            <v>#VALUE!</v>
          </cell>
        </row>
        <row r="78">
          <cell r="C78" t="str">
            <v>F4.6</v>
          </cell>
          <cell r="D78" t="str">
            <v>Reinigung Außenanlagen</v>
          </cell>
          <cell r="F78" t="str">
            <v>AufKm2a*BEFAF</v>
          </cell>
          <cell r="G78">
            <v>56.966381999999989</v>
          </cell>
          <cell r="H78">
            <v>56.966381999999989</v>
          </cell>
          <cell r="J78" t="str">
            <v>€/Jahr</v>
          </cell>
          <cell r="K78" t="str">
            <v>1</v>
          </cell>
          <cell r="L78" t="str">
            <v>PALLG</v>
          </cell>
          <cell r="M78">
            <v>2.5</v>
          </cell>
          <cell r="N78">
            <v>1.0098522167487685</v>
          </cell>
          <cell r="O78">
            <v>2471.3881031176466</v>
          </cell>
          <cell r="P78" t="str">
            <v>€</v>
          </cell>
          <cell r="Q78">
            <v>0</v>
          </cell>
          <cell r="R78">
            <v>57.527627142857128</v>
          </cell>
          <cell r="S78">
            <v>115.622028937368</v>
          </cell>
          <cell r="T78">
            <v>174.28878937024891</v>
          </cell>
          <cell r="U78">
            <v>233.53354744286156</v>
          </cell>
          <cell r="V78">
            <v>293.3619977132343</v>
          </cell>
          <cell r="W78">
            <v>353.77989084341442</v>
          </cell>
          <cell r="X78">
            <v>414.79303415221671</v>
          </cell>
          <cell r="Y78">
            <v>476.40729217341993</v>
          </cell>
          <cell r="Z78">
            <v>538.6285872194635</v>
          </cell>
          <cell r="AA78">
            <v>601.46289995068992</v>
          </cell>
          <cell r="AB78">
            <v>664.9162699502042</v>
          </cell>
          <cell r="AC78">
            <v>728.99479630439271</v>
          </cell>
          <cell r="AD78">
            <v>793.70463818916448</v>
          </cell>
          <cell r="AE78">
            <v>859.05201546196508</v>
          </cell>
          <cell r="AF78">
            <v>925.04320925961974</v>
          </cell>
          <cell r="AG78">
            <v>991.68456260207813</v>
          </cell>
          <cell r="AH78">
            <v>1058.9824810020991</v>
          </cell>
          <cell r="AI78">
            <v>1126.9434330809365</v>
          </cell>
          <cell r="AJ78">
            <v>1195.5739511901086</v>
          </cell>
          <cell r="AK78">
            <v>1264.8806320392723</v>
          </cell>
          <cell r="AL78">
            <v>1334.8701373302988</v>
          </cell>
          <cell r="AM78">
            <v>1405.5491943975937</v>
          </cell>
          <cell r="AN78">
            <v>1476.9245968547123</v>
          </cell>
          <cell r="AO78">
            <v>1549.0032052473684</v>
          </cell>
          <cell r="AP78">
            <v>1621.7919477128607</v>
          </cell>
          <cell r="AQ78">
            <v>1695.2978206459916</v>
          </cell>
          <cell r="AR78">
            <v>1769.5278893715686</v>
          </cell>
          <cell r="AS78">
            <v>1844.4892888235047</v>
          </cell>
          <cell r="AT78">
            <v>1920.1892242306317</v>
          </cell>
          <cell r="AU78">
            <v>1996.6349718092595</v>
          </cell>
          <cell r="AV78">
            <v>2073.8338794625524</v>
          </cell>
          <cell r="AW78">
            <v>2151.7933674868132</v>
          </cell>
          <cell r="AX78">
            <v>2230.520929284713</v>
          </cell>
          <cell r="AY78">
            <v>2310.0241320855471</v>
          </cell>
          <cell r="AZ78">
            <v>2390.3106176725983</v>
          </cell>
          <cell r="BA78">
            <v>2471.3881031176466</v>
          </cell>
          <cell r="BB78" t="e">
            <v>#VALUE!</v>
          </cell>
          <cell r="BC78" t="e">
            <v>#VALUE!</v>
          </cell>
          <cell r="BD78" t="e">
            <v>#VALUE!</v>
          </cell>
          <cell r="BE78" t="e">
            <v>#VALUE!</v>
          </cell>
          <cell r="BF78" t="e">
            <v>#VALUE!</v>
          </cell>
          <cell r="BG78" t="e">
            <v>#VALUE!</v>
          </cell>
          <cell r="BH78" t="e">
            <v>#VALUE!</v>
          </cell>
          <cell r="BI78" t="e">
            <v>#VALUE!</v>
          </cell>
          <cell r="BJ78" t="e">
            <v>#VALUE!</v>
          </cell>
          <cell r="BK78" t="e">
            <v>#VALUE!</v>
          </cell>
          <cell r="BL78" t="e">
            <v>#VALUE!</v>
          </cell>
          <cell r="BM78" t="e">
            <v>#VALUE!</v>
          </cell>
          <cell r="BN78" t="e">
            <v>#VALUE!</v>
          </cell>
          <cell r="BO78" t="e">
            <v>#VALUE!</v>
          </cell>
          <cell r="BP78" t="e">
            <v>#VALUE!</v>
          </cell>
          <cell r="BQ78" t="e">
            <v>#VALUE!</v>
          </cell>
          <cell r="BR78" t="e">
            <v>#VALUE!</v>
          </cell>
          <cell r="BS78" t="e">
            <v>#VALUE!</v>
          </cell>
          <cell r="BT78" t="e">
            <v>#VALUE!</v>
          </cell>
          <cell r="BU78" t="e">
            <v>#VALUE!</v>
          </cell>
          <cell r="BV78" t="e">
            <v>#VALUE!</v>
          </cell>
          <cell r="BW78" t="e">
            <v>#VALUE!</v>
          </cell>
          <cell r="BX78" t="e">
            <v>#VALUE!</v>
          </cell>
          <cell r="BY78" t="e">
            <v>#VALUE!</v>
          </cell>
          <cell r="BZ78" t="e">
            <v>#VALUE!</v>
          </cell>
          <cell r="CA78" t="e">
            <v>#VALUE!</v>
          </cell>
          <cell r="CB78" t="e">
            <v>#VALUE!</v>
          </cell>
          <cell r="CC78" t="e">
            <v>#VALUE!</v>
          </cell>
          <cell r="CD78" t="e">
            <v>#VALUE!</v>
          </cell>
          <cell r="CE78" t="e">
            <v>#VALUE!</v>
          </cell>
          <cell r="CF78" t="e">
            <v>#VALUE!</v>
          </cell>
          <cell r="CG78" t="e">
            <v>#VALUE!</v>
          </cell>
          <cell r="CH78" t="e">
            <v>#VALUE!</v>
          </cell>
          <cell r="CI78" t="e">
            <v>#VALUE!</v>
          </cell>
          <cell r="CJ78" t="e">
            <v>#VALUE!</v>
          </cell>
          <cell r="CK78" t="e">
            <v>#VALUE!</v>
          </cell>
          <cell r="CL78" t="e">
            <v>#VALUE!</v>
          </cell>
          <cell r="CM78" t="e">
            <v>#VALUE!</v>
          </cell>
          <cell r="CN78" t="e">
            <v>#VALUE!</v>
          </cell>
          <cell r="CO78" t="e">
            <v>#VALUE!</v>
          </cell>
          <cell r="CP78" t="e">
            <v>#VALUE!</v>
          </cell>
          <cell r="CQ78" t="e">
            <v>#VALUE!</v>
          </cell>
          <cell r="CR78" t="e">
            <v>#VALUE!</v>
          </cell>
          <cell r="CS78" t="e">
            <v>#VALUE!</v>
          </cell>
          <cell r="CT78" t="e">
            <v>#VALUE!</v>
          </cell>
          <cell r="CU78" t="e">
            <v>#VALUE!</v>
          </cell>
          <cell r="CV78" t="e">
            <v>#VALUE!</v>
          </cell>
          <cell r="CW78" t="e">
            <v>#VALUE!</v>
          </cell>
          <cell r="CX78" t="e">
            <v>#VALUE!</v>
          </cell>
          <cell r="CY78" t="e">
            <v>#VALUE!</v>
          </cell>
          <cell r="CZ78" t="e">
            <v>#VALUE!</v>
          </cell>
          <cell r="DA78" t="e">
            <v>#VALUE!</v>
          </cell>
          <cell r="DB78" t="e">
            <v>#VALUE!</v>
          </cell>
          <cell r="DC78" t="e">
            <v>#VALUE!</v>
          </cell>
          <cell r="DD78" t="e">
            <v>#VALUE!</v>
          </cell>
          <cell r="DE78" t="e">
            <v>#VALUE!</v>
          </cell>
          <cell r="DF78" t="e">
            <v>#VALUE!</v>
          </cell>
          <cell r="DG78" t="e">
            <v>#VALUE!</v>
          </cell>
          <cell r="DH78" t="e">
            <v>#VALUE!</v>
          </cell>
          <cell r="DI78" t="e">
            <v>#VALUE!</v>
          </cell>
          <cell r="DJ78" t="e">
            <v>#VALUE!</v>
          </cell>
          <cell r="DK78" t="e">
            <v>#VALUE!</v>
          </cell>
          <cell r="DL78" t="e">
            <v>#VALUE!</v>
          </cell>
          <cell r="DM78" t="e">
            <v>#VALUE!</v>
          </cell>
        </row>
        <row r="79">
          <cell r="C79" t="str">
            <v>F4.7</v>
          </cell>
          <cell r="D79" t="str">
            <v>Gärtnerdienste</v>
          </cell>
          <cell r="F79" t="str">
            <v>RAPKm2a*GRÜNF</v>
          </cell>
          <cell r="G79">
            <v>4539.6719999999996</v>
          </cell>
          <cell r="H79">
            <v>4539.6719999999996</v>
          </cell>
          <cell r="J79" t="str">
            <v>€/Jahr</v>
          </cell>
          <cell r="K79" t="str">
            <v>1</v>
          </cell>
          <cell r="L79" t="str">
            <v>PLOHN</v>
          </cell>
          <cell r="M79">
            <v>2.5</v>
          </cell>
          <cell r="N79">
            <v>1.0098522167487685</v>
          </cell>
          <cell r="O79">
            <v>196945.8297852985</v>
          </cell>
          <cell r="P79" t="str">
            <v>€</v>
          </cell>
          <cell r="Q79">
            <v>0</v>
          </cell>
          <cell r="R79">
            <v>4584.3978325123144</v>
          </cell>
          <cell r="S79">
            <v>9213.9621461331226</v>
          </cell>
          <cell r="T79">
            <v>13889.137930824125</v>
          </cell>
          <cell r="U79">
            <v>18610.37456068441</v>
          </cell>
          <cell r="V79">
            <v>23378.125837144333</v>
          </cell>
          <cell r="W79">
            <v>28192.850032584214</v>
          </cell>
          <cell r="X79">
            <v>33055.009934383088</v>
          </cell>
          <cell r="Y79">
            <v>37965.072889401577</v>
          </cell>
          <cell r="Z79">
            <v>42923.510848903061</v>
          </cell>
          <cell r="AA79">
            <v>47930.800413916906</v>
          </cell>
          <cell r="AB79">
            <v>52987.422881049104</v>
          </cell>
          <cell r="AC79">
            <v>58093.864288744116</v>
          </cell>
          <cell r="AD79">
            <v>63250.615464002629</v>
          </cell>
          <cell r="AE79">
            <v>68458.172069559383</v>
          </cell>
          <cell r="AF79">
            <v>73717.034651525464</v>
          </cell>
          <cell r="AG79">
            <v>79027.708687501014</v>
          </cell>
          <cell r="AH79">
            <v>84390.704635161179</v>
          </cell>
          <cell r="AI79">
            <v>89806.537981320318</v>
          </cell>
          <cell r="AJ79">
            <v>95275.729291481126</v>
          </cell>
          <cell r="AK79">
            <v>100798.8042598701</v>
          </cell>
          <cell r="AL79">
            <v>106376.29375996729</v>
          </cell>
          <cell r="AM79">
            <v>112008.73389553357</v>
          </cell>
          <cell r="AN79">
            <v>117696.66605213977</v>
          </cell>
          <cell r="AO79">
            <v>123440.63694920509</v>
          </cell>
          <cell r="AP79">
            <v>129241.1986925471</v>
          </cell>
          <cell r="AQ79">
            <v>135098.90882744896</v>
          </cell>
          <cell r="AR79">
            <v>141014.33039225149</v>
          </cell>
          <cell r="AS79">
            <v>146988.03197247066</v>
          </cell>
          <cell r="AT79">
            <v>153020.58775545057</v>
          </cell>
          <cell r="AU79">
            <v>159112.57758555363</v>
          </cell>
          <cell r="AV79">
            <v>165264.58701989404</v>
          </cell>
          <cell r="AW79">
            <v>171477.20738462196</v>
          </cell>
          <cell r="AX79">
            <v>177751.03583176114</v>
          </cell>
          <cell r="AY79">
            <v>184086.67539660604</v>
          </cell>
          <cell r="AZ79">
            <v>190484.735055686</v>
          </cell>
          <cell r="BA79">
            <v>196945.8297852985</v>
          </cell>
          <cell r="BB79" t="e">
            <v>#VALUE!</v>
          </cell>
          <cell r="BC79" t="e">
            <v>#VALUE!</v>
          </cell>
          <cell r="BD79" t="e">
            <v>#VALUE!</v>
          </cell>
          <cell r="BE79" t="e">
            <v>#VALUE!</v>
          </cell>
          <cell r="BF79" t="e">
            <v>#VALUE!</v>
          </cell>
          <cell r="BG79" t="e">
            <v>#VALUE!</v>
          </cell>
          <cell r="BH79" t="e">
            <v>#VALUE!</v>
          </cell>
          <cell r="BI79" t="e">
            <v>#VALUE!</v>
          </cell>
          <cell r="BJ79" t="e">
            <v>#VALUE!</v>
          </cell>
          <cell r="BK79" t="e">
            <v>#VALUE!</v>
          </cell>
          <cell r="BL79" t="e">
            <v>#VALUE!</v>
          </cell>
          <cell r="BM79" t="e">
            <v>#VALUE!</v>
          </cell>
          <cell r="BN79" t="e">
            <v>#VALUE!</v>
          </cell>
          <cell r="BO79" t="e">
            <v>#VALUE!</v>
          </cell>
          <cell r="BP79" t="e">
            <v>#VALUE!</v>
          </cell>
          <cell r="BQ79" t="e">
            <v>#VALUE!</v>
          </cell>
          <cell r="BR79" t="e">
            <v>#VALUE!</v>
          </cell>
          <cell r="BS79" t="e">
            <v>#VALUE!</v>
          </cell>
          <cell r="BT79" t="e">
            <v>#VALUE!</v>
          </cell>
          <cell r="BU79" t="e">
            <v>#VALUE!</v>
          </cell>
          <cell r="BV79" t="e">
            <v>#VALUE!</v>
          </cell>
          <cell r="BW79" t="e">
            <v>#VALUE!</v>
          </cell>
          <cell r="BX79" t="e">
            <v>#VALUE!</v>
          </cell>
          <cell r="BY79" t="e">
            <v>#VALUE!</v>
          </cell>
          <cell r="BZ79" t="e">
            <v>#VALUE!</v>
          </cell>
          <cell r="CA79" t="e">
            <v>#VALUE!</v>
          </cell>
          <cell r="CB79" t="e">
            <v>#VALUE!</v>
          </cell>
          <cell r="CC79" t="e">
            <v>#VALUE!</v>
          </cell>
          <cell r="CD79" t="e">
            <v>#VALUE!</v>
          </cell>
          <cell r="CE79" t="e">
            <v>#VALUE!</v>
          </cell>
          <cell r="CF79" t="e">
            <v>#VALUE!</v>
          </cell>
          <cell r="CG79" t="e">
            <v>#VALUE!</v>
          </cell>
          <cell r="CH79" t="e">
            <v>#VALUE!</v>
          </cell>
          <cell r="CI79" t="e">
            <v>#VALUE!</v>
          </cell>
          <cell r="CJ79" t="e">
            <v>#VALUE!</v>
          </cell>
          <cell r="CK79" t="e">
            <v>#VALUE!</v>
          </cell>
          <cell r="CL79" t="e">
            <v>#VALUE!</v>
          </cell>
          <cell r="CM79" t="e">
            <v>#VALUE!</v>
          </cell>
          <cell r="CN79" t="e">
            <v>#VALUE!</v>
          </cell>
          <cell r="CO79" t="e">
            <v>#VALUE!</v>
          </cell>
          <cell r="CP79" t="e">
            <v>#VALUE!</v>
          </cell>
          <cell r="CQ79" t="e">
            <v>#VALUE!</v>
          </cell>
          <cell r="CR79" t="e">
            <v>#VALUE!</v>
          </cell>
          <cell r="CS79" t="e">
            <v>#VALUE!</v>
          </cell>
          <cell r="CT79" t="e">
            <v>#VALUE!</v>
          </cell>
          <cell r="CU79" t="e">
            <v>#VALUE!</v>
          </cell>
          <cell r="CV79" t="e">
            <v>#VALUE!</v>
          </cell>
          <cell r="CW79" t="e">
            <v>#VALUE!</v>
          </cell>
          <cell r="CX79" t="e">
            <v>#VALUE!</v>
          </cell>
          <cell r="CY79" t="e">
            <v>#VALUE!</v>
          </cell>
          <cell r="CZ79" t="e">
            <v>#VALUE!</v>
          </cell>
          <cell r="DA79" t="e">
            <v>#VALUE!</v>
          </cell>
          <cell r="DB79" t="e">
            <v>#VALUE!</v>
          </cell>
          <cell r="DC79" t="e">
            <v>#VALUE!</v>
          </cell>
          <cell r="DD79" t="e">
            <v>#VALUE!</v>
          </cell>
          <cell r="DE79" t="e">
            <v>#VALUE!</v>
          </cell>
          <cell r="DF79" t="e">
            <v>#VALUE!</v>
          </cell>
          <cell r="DG79" t="e">
            <v>#VALUE!</v>
          </cell>
          <cell r="DH79" t="e">
            <v>#VALUE!</v>
          </cell>
          <cell r="DI79" t="e">
            <v>#VALUE!</v>
          </cell>
          <cell r="DJ79" t="e">
            <v>#VALUE!</v>
          </cell>
          <cell r="DK79" t="e">
            <v>#VALUE!</v>
          </cell>
          <cell r="DL79" t="e">
            <v>#VALUE!</v>
          </cell>
          <cell r="DM79" t="e">
            <v>#VALUE!</v>
          </cell>
        </row>
        <row r="80">
          <cell r="C80" t="str">
            <v>F5</v>
          </cell>
          <cell r="D80" t="str">
            <v>Sicherheit</v>
          </cell>
          <cell r="F80" t="str">
            <v>#SUM</v>
          </cell>
          <cell r="G80">
            <v>1599.4665</v>
          </cell>
          <cell r="J80" t="str">
            <v>€/Jahr</v>
          </cell>
          <cell r="O80">
            <v>69390.091851633159</v>
          </cell>
          <cell r="P80" t="str">
            <v>€</v>
          </cell>
        </row>
        <row r="81">
          <cell r="C81" t="str">
            <v>F5.1</v>
          </cell>
          <cell r="D81" t="str">
            <v>Sicherheitsdienste (Schließdienste, Bewachung)</v>
          </cell>
          <cell r="F81" t="str">
            <v>0,02*365/60*SKh*NF</v>
          </cell>
          <cell r="G81">
            <v>1599.4665</v>
          </cell>
          <cell r="H81">
            <v>1599.4665</v>
          </cell>
          <cell r="J81" t="str">
            <v>€/Jahr</v>
          </cell>
          <cell r="K81" t="str">
            <v>1</v>
          </cell>
          <cell r="L81" t="str">
            <v>PLOHN</v>
          </cell>
          <cell r="M81">
            <v>2.5</v>
          </cell>
          <cell r="N81">
            <v>1.0098522167487685</v>
          </cell>
          <cell r="O81">
            <v>69390.091851633159</v>
          </cell>
          <cell r="P81" t="str">
            <v>€</v>
          </cell>
          <cell r="Q81">
            <v>0</v>
          </cell>
          <cell r="R81">
            <v>1615.2247906403941</v>
          </cell>
          <cell r="S81">
            <v>3246.363126016161</v>
          </cell>
          <cell r="T81">
            <v>4893.5717898192888</v>
          </cell>
          <cell r="U81">
            <v>6557.0091104086232</v>
          </cell>
          <cell r="V81">
            <v>8236.8349760284054</v>
          </cell>
          <cell r="W81">
            <v>9933.2108501764815</v>
          </cell>
          <cell r="X81">
            <v>11646.299787124039</v>
          </cell>
          <cell r="Y81">
            <v>13376.266447588292</v>
          </cell>
          <cell r="Z81">
            <v>15123.277114559603</v>
          </cell>
          <cell r="AA81">
            <v>16887.499709284337</v>
          </cell>
          <cell r="AB81">
            <v>18669.103807405369</v>
          </cell>
          <cell r="AC81">
            <v>20468.260655261558</v>
          </cell>
          <cell r="AD81">
            <v>22285.143186347865</v>
          </cell>
          <cell r="AE81">
            <v>24119.926037937526</v>
          </cell>
          <cell r="AF81">
            <v>25972.785567867937</v>
          </cell>
          <cell r="AG81">
            <v>27843.899871492227</v>
          </cell>
          <cell r="AH81">
            <v>29733.448798797588</v>
          </cell>
          <cell r="AI81">
            <v>31641.613971692117</v>
          </cell>
          <cell r="AJ81">
            <v>33568.578801462492</v>
          </cell>
          <cell r="AK81">
            <v>35514.52850640301</v>
          </cell>
          <cell r="AL81">
            <v>37479.650129618778</v>
          </cell>
          <cell r="AM81">
            <v>39464.132557004225</v>
          </cell>
          <cell r="AN81">
            <v>41468.166535398341</v>
          </cell>
          <cell r="AO81">
            <v>43491.944690919474</v>
          </cell>
          <cell r="AP81">
            <v>45535.661547480282</v>
          </cell>
          <cell r="AQ81">
            <v>47599.513545484995</v>
          </cell>
          <cell r="AR81">
            <v>49683.699060711464</v>
          </cell>
          <cell r="AS81">
            <v>51788.418423378564</v>
          </cell>
          <cell r="AT81">
            <v>53913.873937401964</v>
          </cell>
          <cell r="AU81">
            <v>56060.269899839448</v>
          </cell>
          <cell r="AV81">
            <v>58227.812620527518</v>
          </cell>
          <cell r="AW81">
            <v>60416.710441911993</v>
          </cell>
          <cell r="AX81">
            <v>62627.173759073703</v>
          </cell>
          <cell r="AY81">
            <v>64859.415039951265</v>
          </cell>
          <cell r="AZ81">
            <v>67113.64884576363</v>
          </cell>
          <cell r="BA81">
            <v>69390.091851633159</v>
          </cell>
          <cell r="BB81" t="e">
            <v>#VALUE!</v>
          </cell>
          <cell r="BC81" t="e">
            <v>#VALUE!</v>
          </cell>
          <cell r="BD81" t="e">
            <v>#VALUE!</v>
          </cell>
          <cell r="BE81" t="e">
            <v>#VALUE!</v>
          </cell>
          <cell r="BF81" t="e">
            <v>#VALUE!</v>
          </cell>
          <cell r="BG81" t="e">
            <v>#VALUE!</v>
          </cell>
          <cell r="BH81" t="e">
            <v>#VALUE!</v>
          </cell>
          <cell r="BI81" t="e">
            <v>#VALUE!</v>
          </cell>
          <cell r="BJ81" t="e">
            <v>#VALUE!</v>
          </cell>
          <cell r="BK81" t="e">
            <v>#VALUE!</v>
          </cell>
          <cell r="BL81" t="e">
            <v>#VALUE!</v>
          </cell>
          <cell r="BM81" t="e">
            <v>#VALUE!</v>
          </cell>
          <cell r="BN81" t="e">
            <v>#VALUE!</v>
          </cell>
          <cell r="BO81" t="e">
            <v>#VALUE!</v>
          </cell>
          <cell r="BP81" t="e">
            <v>#VALUE!</v>
          </cell>
          <cell r="BQ81" t="e">
            <v>#VALUE!</v>
          </cell>
          <cell r="BR81" t="e">
            <v>#VALUE!</v>
          </cell>
          <cell r="BS81" t="e">
            <v>#VALUE!</v>
          </cell>
          <cell r="BT81" t="e">
            <v>#VALUE!</v>
          </cell>
          <cell r="BU81" t="e">
            <v>#VALUE!</v>
          </cell>
          <cell r="BV81" t="e">
            <v>#VALUE!</v>
          </cell>
          <cell r="BW81" t="e">
            <v>#VALUE!</v>
          </cell>
          <cell r="BX81" t="e">
            <v>#VALUE!</v>
          </cell>
          <cell r="BY81" t="e">
            <v>#VALUE!</v>
          </cell>
          <cell r="BZ81" t="e">
            <v>#VALUE!</v>
          </cell>
          <cell r="CA81" t="e">
            <v>#VALUE!</v>
          </cell>
          <cell r="CB81" t="e">
            <v>#VALUE!</v>
          </cell>
          <cell r="CC81" t="e">
            <v>#VALUE!</v>
          </cell>
          <cell r="CD81" t="e">
            <v>#VALUE!</v>
          </cell>
          <cell r="CE81" t="e">
            <v>#VALUE!</v>
          </cell>
          <cell r="CF81" t="e">
            <v>#VALUE!</v>
          </cell>
          <cell r="CG81" t="e">
            <v>#VALUE!</v>
          </cell>
          <cell r="CH81" t="e">
            <v>#VALUE!</v>
          </cell>
          <cell r="CI81" t="e">
            <v>#VALUE!</v>
          </cell>
          <cell r="CJ81" t="e">
            <v>#VALUE!</v>
          </cell>
          <cell r="CK81" t="e">
            <v>#VALUE!</v>
          </cell>
          <cell r="CL81" t="e">
            <v>#VALUE!</v>
          </cell>
          <cell r="CM81" t="e">
            <v>#VALUE!</v>
          </cell>
          <cell r="CN81" t="e">
            <v>#VALUE!</v>
          </cell>
          <cell r="CO81" t="e">
            <v>#VALUE!</v>
          </cell>
          <cell r="CP81" t="e">
            <v>#VALUE!</v>
          </cell>
          <cell r="CQ81" t="e">
            <v>#VALUE!</v>
          </cell>
          <cell r="CR81" t="e">
            <v>#VALUE!</v>
          </cell>
          <cell r="CS81" t="e">
            <v>#VALUE!</v>
          </cell>
          <cell r="CT81" t="e">
            <v>#VALUE!</v>
          </cell>
          <cell r="CU81" t="e">
            <v>#VALUE!</v>
          </cell>
          <cell r="CV81" t="e">
            <v>#VALUE!</v>
          </cell>
          <cell r="CW81" t="e">
            <v>#VALUE!</v>
          </cell>
          <cell r="CX81" t="e">
            <v>#VALUE!</v>
          </cell>
          <cell r="CY81" t="e">
            <v>#VALUE!</v>
          </cell>
          <cell r="CZ81" t="e">
            <v>#VALUE!</v>
          </cell>
          <cell r="DA81" t="e">
            <v>#VALUE!</v>
          </cell>
          <cell r="DB81" t="e">
            <v>#VALUE!</v>
          </cell>
          <cell r="DC81" t="e">
            <v>#VALUE!</v>
          </cell>
          <cell r="DD81" t="e">
            <v>#VALUE!</v>
          </cell>
          <cell r="DE81" t="e">
            <v>#VALUE!</v>
          </cell>
          <cell r="DF81" t="e">
            <v>#VALUE!</v>
          </cell>
          <cell r="DG81" t="e">
            <v>#VALUE!</v>
          </cell>
          <cell r="DH81" t="e">
            <v>#VALUE!</v>
          </cell>
          <cell r="DI81" t="e">
            <v>#VALUE!</v>
          </cell>
          <cell r="DJ81" t="e">
            <v>#VALUE!</v>
          </cell>
          <cell r="DK81" t="e">
            <v>#VALUE!</v>
          </cell>
          <cell r="DL81" t="e">
            <v>#VALUE!</v>
          </cell>
          <cell r="DM81" t="e">
            <v>#VALUE!</v>
          </cell>
        </row>
        <row r="82">
          <cell r="C82" t="str">
            <v>F5.2</v>
          </cell>
          <cell r="D82" t="str">
            <v>Brandschutzdienste</v>
          </cell>
          <cell r="G82">
            <v>0</v>
          </cell>
          <cell r="J82" t="str">
            <v>€/Jahr</v>
          </cell>
          <cell r="K82" t="str">
            <v>1</v>
          </cell>
          <cell r="L82" t="str">
            <v>PLOHN</v>
          </cell>
          <cell r="M82">
            <v>2.5</v>
          </cell>
          <cell r="N82">
            <v>1.0098522167487685</v>
          </cell>
          <cell r="O82">
            <v>0</v>
          </cell>
          <cell r="P82" t="str">
            <v>€</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t="e">
            <v>#VALUE!</v>
          </cell>
          <cell r="BC82" t="e">
            <v>#VALUE!</v>
          </cell>
          <cell r="BD82" t="e">
            <v>#VALUE!</v>
          </cell>
          <cell r="BE82" t="e">
            <v>#VALUE!</v>
          </cell>
          <cell r="BF82" t="e">
            <v>#VALUE!</v>
          </cell>
          <cell r="BG82" t="e">
            <v>#VALUE!</v>
          </cell>
          <cell r="BH82" t="e">
            <v>#VALUE!</v>
          </cell>
          <cell r="BI82" t="e">
            <v>#VALUE!</v>
          </cell>
          <cell r="BJ82" t="e">
            <v>#VALUE!</v>
          </cell>
          <cell r="BK82" t="e">
            <v>#VALUE!</v>
          </cell>
          <cell r="BL82" t="e">
            <v>#VALUE!</v>
          </cell>
          <cell r="BM82" t="e">
            <v>#VALUE!</v>
          </cell>
          <cell r="BN82" t="e">
            <v>#VALUE!</v>
          </cell>
          <cell r="BO82" t="e">
            <v>#VALUE!</v>
          </cell>
          <cell r="BP82" t="e">
            <v>#VALUE!</v>
          </cell>
          <cell r="BQ82" t="e">
            <v>#VALUE!</v>
          </cell>
          <cell r="BR82" t="e">
            <v>#VALUE!</v>
          </cell>
          <cell r="BS82" t="e">
            <v>#VALUE!</v>
          </cell>
          <cell r="BT82" t="e">
            <v>#VALUE!</v>
          </cell>
          <cell r="BU82" t="e">
            <v>#VALUE!</v>
          </cell>
          <cell r="BV82" t="e">
            <v>#VALUE!</v>
          </cell>
          <cell r="BW82" t="e">
            <v>#VALUE!</v>
          </cell>
          <cell r="BX82" t="e">
            <v>#VALUE!</v>
          </cell>
          <cell r="BY82" t="e">
            <v>#VALUE!</v>
          </cell>
          <cell r="BZ82" t="e">
            <v>#VALUE!</v>
          </cell>
          <cell r="CA82" t="e">
            <v>#VALUE!</v>
          </cell>
          <cell r="CB82" t="e">
            <v>#VALUE!</v>
          </cell>
          <cell r="CC82" t="e">
            <v>#VALUE!</v>
          </cell>
          <cell r="CD82" t="e">
            <v>#VALUE!</v>
          </cell>
          <cell r="CE82" t="e">
            <v>#VALUE!</v>
          </cell>
          <cell r="CF82" t="e">
            <v>#VALUE!</v>
          </cell>
          <cell r="CG82" t="e">
            <v>#VALUE!</v>
          </cell>
          <cell r="CH82" t="e">
            <v>#VALUE!</v>
          </cell>
          <cell r="CI82" t="e">
            <v>#VALUE!</v>
          </cell>
          <cell r="CJ82" t="e">
            <v>#VALUE!</v>
          </cell>
          <cell r="CK82" t="e">
            <v>#VALUE!</v>
          </cell>
          <cell r="CL82" t="e">
            <v>#VALUE!</v>
          </cell>
          <cell r="CM82" t="e">
            <v>#VALUE!</v>
          </cell>
          <cell r="CN82" t="e">
            <v>#VALUE!</v>
          </cell>
          <cell r="CO82" t="e">
            <v>#VALUE!</v>
          </cell>
          <cell r="CP82" t="e">
            <v>#VALUE!</v>
          </cell>
          <cell r="CQ82" t="e">
            <v>#VALUE!</v>
          </cell>
          <cell r="CR82" t="e">
            <v>#VALUE!</v>
          </cell>
          <cell r="CS82" t="e">
            <v>#VALUE!</v>
          </cell>
          <cell r="CT82" t="e">
            <v>#VALUE!</v>
          </cell>
          <cell r="CU82" t="e">
            <v>#VALUE!</v>
          </cell>
          <cell r="CV82" t="e">
            <v>#VALUE!</v>
          </cell>
          <cell r="CW82" t="e">
            <v>#VALUE!</v>
          </cell>
          <cell r="CX82" t="e">
            <v>#VALUE!</v>
          </cell>
          <cell r="CY82" t="e">
            <v>#VALUE!</v>
          </cell>
          <cell r="CZ82" t="e">
            <v>#VALUE!</v>
          </cell>
          <cell r="DA82" t="e">
            <v>#VALUE!</v>
          </cell>
          <cell r="DB82" t="e">
            <v>#VALUE!</v>
          </cell>
          <cell r="DC82" t="e">
            <v>#VALUE!</v>
          </cell>
          <cell r="DD82" t="e">
            <v>#VALUE!</v>
          </cell>
          <cell r="DE82" t="e">
            <v>#VALUE!</v>
          </cell>
          <cell r="DF82" t="e">
            <v>#VALUE!</v>
          </cell>
          <cell r="DG82" t="e">
            <v>#VALUE!</v>
          </cell>
          <cell r="DH82" t="e">
            <v>#VALUE!</v>
          </cell>
          <cell r="DI82" t="e">
            <v>#VALUE!</v>
          </cell>
          <cell r="DJ82" t="e">
            <v>#VALUE!</v>
          </cell>
          <cell r="DK82" t="e">
            <v>#VALUE!</v>
          </cell>
          <cell r="DL82" t="e">
            <v>#VALUE!</v>
          </cell>
          <cell r="DM82" t="e">
            <v>#VALUE!</v>
          </cell>
        </row>
        <row r="83">
          <cell r="C83" t="str">
            <v>F6</v>
          </cell>
          <cell r="D83" t="str">
            <v>Gebäudedienste</v>
          </cell>
          <cell r="F83" t="str">
            <v>#SUM</v>
          </cell>
          <cell r="G83">
            <v>22500</v>
          </cell>
          <cell r="J83" t="str">
            <v>€/Jahr</v>
          </cell>
          <cell r="O83">
            <v>976123.64289076766</v>
          </cell>
          <cell r="P83" t="str">
            <v>€</v>
          </cell>
        </row>
        <row r="84">
          <cell r="C84" t="str">
            <v>F6.1</v>
          </cell>
          <cell r="D84" t="str">
            <v>Hauspost (Verteilung der Post im Haus)</v>
          </cell>
          <cell r="G84">
            <v>0</v>
          </cell>
          <cell r="J84" t="str">
            <v>€/Jahr</v>
          </cell>
          <cell r="K84" t="str">
            <v>1</v>
          </cell>
          <cell r="L84" t="str">
            <v>PLOHN</v>
          </cell>
          <cell r="M84">
            <v>2.5</v>
          </cell>
          <cell r="N84">
            <v>1.0098522167487685</v>
          </cell>
          <cell r="O84">
            <v>0</v>
          </cell>
          <cell r="P84" t="str">
            <v>€</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t="e">
            <v>#VALUE!</v>
          </cell>
          <cell r="BC84" t="e">
            <v>#VALUE!</v>
          </cell>
          <cell r="BD84" t="e">
            <v>#VALUE!</v>
          </cell>
          <cell r="BE84" t="e">
            <v>#VALUE!</v>
          </cell>
          <cell r="BF84" t="e">
            <v>#VALUE!</v>
          </cell>
          <cell r="BG84" t="e">
            <v>#VALUE!</v>
          </cell>
          <cell r="BH84" t="e">
            <v>#VALUE!</v>
          </cell>
          <cell r="BI84" t="e">
            <v>#VALUE!</v>
          </cell>
          <cell r="BJ84" t="e">
            <v>#VALUE!</v>
          </cell>
          <cell r="BK84" t="e">
            <v>#VALUE!</v>
          </cell>
          <cell r="BL84" t="e">
            <v>#VALUE!</v>
          </cell>
          <cell r="BM84" t="e">
            <v>#VALUE!</v>
          </cell>
          <cell r="BN84" t="e">
            <v>#VALUE!</v>
          </cell>
          <cell r="BO84" t="e">
            <v>#VALUE!</v>
          </cell>
          <cell r="BP84" t="e">
            <v>#VALUE!</v>
          </cell>
          <cell r="BQ84" t="e">
            <v>#VALUE!</v>
          </cell>
          <cell r="BR84" t="e">
            <v>#VALUE!</v>
          </cell>
          <cell r="BS84" t="e">
            <v>#VALUE!</v>
          </cell>
          <cell r="BT84" t="e">
            <v>#VALUE!</v>
          </cell>
          <cell r="BU84" t="e">
            <v>#VALUE!</v>
          </cell>
          <cell r="BV84" t="e">
            <v>#VALUE!</v>
          </cell>
          <cell r="BW84" t="e">
            <v>#VALUE!</v>
          </cell>
          <cell r="BX84" t="e">
            <v>#VALUE!</v>
          </cell>
          <cell r="BY84" t="e">
            <v>#VALUE!</v>
          </cell>
          <cell r="BZ84" t="e">
            <v>#VALUE!</v>
          </cell>
          <cell r="CA84" t="e">
            <v>#VALUE!</v>
          </cell>
          <cell r="CB84" t="e">
            <v>#VALUE!</v>
          </cell>
          <cell r="CC84" t="e">
            <v>#VALUE!</v>
          </cell>
          <cell r="CD84" t="e">
            <v>#VALUE!</v>
          </cell>
          <cell r="CE84" t="e">
            <v>#VALUE!</v>
          </cell>
          <cell r="CF84" t="e">
            <v>#VALUE!</v>
          </cell>
          <cell r="CG84" t="e">
            <v>#VALUE!</v>
          </cell>
          <cell r="CH84" t="e">
            <v>#VALUE!</v>
          </cell>
          <cell r="CI84" t="e">
            <v>#VALUE!</v>
          </cell>
          <cell r="CJ84" t="e">
            <v>#VALUE!</v>
          </cell>
          <cell r="CK84" t="e">
            <v>#VALUE!</v>
          </cell>
          <cell r="CL84" t="e">
            <v>#VALUE!</v>
          </cell>
          <cell r="CM84" t="e">
            <v>#VALUE!</v>
          </cell>
          <cell r="CN84" t="e">
            <v>#VALUE!</v>
          </cell>
          <cell r="CO84" t="e">
            <v>#VALUE!</v>
          </cell>
          <cell r="CP84" t="e">
            <v>#VALUE!</v>
          </cell>
          <cell r="CQ84" t="e">
            <v>#VALUE!</v>
          </cell>
          <cell r="CR84" t="e">
            <v>#VALUE!</v>
          </cell>
          <cell r="CS84" t="e">
            <v>#VALUE!</v>
          </cell>
          <cell r="CT84" t="e">
            <v>#VALUE!</v>
          </cell>
          <cell r="CU84" t="e">
            <v>#VALUE!</v>
          </cell>
          <cell r="CV84" t="e">
            <v>#VALUE!</v>
          </cell>
          <cell r="CW84" t="e">
            <v>#VALUE!</v>
          </cell>
          <cell r="CX84" t="e">
            <v>#VALUE!</v>
          </cell>
          <cell r="CY84" t="e">
            <v>#VALUE!</v>
          </cell>
          <cell r="CZ84" t="e">
            <v>#VALUE!</v>
          </cell>
          <cell r="DA84" t="e">
            <v>#VALUE!</v>
          </cell>
          <cell r="DB84" t="e">
            <v>#VALUE!</v>
          </cell>
          <cell r="DC84" t="e">
            <v>#VALUE!</v>
          </cell>
          <cell r="DD84" t="e">
            <v>#VALUE!</v>
          </cell>
          <cell r="DE84" t="e">
            <v>#VALUE!</v>
          </cell>
          <cell r="DF84" t="e">
            <v>#VALUE!</v>
          </cell>
          <cell r="DG84" t="e">
            <v>#VALUE!</v>
          </cell>
          <cell r="DH84" t="e">
            <v>#VALUE!</v>
          </cell>
          <cell r="DI84" t="e">
            <v>#VALUE!</v>
          </cell>
          <cell r="DJ84" t="e">
            <v>#VALUE!</v>
          </cell>
          <cell r="DK84" t="e">
            <v>#VALUE!</v>
          </cell>
          <cell r="DL84" t="e">
            <v>#VALUE!</v>
          </cell>
          <cell r="DM84" t="e">
            <v>#VALUE!</v>
          </cell>
        </row>
        <row r="85">
          <cell r="C85" t="str">
            <v>F6.2</v>
          </cell>
          <cell r="D85" t="str">
            <v>Kommunikations- und Informationstechnik</v>
          </cell>
          <cell r="G85">
            <v>0</v>
          </cell>
          <cell r="J85" t="str">
            <v>€/Jahr</v>
          </cell>
          <cell r="K85" t="str">
            <v>1</v>
          </cell>
          <cell r="L85" t="str">
            <v>PTECHNIK</v>
          </cell>
          <cell r="M85">
            <v>2</v>
          </cell>
          <cell r="N85">
            <v>1.0049261083743843</v>
          </cell>
          <cell r="O85">
            <v>0</v>
          </cell>
          <cell r="P85" t="str">
            <v>€</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t="e">
            <v>#VALUE!</v>
          </cell>
          <cell r="BC85" t="e">
            <v>#VALUE!</v>
          </cell>
          <cell r="BD85" t="e">
            <v>#VALUE!</v>
          </cell>
          <cell r="BE85" t="e">
            <v>#VALUE!</v>
          </cell>
          <cell r="BF85" t="e">
            <v>#VALUE!</v>
          </cell>
          <cell r="BG85" t="e">
            <v>#VALUE!</v>
          </cell>
          <cell r="BH85" t="e">
            <v>#VALUE!</v>
          </cell>
          <cell r="BI85" t="e">
            <v>#VALUE!</v>
          </cell>
          <cell r="BJ85" t="e">
            <v>#VALUE!</v>
          </cell>
          <cell r="BK85" t="e">
            <v>#VALUE!</v>
          </cell>
          <cell r="BL85" t="e">
            <v>#VALUE!</v>
          </cell>
          <cell r="BM85" t="e">
            <v>#VALUE!</v>
          </cell>
          <cell r="BN85" t="e">
            <v>#VALUE!</v>
          </cell>
          <cell r="BO85" t="e">
            <v>#VALUE!</v>
          </cell>
          <cell r="BP85" t="e">
            <v>#VALUE!</v>
          </cell>
          <cell r="BQ85" t="e">
            <v>#VALUE!</v>
          </cell>
          <cell r="BR85" t="e">
            <v>#VALUE!</v>
          </cell>
          <cell r="BS85" t="e">
            <v>#VALUE!</v>
          </cell>
          <cell r="BT85" t="e">
            <v>#VALUE!</v>
          </cell>
          <cell r="BU85" t="e">
            <v>#VALUE!</v>
          </cell>
          <cell r="BV85" t="e">
            <v>#VALUE!</v>
          </cell>
          <cell r="BW85" t="e">
            <v>#VALUE!</v>
          </cell>
          <cell r="BX85" t="e">
            <v>#VALUE!</v>
          </cell>
          <cell r="BY85" t="e">
            <v>#VALUE!</v>
          </cell>
          <cell r="BZ85" t="e">
            <v>#VALUE!</v>
          </cell>
          <cell r="CA85" t="e">
            <v>#VALUE!</v>
          </cell>
          <cell r="CB85" t="e">
            <v>#VALUE!</v>
          </cell>
          <cell r="CC85" t="e">
            <v>#VALUE!</v>
          </cell>
          <cell r="CD85" t="e">
            <v>#VALUE!</v>
          </cell>
          <cell r="CE85" t="e">
            <v>#VALUE!</v>
          </cell>
          <cell r="CF85" t="e">
            <v>#VALUE!</v>
          </cell>
          <cell r="CG85" t="e">
            <v>#VALUE!</v>
          </cell>
          <cell r="CH85" t="e">
            <v>#VALUE!</v>
          </cell>
          <cell r="CI85" t="e">
            <v>#VALUE!</v>
          </cell>
          <cell r="CJ85" t="e">
            <v>#VALUE!</v>
          </cell>
          <cell r="CK85" t="e">
            <v>#VALUE!</v>
          </cell>
          <cell r="CL85" t="e">
            <v>#VALUE!</v>
          </cell>
          <cell r="CM85" t="e">
            <v>#VALUE!</v>
          </cell>
          <cell r="CN85" t="e">
            <v>#VALUE!</v>
          </cell>
          <cell r="CO85" t="e">
            <v>#VALUE!</v>
          </cell>
          <cell r="CP85" t="e">
            <v>#VALUE!</v>
          </cell>
          <cell r="CQ85" t="e">
            <v>#VALUE!</v>
          </cell>
          <cell r="CR85" t="e">
            <v>#VALUE!</v>
          </cell>
          <cell r="CS85" t="e">
            <v>#VALUE!</v>
          </cell>
          <cell r="CT85" t="e">
            <v>#VALUE!</v>
          </cell>
          <cell r="CU85" t="e">
            <v>#VALUE!</v>
          </cell>
          <cell r="CV85" t="e">
            <v>#VALUE!</v>
          </cell>
          <cell r="CW85" t="e">
            <v>#VALUE!</v>
          </cell>
          <cell r="CX85" t="e">
            <v>#VALUE!</v>
          </cell>
          <cell r="CY85" t="e">
            <v>#VALUE!</v>
          </cell>
          <cell r="CZ85" t="e">
            <v>#VALUE!</v>
          </cell>
          <cell r="DA85" t="e">
            <v>#VALUE!</v>
          </cell>
          <cell r="DB85" t="e">
            <v>#VALUE!</v>
          </cell>
          <cell r="DC85" t="e">
            <v>#VALUE!</v>
          </cell>
          <cell r="DD85" t="e">
            <v>#VALUE!</v>
          </cell>
          <cell r="DE85" t="e">
            <v>#VALUE!</v>
          </cell>
          <cell r="DF85" t="e">
            <v>#VALUE!</v>
          </cell>
          <cell r="DG85" t="e">
            <v>#VALUE!</v>
          </cell>
          <cell r="DH85" t="e">
            <v>#VALUE!</v>
          </cell>
          <cell r="DI85" t="e">
            <v>#VALUE!</v>
          </cell>
          <cell r="DJ85" t="e">
            <v>#VALUE!</v>
          </cell>
          <cell r="DK85" t="e">
            <v>#VALUE!</v>
          </cell>
          <cell r="DL85" t="e">
            <v>#VALUE!</v>
          </cell>
          <cell r="DM85" t="e">
            <v>#VALUE!</v>
          </cell>
        </row>
        <row r="86">
          <cell r="C86" t="str">
            <v>F6.3</v>
          </cell>
          <cell r="D86" t="str">
            <v>Umzüge - interne Transporte, Hausarbeiterdienste</v>
          </cell>
          <cell r="F86" t="str">
            <v>NUE*UMZUGSrate*Umzugskosten</v>
          </cell>
          <cell r="G86">
            <v>22500</v>
          </cell>
          <cell r="H86">
            <v>22500</v>
          </cell>
          <cell r="J86" t="str">
            <v>€/Jahr</v>
          </cell>
          <cell r="K86" t="str">
            <v>1</v>
          </cell>
          <cell r="L86" t="str">
            <v>PALLG</v>
          </cell>
          <cell r="M86">
            <v>2.5</v>
          </cell>
          <cell r="N86">
            <v>1.0098522167487685</v>
          </cell>
          <cell r="O86">
            <v>976123.64289076766</v>
          </cell>
          <cell r="P86" t="str">
            <v>€</v>
          </cell>
          <cell r="Q86">
            <v>0</v>
          </cell>
          <cell r="R86">
            <v>22721.67487684729</v>
          </cell>
          <cell r="S86">
            <v>45667.208619476318</v>
          </cell>
          <cell r="T86">
            <v>68838.806733954101</v>
          </cell>
          <cell r="U86">
            <v>92238.696455470636</v>
          </cell>
          <cell r="V86">
            <v>115869.12696242097</v>
          </cell>
          <cell r="W86">
            <v>139732.36959259279</v>
          </cell>
          <cell r="X86">
            <v>163830.71806148542</v>
          </cell>
          <cell r="Y86">
            <v>188166.4886827805</v>
          </cell>
          <cell r="Z86">
            <v>212742.02059098522</v>
          </cell>
          <cell r="AA86">
            <v>237559.67596626599</v>
          </cell>
          <cell r="AB86">
            <v>262621.84026150015</v>
          </cell>
          <cell r="AC86">
            <v>287930.92243156396</v>
          </cell>
          <cell r="AD86">
            <v>313489.35516487964</v>
          </cell>
          <cell r="AE86">
            <v>339299.59511724336</v>
          </cell>
          <cell r="AF86">
            <v>365364.12314795505</v>
          </cell>
          <cell r="AG86">
            <v>391685.44455827936</v>
          </cell>
          <cell r="AH86">
            <v>418266.0893322528</v>
          </cell>
          <cell r="AI86">
            <v>445108.61237986077</v>
          </cell>
          <cell r="AJ86">
            <v>472215.59378261812</v>
          </cell>
          <cell r="AK86">
            <v>499589.63904156018</v>
          </cell>
          <cell r="AL86">
            <v>527233.37932768359</v>
          </cell>
          <cell r="AM86">
            <v>555149.47173485346</v>
          </cell>
          <cell r="AN86">
            <v>583340.59953519667</v>
          </cell>
          <cell r="AO86">
            <v>611809.47243702074</v>
          </cell>
          <cell r="AP86">
            <v>640558.82684526767</v>
          </cell>
          <cell r="AQ86">
            <v>669591.42612453108</v>
          </cell>
          <cell r="AR86">
            <v>698910.06086467451</v>
          </cell>
          <cell r="AS86">
            <v>728517.54914905538</v>
          </cell>
          <cell r="AT86">
            <v>758416.73682540026</v>
          </cell>
          <cell r="AU86">
            <v>788610.49777934549</v>
          </cell>
          <cell r="AV86">
            <v>819101.73421066906</v>
          </cell>
          <cell r="AW86">
            <v>849893.37691225158</v>
          </cell>
          <cell r="AX86">
            <v>880988.38555178139</v>
          </cell>
          <cell r="AY86">
            <v>912389.74895623222</v>
          </cell>
          <cell r="AZ86">
            <v>944100.48539915122</v>
          </cell>
          <cell r="BA86">
            <v>976123.64289076766</v>
          </cell>
          <cell r="BB86" t="e">
            <v>#VALUE!</v>
          </cell>
          <cell r="BC86" t="e">
            <v>#VALUE!</v>
          </cell>
          <cell r="BD86" t="e">
            <v>#VALUE!</v>
          </cell>
          <cell r="BE86" t="e">
            <v>#VALUE!</v>
          </cell>
          <cell r="BF86" t="e">
            <v>#VALUE!</v>
          </cell>
          <cell r="BG86" t="e">
            <v>#VALUE!</v>
          </cell>
          <cell r="BH86" t="e">
            <v>#VALUE!</v>
          </cell>
          <cell r="BI86" t="e">
            <v>#VALUE!</v>
          </cell>
          <cell r="BJ86" t="e">
            <v>#VALUE!</v>
          </cell>
          <cell r="BK86" t="e">
            <v>#VALUE!</v>
          </cell>
          <cell r="BL86" t="e">
            <v>#VALUE!</v>
          </cell>
          <cell r="BM86" t="e">
            <v>#VALUE!</v>
          </cell>
          <cell r="BN86" t="e">
            <v>#VALUE!</v>
          </cell>
          <cell r="BO86" t="e">
            <v>#VALUE!</v>
          </cell>
          <cell r="BP86" t="e">
            <v>#VALUE!</v>
          </cell>
          <cell r="BQ86" t="e">
            <v>#VALUE!</v>
          </cell>
          <cell r="BR86" t="e">
            <v>#VALUE!</v>
          </cell>
          <cell r="BS86" t="e">
            <v>#VALUE!</v>
          </cell>
          <cell r="BT86" t="e">
            <v>#VALUE!</v>
          </cell>
          <cell r="BU86" t="e">
            <v>#VALUE!</v>
          </cell>
          <cell r="BV86" t="e">
            <v>#VALUE!</v>
          </cell>
          <cell r="BW86" t="e">
            <v>#VALUE!</v>
          </cell>
          <cell r="BX86" t="e">
            <v>#VALUE!</v>
          </cell>
          <cell r="BY86" t="e">
            <v>#VALUE!</v>
          </cell>
          <cell r="BZ86" t="e">
            <v>#VALUE!</v>
          </cell>
          <cell r="CA86" t="e">
            <v>#VALUE!</v>
          </cell>
          <cell r="CB86" t="e">
            <v>#VALUE!</v>
          </cell>
          <cell r="CC86" t="e">
            <v>#VALUE!</v>
          </cell>
          <cell r="CD86" t="e">
            <v>#VALUE!</v>
          </cell>
          <cell r="CE86" t="e">
            <v>#VALUE!</v>
          </cell>
          <cell r="CF86" t="e">
            <v>#VALUE!</v>
          </cell>
          <cell r="CG86" t="e">
            <v>#VALUE!</v>
          </cell>
          <cell r="CH86" t="e">
            <v>#VALUE!</v>
          </cell>
          <cell r="CI86" t="e">
            <v>#VALUE!</v>
          </cell>
          <cell r="CJ86" t="e">
            <v>#VALUE!</v>
          </cell>
          <cell r="CK86" t="e">
            <v>#VALUE!</v>
          </cell>
          <cell r="CL86" t="e">
            <v>#VALUE!</v>
          </cell>
          <cell r="CM86" t="e">
            <v>#VALUE!</v>
          </cell>
          <cell r="CN86" t="e">
            <v>#VALUE!</v>
          </cell>
          <cell r="CO86" t="e">
            <v>#VALUE!</v>
          </cell>
          <cell r="CP86" t="e">
            <v>#VALUE!</v>
          </cell>
          <cell r="CQ86" t="e">
            <v>#VALUE!</v>
          </cell>
          <cell r="CR86" t="e">
            <v>#VALUE!</v>
          </cell>
          <cell r="CS86" t="e">
            <v>#VALUE!</v>
          </cell>
          <cell r="CT86" t="e">
            <v>#VALUE!</v>
          </cell>
          <cell r="CU86" t="e">
            <v>#VALUE!</v>
          </cell>
          <cell r="CV86" t="e">
            <v>#VALUE!</v>
          </cell>
          <cell r="CW86" t="e">
            <v>#VALUE!</v>
          </cell>
          <cell r="CX86" t="e">
            <v>#VALUE!</v>
          </cell>
          <cell r="CY86" t="e">
            <v>#VALUE!</v>
          </cell>
          <cell r="CZ86" t="e">
            <v>#VALUE!</v>
          </cell>
          <cell r="DA86" t="e">
            <v>#VALUE!</v>
          </cell>
          <cell r="DB86" t="e">
            <v>#VALUE!</v>
          </cell>
          <cell r="DC86" t="e">
            <v>#VALUE!</v>
          </cell>
          <cell r="DD86" t="e">
            <v>#VALUE!</v>
          </cell>
          <cell r="DE86" t="e">
            <v>#VALUE!</v>
          </cell>
          <cell r="DF86" t="e">
            <v>#VALUE!</v>
          </cell>
          <cell r="DG86" t="e">
            <v>#VALUE!</v>
          </cell>
          <cell r="DH86" t="e">
            <v>#VALUE!</v>
          </cell>
          <cell r="DI86" t="e">
            <v>#VALUE!</v>
          </cell>
          <cell r="DJ86" t="e">
            <v>#VALUE!</v>
          </cell>
          <cell r="DK86" t="e">
            <v>#VALUE!</v>
          </cell>
          <cell r="DL86" t="e">
            <v>#VALUE!</v>
          </cell>
          <cell r="DM86" t="e">
            <v>#VALUE!</v>
          </cell>
        </row>
        <row r="87">
          <cell r="C87" t="str">
            <v>F6.4</v>
          </cell>
          <cell r="D87" t="str">
            <v>Empfang und interne Bürodienste</v>
          </cell>
          <cell r="G87">
            <v>0</v>
          </cell>
          <cell r="J87" t="str">
            <v>€/Jahr</v>
          </cell>
          <cell r="K87" t="str">
            <v>1</v>
          </cell>
          <cell r="L87" t="str">
            <v>PLOHN</v>
          </cell>
          <cell r="M87">
            <v>2.5</v>
          </cell>
          <cell r="N87">
            <v>1.0098522167487685</v>
          </cell>
          <cell r="O87">
            <v>0</v>
          </cell>
          <cell r="P87" t="str">
            <v>€</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t="e">
            <v>#VALUE!</v>
          </cell>
          <cell r="BC87" t="e">
            <v>#VALUE!</v>
          </cell>
          <cell r="BD87" t="e">
            <v>#VALUE!</v>
          </cell>
          <cell r="BE87" t="e">
            <v>#VALUE!</v>
          </cell>
          <cell r="BF87" t="e">
            <v>#VALUE!</v>
          </cell>
          <cell r="BG87" t="e">
            <v>#VALUE!</v>
          </cell>
          <cell r="BH87" t="e">
            <v>#VALUE!</v>
          </cell>
          <cell r="BI87" t="e">
            <v>#VALUE!</v>
          </cell>
          <cell r="BJ87" t="e">
            <v>#VALUE!</v>
          </cell>
          <cell r="BK87" t="e">
            <v>#VALUE!</v>
          </cell>
          <cell r="BL87" t="e">
            <v>#VALUE!</v>
          </cell>
          <cell r="BM87" t="e">
            <v>#VALUE!</v>
          </cell>
          <cell r="BN87" t="e">
            <v>#VALUE!</v>
          </cell>
          <cell r="BO87" t="e">
            <v>#VALUE!</v>
          </cell>
          <cell r="BP87" t="e">
            <v>#VALUE!</v>
          </cell>
          <cell r="BQ87" t="e">
            <v>#VALUE!</v>
          </cell>
          <cell r="BR87" t="e">
            <v>#VALUE!</v>
          </cell>
          <cell r="BS87" t="e">
            <v>#VALUE!</v>
          </cell>
          <cell r="BT87" t="e">
            <v>#VALUE!</v>
          </cell>
          <cell r="BU87" t="e">
            <v>#VALUE!</v>
          </cell>
          <cell r="BV87" t="e">
            <v>#VALUE!</v>
          </cell>
          <cell r="BW87" t="e">
            <v>#VALUE!</v>
          </cell>
          <cell r="BX87" t="e">
            <v>#VALUE!</v>
          </cell>
          <cell r="BY87" t="e">
            <v>#VALUE!</v>
          </cell>
          <cell r="BZ87" t="e">
            <v>#VALUE!</v>
          </cell>
          <cell r="CA87" t="e">
            <v>#VALUE!</v>
          </cell>
          <cell r="CB87" t="e">
            <v>#VALUE!</v>
          </cell>
          <cell r="CC87" t="e">
            <v>#VALUE!</v>
          </cell>
          <cell r="CD87" t="e">
            <v>#VALUE!</v>
          </cell>
          <cell r="CE87" t="e">
            <v>#VALUE!</v>
          </cell>
          <cell r="CF87" t="e">
            <v>#VALUE!</v>
          </cell>
          <cell r="CG87" t="e">
            <v>#VALUE!</v>
          </cell>
          <cell r="CH87" t="e">
            <v>#VALUE!</v>
          </cell>
          <cell r="CI87" t="e">
            <v>#VALUE!</v>
          </cell>
          <cell r="CJ87" t="e">
            <v>#VALUE!</v>
          </cell>
          <cell r="CK87" t="e">
            <v>#VALUE!</v>
          </cell>
          <cell r="CL87" t="e">
            <v>#VALUE!</v>
          </cell>
          <cell r="CM87" t="e">
            <v>#VALUE!</v>
          </cell>
          <cell r="CN87" t="e">
            <v>#VALUE!</v>
          </cell>
          <cell r="CO87" t="e">
            <v>#VALUE!</v>
          </cell>
          <cell r="CP87" t="e">
            <v>#VALUE!</v>
          </cell>
          <cell r="CQ87" t="e">
            <v>#VALUE!</v>
          </cell>
          <cell r="CR87" t="e">
            <v>#VALUE!</v>
          </cell>
          <cell r="CS87" t="e">
            <v>#VALUE!</v>
          </cell>
          <cell r="CT87" t="e">
            <v>#VALUE!</v>
          </cell>
          <cell r="CU87" t="e">
            <v>#VALUE!</v>
          </cell>
          <cell r="CV87" t="e">
            <v>#VALUE!</v>
          </cell>
          <cell r="CW87" t="e">
            <v>#VALUE!</v>
          </cell>
          <cell r="CX87" t="e">
            <v>#VALUE!</v>
          </cell>
          <cell r="CY87" t="e">
            <v>#VALUE!</v>
          </cell>
          <cell r="CZ87" t="e">
            <v>#VALUE!</v>
          </cell>
          <cell r="DA87" t="e">
            <v>#VALUE!</v>
          </cell>
          <cell r="DB87" t="e">
            <v>#VALUE!</v>
          </cell>
          <cell r="DC87" t="e">
            <v>#VALUE!</v>
          </cell>
          <cell r="DD87" t="e">
            <v>#VALUE!</v>
          </cell>
          <cell r="DE87" t="e">
            <v>#VALUE!</v>
          </cell>
          <cell r="DF87" t="e">
            <v>#VALUE!</v>
          </cell>
          <cell r="DG87" t="e">
            <v>#VALUE!</v>
          </cell>
          <cell r="DH87" t="e">
            <v>#VALUE!</v>
          </cell>
          <cell r="DI87" t="e">
            <v>#VALUE!</v>
          </cell>
          <cell r="DJ87" t="e">
            <v>#VALUE!</v>
          </cell>
          <cell r="DK87" t="e">
            <v>#VALUE!</v>
          </cell>
          <cell r="DL87" t="e">
            <v>#VALUE!</v>
          </cell>
          <cell r="DM87" t="e">
            <v>#VALUE!</v>
          </cell>
        </row>
        <row r="88">
          <cell r="C88" t="str">
            <v>F6.5</v>
          </cell>
          <cell r="D88" t="str">
            <v>Gastroservice</v>
          </cell>
          <cell r="G88">
            <v>0</v>
          </cell>
          <cell r="J88" t="str">
            <v>€/Jahr</v>
          </cell>
          <cell r="K88" t="str">
            <v>1</v>
          </cell>
          <cell r="L88" t="str">
            <v>PALLG</v>
          </cell>
          <cell r="M88">
            <v>2.5</v>
          </cell>
          <cell r="N88">
            <v>1.0098522167487685</v>
          </cell>
          <cell r="O88">
            <v>0</v>
          </cell>
          <cell r="P88" t="str">
            <v>€</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t="e">
            <v>#VALUE!</v>
          </cell>
          <cell r="BC88" t="e">
            <v>#VALUE!</v>
          </cell>
          <cell r="BD88" t="e">
            <v>#VALUE!</v>
          </cell>
          <cell r="BE88" t="e">
            <v>#VALUE!</v>
          </cell>
          <cell r="BF88" t="e">
            <v>#VALUE!</v>
          </cell>
          <cell r="BG88" t="e">
            <v>#VALUE!</v>
          </cell>
          <cell r="BH88" t="e">
            <v>#VALUE!</v>
          </cell>
          <cell r="BI88" t="e">
            <v>#VALUE!</v>
          </cell>
          <cell r="BJ88" t="e">
            <v>#VALUE!</v>
          </cell>
          <cell r="BK88" t="e">
            <v>#VALUE!</v>
          </cell>
          <cell r="BL88" t="e">
            <v>#VALUE!</v>
          </cell>
          <cell r="BM88" t="e">
            <v>#VALUE!</v>
          </cell>
          <cell r="BN88" t="e">
            <v>#VALUE!</v>
          </cell>
          <cell r="BO88" t="e">
            <v>#VALUE!</v>
          </cell>
          <cell r="BP88" t="e">
            <v>#VALUE!</v>
          </cell>
          <cell r="BQ88" t="e">
            <v>#VALUE!</v>
          </cell>
          <cell r="BR88" t="e">
            <v>#VALUE!</v>
          </cell>
          <cell r="BS88" t="e">
            <v>#VALUE!</v>
          </cell>
          <cell r="BT88" t="e">
            <v>#VALUE!</v>
          </cell>
          <cell r="BU88" t="e">
            <v>#VALUE!</v>
          </cell>
          <cell r="BV88" t="e">
            <v>#VALUE!</v>
          </cell>
          <cell r="BW88" t="e">
            <v>#VALUE!</v>
          </cell>
          <cell r="BX88" t="e">
            <v>#VALUE!</v>
          </cell>
          <cell r="BY88" t="e">
            <v>#VALUE!</v>
          </cell>
          <cell r="BZ88" t="e">
            <v>#VALUE!</v>
          </cell>
          <cell r="CA88" t="e">
            <v>#VALUE!</v>
          </cell>
          <cell r="CB88" t="e">
            <v>#VALUE!</v>
          </cell>
          <cell r="CC88" t="e">
            <v>#VALUE!</v>
          </cell>
          <cell r="CD88" t="e">
            <v>#VALUE!</v>
          </cell>
          <cell r="CE88" t="e">
            <v>#VALUE!</v>
          </cell>
          <cell r="CF88" t="e">
            <v>#VALUE!</v>
          </cell>
          <cell r="CG88" t="e">
            <v>#VALUE!</v>
          </cell>
          <cell r="CH88" t="e">
            <v>#VALUE!</v>
          </cell>
          <cell r="CI88" t="e">
            <v>#VALUE!</v>
          </cell>
          <cell r="CJ88" t="e">
            <v>#VALUE!</v>
          </cell>
          <cell r="CK88" t="e">
            <v>#VALUE!</v>
          </cell>
          <cell r="CL88" t="e">
            <v>#VALUE!</v>
          </cell>
          <cell r="CM88" t="e">
            <v>#VALUE!</v>
          </cell>
          <cell r="CN88" t="e">
            <v>#VALUE!</v>
          </cell>
          <cell r="CO88" t="e">
            <v>#VALUE!</v>
          </cell>
          <cell r="CP88" t="e">
            <v>#VALUE!</v>
          </cell>
          <cell r="CQ88" t="e">
            <v>#VALUE!</v>
          </cell>
          <cell r="CR88" t="e">
            <v>#VALUE!</v>
          </cell>
          <cell r="CS88" t="e">
            <v>#VALUE!</v>
          </cell>
          <cell r="CT88" t="e">
            <v>#VALUE!</v>
          </cell>
          <cell r="CU88" t="e">
            <v>#VALUE!</v>
          </cell>
          <cell r="CV88" t="e">
            <v>#VALUE!</v>
          </cell>
          <cell r="CW88" t="e">
            <v>#VALUE!</v>
          </cell>
          <cell r="CX88" t="e">
            <v>#VALUE!</v>
          </cell>
          <cell r="CY88" t="e">
            <v>#VALUE!</v>
          </cell>
          <cell r="CZ88" t="e">
            <v>#VALUE!</v>
          </cell>
          <cell r="DA88" t="e">
            <v>#VALUE!</v>
          </cell>
          <cell r="DB88" t="e">
            <v>#VALUE!</v>
          </cell>
          <cell r="DC88" t="e">
            <v>#VALUE!</v>
          </cell>
          <cell r="DD88" t="e">
            <v>#VALUE!</v>
          </cell>
          <cell r="DE88" t="e">
            <v>#VALUE!</v>
          </cell>
          <cell r="DF88" t="e">
            <v>#VALUE!</v>
          </cell>
          <cell r="DG88" t="e">
            <v>#VALUE!</v>
          </cell>
          <cell r="DH88" t="e">
            <v>#VALUE!</v>
          </cell>
          <cell r="DI88" t="e">
            <v>#VALUE!</v>
          </cell>
          <cell r="DJ88" t="e">
            <v>#VALUE!</v>
          </cell>
          <cell r="DK88" t="e">
            <v>#VALUE!</v>
          </cell>
          <cell r="DL88" t="e">
            <v>#VALUE!</v>
          </cell>
          <cell r="DM88" t="e">
            <v>#VALUE!</v>
          </cell>
        </row>
        <row r="89">
          <cell r="C89" t="str">
            <v>F6.6</v>
          </cell>
          <cell r="D89" t="str">
            <v>Sonstige Dienste</v>
          </cell>
          <cell r="G89">
            <v>0</v>
          </cell>
          <cell r="J89" t="str">
            <v>€/Jahr</v>
          </cell>
          <cell r="K89" t="str">
            <v>1</v>
          </cell>
          <cell r="L89" t="str">
            <v>PALLG</v>
          </cell>
          <cell r="M89">
            <v>2.5</v>
          </cell>
          <cell r="N89">
            <v>1.0098522167487685</v>
          </cell>
          <cell r="O89">
            <v>0</v>
          </cell>
          <cell r="P89" t="str">
            <v>€</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t="e">
            <v>#VALUE!</v>
          </cell>
          <cell r="BC89" t="e">
            <v>#VALUE!</v>
          </cell>
          <cell r="BD89" t="e">
            <v>#VALUE!</v>
          </cell>
          <cell r="BE89" t="e">
            <v>#VALUE!</v>
          </cell>
          <cell r="BF89" t="e">
            <v>#VALUE!</v>
          </cell>
          <cell r="BG89" t="e">
            <v>#VALUE!</v>
          </cell>
          <cell r="BH89" t="e">
            <v>#VALUE!</v>
          </cell>
          <cell r="BI89" t="e">
            <v>#VALUE!</v>
          </cell>
          <cell r="BJ89" t="e">
            <v>#VALUE!</v>
          </cell>
          <cell r="BK89" t="e">
            <v>#VALUE!</v>
          </cell>
          <cell r="BL89" t="e">
            <v>#VALUE!</v>
          </cell>
          <cell r="BM89" t="e">
            <v>#VALUE!</v>
          </cell>
          <cell r="BN89" t="e">
            <v>#VALUE!</v>
          </cell>
          <cell r="BO89" t="e">
            <v>#VALUE!</v>
          </cell>
          <cell r="BP89" t="e">
            <v>#VALUE!</v>
          </cell>
          <cell r="BQ89" t="e">
            <v>#VALUE!</v>
          </cell>
          <cell r="BR89" t="e">
            <v>#VALUE!</v>
          </cell>
          <cell r="BS89" t="e">
            <v>#VALUE!</v>
          </cell>
          <cell r="BT89" t="e">
            <v>#VALUE!</v>
          </cell>
          <cell r="BU89" t="e">
            <v>#VALUE!</v>
          </cell>
          <cell r="BV89" t="e">
            <v>#VALUE!</v>
          </cell>
          <cell r="BW89" t="e">
            <v>#VALUE!</v>
          </cell>
          <cell r="BX89" t="e">
            <v>#VALUE!</v>
          </cell>
          <cell r="BY89" t="e">
            <v>#VALUE!</v>
          </cell>
          <cell r="BZ89" t="e">
            <v>#VALUE!</v>
          </cell>
          <cell r="CA89" t="e">
            <v>#VALUE!</v>
          </cell>
          <cell r="CB89" t="e">
            <v>#VALUE!</v>
          </cell>
          <cell r="CC89" t="e">
            <v>#VALUE!</v>
          </cell>
          <cell r="CD89" t="e">
            <v>#VALUE!</v>
          </cell>
          <cell r="CE89" t="e">
            <v>#VALUE!</v>
          </cell>
          <cell r="CF89" t="e">
            <v>#VALUE!</v>
          </cell>
          <cell r="CG89" t="e">
            <v>#VALUE!</v>
          </cell>
          <cell r="CH89" t="e">
            <v>#VALUE!</v>
          </cell>
          <cell r="CI89" t="e">
            <v>#VALUE!</v>
          </cell>
          <cell r="CJ89" t="e">
            <v>#VALUE!</v>
          </cell>
          <cell r="CK89" t="e">
            <v>#VALUE!</v>
          </cell>
          <cell r="CL89" t="e">
            <v>#VALUE!</v>
          </cell>
          <cell r="CM89" t="e">
            <v>#VALUE!</v>
          </cell>
          <cell r="CN89" t="e">
            <v>#VALUE!</v>
          </cell>
          <cell r="CO89" t="e">
            <v>#VALUE!</v>
          </cell>
          <cell r="CP89" t="e">
            <v>#VALUE!</v>
          </cell>
          <cell r="CQ89" t="e">
            <v>#VALUE!</v>
          </cell>
          <cell r="CR89" t="e">
            <v>#VALUE!</v>
          </cell>
          <cell r="CS89" t="e">
            <v>#VALUE!</v>
          </cell>
          <cell r="CT89" t="e">
            <v>#VALUE!</v>
          </cell>
          <cell r="CU89" t="e">
            <v>#VALUE!</v>
          </cell>
          <cell r="CV89" t="e">
            <v>#VALUE!</v>
          </cell>
          <cell r="CW89" t="e">
            <v>#VALUE!</v>
          </cell>
          <cell r="CX89" t="e">
            <v>#VALUE!</v>
          </cell>
          <cell r="CY89" t="e">
            <v>#VALUE!</v>
          </cell>
          <cell r="CZ89" t="e">
            <v>#VALUE!</v>
          </cell>
          <cell r="DA89" t="e">
            <v>#VALUE!</v>
          </cell>
          <cell r="DB89" t="e">
            <v>#VALUE!</v>
          </cell>
          <cell r="DC89" t="e">
            <v>#VALUE!</v>
          </cell>
          <cell r="DD89" t="e">
            <v>#VALUE!</v>
          </cell>
          <cell r="DE89" t="e">
            <v>#VALUE!</v>
          </cell>
          <cell r="DF89" t="e">
            <v>#VALUE!</v>
          </cell>
          <cell r="DG89" t="e">
            <v>#VALUE!</v>
          </cell>
          <cell r="DH89" t="e">
            <v>#VALUE!</v>
          </cell>
          <cell r="DI89" t="e">
            <v>#VALUE!</v>
          </cell>
          <cell r="DJ89" t="e">
            <v>#VALUE!</v>
          </cell>
          <cell r="DK89" t="e">
            <v>#VALUE!</v>
          </cell>
          <cell r="DL89" t="e">
            <v>#VALUE!</v>
          </cell>
          <cell r="DM89" t="e">
            <v>#VALUE!</v>
          </cell>
        </row>
        <row r="90">
          <cell r="C90" t="str">
            <v>F7</v>
          </cell>
          <cell r="D90" t="str">
            <v>Instandsetzung, Umbau</v>
          </cell>
          <cell r="O90">
            <v>1182177.019764124</v>
          </cell>
          <cell r="P90" t="str">
            <v>€</v>
          </cell>
        </row>
        <row r="91">
          <cell r="C91" t="str">
            <v>F7.1</v>
          </cell>
          <cell r="D91" t="str">
            <v>Große Instandsetzung (inkl. Planung, Nebenleist., Reserve)</v>
          </cell>
          <cell r="O91">
            <v>1182177.019764124</v>
          </cell>
          <cell r="P91" t="str">
            <v>€</v>
          </cell>
        </row>
        <row r="92">
          <cell r="C92" t="str">
            <v>F7.1-2</v>
          </cell>
          <cell r="D92" t="str">
            <v>Bauwerk-Rohbau</v>
          </cell>
          <cell r="J92" t="str">
            <v>zu den "Nutzungsdauern"</v>
          </cell>
          <cell r="O92">
            <v>143957.11588009199</v>
          </cell>
          <cell r="P92" t="str">
            <v>€</v>
          </cell>
        </row>
        <row r="93">
          <cell r="C93" t="str">
            <v>F7.1-2.A</v>
          </cell>
          <cell r="D93" t="str">
            <v>Bauwerk Rohbau Allgemein</v>
          </cell>
          <cell r="E93" t="str">
            <v>E2.A</v>
          </cell>
          <cell r="F93" t="str">
            <v>E2.A *GIF/100* PFAKT</v>
          </cell>
          <cell r="G93">
            <v>84958.093691325441</v>
          </cell>
          <cell r="H93">
            <v>84958.093691325441</v>
          </cell>
          <cell r="J93" t="str">
            <v>€/Instandsetzung</v>
          </cell>
          <cell r="K93">
            <v>30</v>
          </cell>
          <cell r="L93" t="str">
            <v>PBAU</v>
          </cell>
          <cell r="M93">
            <v>3.3</v>
          </cell>
          <cell r="N93">
            <v>1.0177339901477833</v>
          </cell>
          <cell r="O93">
            <v>143957.11588009199</v>
          </cell>
          <cell r="P93" t="str">
            <v>€</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143957.11588009199</v>
          </cell>
          <cell r="AV93">
            <v>143957.11588009199</v>
          </cell>
          <cell r="AW93">
            <v>143957.11588009199</v>
          </cell>
          <cell r="AX93">
            <v>143957.11588009199</v>
          </cell>
          <cell r="AY93">
            <v>143957.11588009199</v>
          </cell>
          <cell r="AZ93">
            <v>143957.11588009199</v>
          </cell>
          <cell r="BA93">
            <v>143957.11588009199</v>
          </cell>
          <cell r="BB93" t="e">
            <v>#VALUE!</v>
          </cell>
          <cell r="BC93" t="e">
            <v>#VALUE!</v>
          </cell>
          <cell r="BD93" t="e">
            <v>#VALUE!</v>
          </cell>
          <cell r="BE93" t="e">
            <v>#VALUE!</v>
          </cell>
          <cell r="BF93" t="e">
            <v>#VALUE!</v>
          </cell>
          <cell r="BG93" t="e">
            <v>#VALUE!</v>
          </cell>
          <cell r="BH93" t="e">
            <v>#VALUE!</v>
          </cell>
          <cell r="BI93" t="e">
            <v>#VALUE!</v>
          </cell>
          <cell r="BJ93" t="e">
            <v>#VALUE!</v>
          </cell>
          <cell r="BK93" t="e">
            <v>#VALUE!</v>
          </cell>
          <cell r="BL93" t="e">
            <v>#VALUE!</v>
          </cell>
          <cell r="BM93" t="e">
            <v>#VALUE!</v>
          </cell>
          <cell r="BN93" t="e">
            <v>#VALUE!</v>
          </cell>
          <cell r="BO93" t="e">
            <v>#VALUE!</v>
          </cell>
          <cell r="BP93" t="e">
            <v>#VALUE!</v>
          </cell>
          <cell r="BQ93" t="e">
            <v>#VALUE!</v>
          </cell>
          <cell r="BR93" t="e">
            <v>#VALUE!</v>
          </cell>
          <cell r="BS93" t="e">
            <v>#VALUE!</v>
          </cell>
          <cell r="BT93" t="e">
            <v>#VALUE!</v>
          </cell>
          <cell r="BU93" t="e">
            <v>#VALUE!</v>
          </cell>
          <cell r="BV93" t="e">
            <v>#VALUE!</v>
          </cell>
          <cell r="BW93" t="e">
            <v>#VALUE!</v>
          </cell>
          <cell r="BX93" t="e">
            <v>#VALUE!</v>
          </cell>
          <cell r="BY93" t="e">
            <v>#VALUE!</v>
          </cell>
          <cell r="BZ93" t="e">
            <v>#VALUE!</v>
          </cell>
          <cell r="CA93" t="e">
            <v>#VALUE!</v>
          </cell>
          <cell r="CB93" t="e">
            <v>#VALUE!</v>
          </cell>
          <cell r="CC93" t="e">
            <v>#VALUE!</v>
          </cell>
          <cell r="CD93" t="e">
            <v>#VALUE!</v>
          </cell>
          <cell r="CE93" t="e">
            <v>#VALUE!</v>
          </cell>
          <cell r="CF93" t="e">
            <v>#VALUE!</v>
          </cell>
          <cell r="CG93" t="e">
            <v>#VALUE!</v>
          </cell>
          <cell r="CH93" t="e">
            <v>#VALUE!</v>
          </cell>
          <cell r="CI93" t="e">
            <v>#VALUE!</v>
          </cell>
          <cell r="CJ93" t="e">
            <v>#VALUE!</v>
          </cell>
          <cell r="CK93" t="e">
            <v>#VALUE!</v>
          </cell>
          <cell r="CL93" t="e">
            <v>#VALUE!</v>
          </cell>
          <cell r="CM93" t="e">
            <v>#VALUE!</v>
          </cell>
          <cell r="CN93" t="e">
            <v>#VALUE!</v>
          </cell>
          <cell r="CO93" t="e">
            <v>#VALUE!</v>
          </cell>
          <cell r="CP93" t="e">
            <v>#VALUE!</v>
          </cell>
          <cell r="CQ93" t="e">
            <v>#VALUE!</v>
          </cell>
          <cell r="CR93" t="e">
            <v>#VALUE!</v>
          </cell>
          <cell r="CS93" t="e">
            <v>#VALUE!</v>
          </cell>
          <cell r="CT93" t="e">
            <v>#VALUE!</v>
          </cell>
          <cell r="CU93" t="e">
            <v>#VALUE!</v>
          </cell>
          <cell r="CV93" t="e">
            <v>#VALUE!</v>
          </cell>
          <cell r="CW93" t="e">
            <v>#VALUE!</v>
          </cell>
          <cell r="CX93" t="e">
            <v>#VALUE!</v>
          </cell>
          <cell r="CY93" t="e">
            <v>#VALUE!</v>
          </cell>
          <cell r="CZ93" t="e">
            <v>#VALUE!</v>
          </cell>
          <cell r="DA93" t="e">
            <v>#VALUE!</v>
          </cell>
          <cell r="DB93" t="e">
            <v>#VALUE!</v>
          </cell>
          <cell r="DC93" t="e">
            <v>#VALUE!</v>
          </cell>
          <cell r="DD93" t="e">
            <v>#VALUE!</v>
          </cell>
          <cell r="DE93" t="e">
            <v>#VALUE!</v>
          </cell>
          <cell r="DF93" t="e">
            <v>#VALUE!</v>
          </cell>
          <cell r="DG93" t="e">
            <v>#VALUE!</v>
          </cell>
          <cell r="DH93" t="e">
            <v>#VALUE!</v>
          </cell>
          <cell r="DI93" t="e">
            <v>#VALUE!</v>
          </cell>
          <cell r="DJ93" t="e">
            <v>#VALUE!</v>
          </cell>
          <cell r="DK93" t="e">
            <v>#VALUE!</v>
          </cell>
          <cell r="DL93" t="e">
            <v>#VALUE!</v>
          </cell>
          <cell r="DM93" t="e">
            <v>#VALUE!</v>
          </cell>
        </row>
        <row r="94">
          <cell r="C94" t="str">
            <v>F7.1-2.B</v>
          </cell>
          <cell r="D94" t="str">
            <v>Erdarbeiten, Baugrube</v>
          </cell>
          <cell r="E94" t="str">
            <v>E2.B</v>
          </cell>
          <cell r="F94" t="str">
            <v>E2.B *GIF/100* PFAKT</v>
          </cell>
          <cell r="G94">
            <v>0</v>
          </cell>
          <cell r="H94">
            <v>0</v>
          </cell>
          <cell r="J94" t="str">
            <v>€/Instandsetzung</v>
          </cell>
          <cell r="K94">
            <v>100</v>
          </cell>
          <cell r="L94" t="str">
            <v>PBAU</v>
          </cell>
          <cell r="M94">
            <v>3.3</v>
          </cell>
          <cell r="N94">
            <v>1.0177339901477833</v>
          </cell>
          <cell r="O94">
            <v>0</v>
          </cell>
          <cell r="P94" t="str">
            <v>€</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t="e">
            <v>#VALUE!</v>
          </cell>
          <cell r="BC94" t="e">
            <v>#VALUE!</v>
          </cell>
          <cell r="BD94" t="e">
            <v>#VALUE!</v>
          </cell>
          <cell r="BE94" t="e">
            <v>#VALUE!</v>
          </cell>
          <cell r="BF94" t="e">
            <v>#VALUE!</v>
          </cell>
          <cell r="BG94" t="e">
            <v>#VALUE!</v>
          </cell>
          <cell r="BH94" t="e">
            <v>#VALUE!</v>
          </cell>
          <cell r="BI94" t="e">
            <v>#VALUE!</v>
          </cell>
          <cell r="BJ94" t="e">
            <v>#VALUE!</v>
          </cell>
          <cell r="BK94" t="e">
            <v>#VALUE!</v>
          </cell>
          <cell r="BL94" t="e">
            <v>#VALUE!</v>
          </cell>
          <cell r="BM94" t="e">
            <v>#VALUE!</v>
          </cell>
          <cell r="BN94" t="e">
            <v>#VALUE!</v>
          </cell>
          <cell r="BO94" t="e">
            <v>#VALUE!</v>
          </cell>
          <cell r="BP94" t="e">
            <v>#VALUE!</v>
          </cell>
          <cell r="BQ94" t="e">
            <v>#VALUE!</v>
          </cell>
          <cell r="BR94" t="e">
            <v>#VALUE!</v>
          </cell>
          <cell r="BS94" t="e">
            <v>#VALUE!</v>
          </cell>
          <cell r="BT94" t="e">
            <v>#VALUE!</v>
          </cell>
          <cell r="BU94" t="e">
            <v>#VALUE!</v>
          </cell>
          <cell r="BV94" t="e">
            <v>#VALUE!</v>
          </cell>
          <cell r="BW94" t="e">
            <v>#VALUE!</v>
          </cell>
          <cell r="BX94" t="e">
            <v>#VALUE!</v>
          </cell>
          <cell r="BY94" t="e">
            <v>#VALUE!</v>
          </cell>
          <cell r="BZ94" t="e">
            <v>#VALUE!</v>
          </cell>
          <cell r="CA94" t="e">
            <v>#VALUE!</v>
          </cell>
          <cell r="CB94" t="e">
            <v>#VALUE!</v>
          </cell>
          <cell r="CC94" t="e">
            <v>#VALUE!</v>
          </cell>
          <cell r="CD94" t="e">
            <v>#VALUE!</v>
          </cell>
          <cell r="CE94" t="e">
            <v>#VALUE!</v>
          </cell>
          <cell r="CF94" t="e">
            <v>#VALUE!</v>
          </cell>
          <cell r="CG94" t="e">
            <v>#VALUE!</v>
          </cell>
          <cell r="CH94" t="e">
            <v>#VALUE!</v>
          </cell>
          <cell r="CI94" t="e">
            <v>#VALUE!</v>
          </cell>
          <cell r="CJ94" t="e">
            <v>#VALUE!</v>
          </cell>
          <cell r="CK94" t="e">
            <v>#VALUE!</v>
          </cell>
          <cell r="CL94" t="e">
            <v>#VALUE!</v>
          </cell>
          <cell r="CM94" t="e">
            <v>#VALUE!</v>
          </cell>
          <cell r="CN94" t="e">
            <v>#VALUE!</v>
          </cell>
          <cell r="CO94" t="e">
            <v>#VALUE!</v>
          </cell>
          <cell r="CP94" t="e">
            <v>#VALUE!</v>
          </cell>
          <cell r="CQ94" t="e">
            <v>#VALUE!</v>
          </cell>
          <cell r="CR94" t="e">
            <v>#VALUE!</v>
          </cell>
          <cell r="CS94" t="e">
            <v>#VALUE!</v>
          </cell>
          <cell r="CT94" t="e">
            <v>#VALUE!</v>
          </cell>
          <cell r="CU94" t="e">
            <v>#VALUE!</v>
          </cell>
          <cell r="CV94" t="e">
            <v>#VALUE!</v>
          </cell>
          <cell r="CW94" t="e">
            <v>#VALUE!</v>
          </cell>
          <cell r="CX94" t="e">
            <v>#VALUE!</v>
          </cell>
          <cell r="CY94" t="e">
            <v>#VALUE!</v>
          </cell>
          <cell r="CZ94" t="e">
            <v>#VALUE!</v>
          </cell>
          <cell r="DA94" t="e">
            <v>#VALUE!</v>
          </cell>
          <cell r="DB94" t="e">
            <v>#VALUE!</v>
          </cell>
          <cell r="DC94" t="e">
            <v>#VALUE!</v>
          </cell>
          <cell r="DD94" t="e">
            <v>#VALUE!</v>
          </cell>
          <cell r="DE94" t="e">
            <v>#VALUE!</v>
          </cell>
          <cell r="DF94" t="e">
            <v>#VALUE!</v>
          </cell>
          <cell r="DG94" t="e">
            <v>#VALUE!</v>
          </cell>
          <cell r="DH94" t="e">
            <v>#VALUE!</v>
          </cell>
          <cell r="DI94" t="e">
            <v>#VALUE!</v>
          </cell>
          <cell r="DJ94" t="e">
            <v>#VALUE!</v>
          </cell>
          <cell r="DK94" t="e">
            <v>#VALUE!</v>
          </cell>
          <cell r="DL94" t="e">
            <v>#VALUE!</v>
          </cell>
          <cell r="DM94" t="e">
            <v>#VALUE!</v>
          </cell>
        </row>
        <row r="95">
          <cell r="C95" t="str">
            <v>F7.1-2.C</v>
          </cell>
          <cell r="D95" t="str">
            <v>Gründungen, Bodenkonstruktionen</v>
          </cell>
          <cell r="E95" t="str">
            <v>E2.C</v>
          </cell>
          <cell r="F95" t="str">
            <v>E2.C *GIF/100* PFAKT</v>
          </cell>
          <cell r="G95">
            <v>0</v>
          </cell>
          <cell r="H95">
            <v>0</v>
          </cell>
          <cell r="J95" t="str">
            <v>€/Instandsetzung</v>
          </cell>
          <cell r="K95">
            <v>100</v>
          </cell>
          <cell r="L95" t="str">
            <v>PBAU</v>
          </cell>
          <cell r="M95">
            <v>3.3</v>
          </cell>
          <cell r="N95">
            <v>1.0177339901477833</v>
          </cell>
          <cell r="O95">
            <v>0</v>
          </cell>
          <cell r="P95" t="str">
            <v>€</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t="e">
            <v>#VALUE!</v>
          </cell>
          <cell r="BC95" t="e">
            <v>#VALUE!</v>
          </cell>
          <cell r="BD95" t="e">
            <v>#VALUE!</v>
          </cell>
          <cell r="BE95" t="e">
            <v>#VALUE!</v>
          </cell>
          <cell r="BF95" t="e">
            <v>#VALUE!</v>
          </cell>
          <cell r="BG95" t="e">
            <v>#VALUE!</v>
          </cell>
          <cell r="BH95" t="e">
            <v>#VALUE!</v>
          </cell>
          <cell r="BI95" t="e">
            <v>#VALUE!</v>
          </cell>
          <cell r="BJ95" t="e">
            <v>#VALUE!</v>
          </cell>
          <cell r="BK95" t="e">
            <v>#VALUE!</v>
          </cell>
          <cell r="BL95" t="e">
            <v>#VALUE!</v>
          </cell>
          <cell r="BM95" t="e">
            <v>#VALUE!</v>
          </cell>
          <cell r="BN95" t="e">
            <v>#VALUE!</v>
          </cell>
          <cell r="BO95" t="e">
            <v>#VALUE!</v>
          </cell>
          <cell r="BP95" t="e">
            <v>#VALUE!</v>
          </cell>
          <cell r="BQ95" t="e">
            <v>#VALUE!</v>
          </cell>
          <cell r="BR95" t="e">
            <v>#VALUE!</v>
          </cell>
          <cell r="BS95" t="e">
            <v>#VALUE!</v>
          </cell>
          <cell r="BT95" t="e">
            <v>#VALUE!</v>
          </cell>
          <cell r="BU95" t="e">
            <v>#VALUE!</v>
          </cell>
          <cell r="BV95" t="e">
            <v>#VALUE!</v>
          </cell>
          <cell r="BW95" t="e">
            <v>#VALUE!</v>
          </cell>
          <cell r="BX95" t="e">
            <v>#VALUE!</v>
          </cell>
          <cell r="BY95" t="e">
            <v>#VALUE!</v>
          </cell>
          <cell r="BZ95" t="e">
            <v>#VALUE!</v>
          </cell>
          <cell r="CA95" t="e">
            <v>#VALUE!</v>
          </cell>
          <cell r="CB95" t="e">
            <v>#VALUE!</v>
          </cell>
          <cell r="CC95" t="e">
            <v>#VALUE!</v>
          </cell>
          <cell r="CD95" t="e">
            <v>#VALUE!</v>
          </cell>
          <cell r="CE95" t="e">
            <v>#VALUE!</v>
          </cell>
          <cell r="CF95" t="e">
            <v>#VALUE!</v>
          </cell>
          <cell r="CG95" t="e">
            <v>#VALUE!</v>
          </cell>
          <cell r="CH95" t="e">
            <v>#VALUE!</v>
          </cell>
          <cell r="CI95" t="e">
            <v>#VALUE!</v>
          </cell>
          <cell r="CJ95" t="e">
            <v>#VALUE!</v>
          </cell>
          <cell r="CK95" t="e">
            <v>#VALUE!</v>
          </cell>
          <cell r="CL95" t="e">
            <v>#VALUE!</v>
          </cell>
          <cell r="CM95" t="e">
            <v>#VALUE!</v>
          </cell>
          <cell r="CN95" t="e">
            <v>#VALUE!</v>
          </cell>
          <cell r="CO95" t="e">
            <v>#VALUE!</v>
          </cell>
          <cell r="CP95" t="e">
            <v>#VALUE!</v>
          </cell>
          <cell r="CQ95" t="e">
            <v>#VALUE!</v>
          </cell>
          <cell r="CR95" t="e">
            <v>#VALUE!</v>
          </cell>
          <cell r="CS95" t="e">
            <v>#VALUE!</v>
          </cell>
          <cell r="CT95" t="e">
            <v>#VALUE!</v>
          </cell>
          <cell r="CU95" t="e">
            <v>#VALUE!</v>
          </cell>
          <cell r="CV95" t="e">
            <v>#VALUE!</v>
          </cell>
          <cell r="CW95" t="e">
            <v>#VALUE!</v>
          </cell>
          <cell r="CX95" t="e">
            <v>#VALUE!</v>
          </cell>
          <cell r="CY95" t="e">
            <v>#VALUE!</v>
          </cell>
          <cell r="CZ95" t="e">
            <v>#VALUE!</v>
          </cell>
          <cell r="DA95" t="e">
            <v>#VALUE!</v>
          </cell>
          <cell r="DB95" t="e">
            <v>#VALUE!</v>
          </cell>
          <cell r="DC95" t="e">
            <v>#VALUE!</v>
          </cell>
          <cell r="DD95" t="e">
            <v>#VALUE!</v>
          </cell>
          <cell r="DE95" t="e">
            <v>#VALUE!</v>
          </cell>
          <cell r="DF95" t="e">
            <v>#VALUE!</v>
          </cell>
          <cell r="DG95" t="e">
            <v>#VALUE!</v>
          </cell>
          <cell r="DH95" t="e">
            <v>#VALUE!</v>
          </cell>
          <cell r="DI95" t="e">
            <v>#VALUE!</v>
          </cell>
          <cell r="DJ95" t="e">
            <v>#VALUE!</v>
          </cell>
          <cell r="DK95" t="e">
            <v>#VALUE!</v>
          </cell>
          <cell r="DL95" t="e">
            <v>#VALUE!</v>
          </cell>
          <cell r="DM95" t="e">
            <v>#VALUE!</v>
          </cell>
        </row>
        <row r="96">
          <cell r="C96" t="str">
            <v>F7.1-2.D</v>
          </cell>
          <cell r="D96" t="str">
            <v>Horizontale Baukonstruktionen</v>
          </cell>
          <cell r="F96" t="str">
            <v>#SUM</v>
          </cell>
          <cell r="O96">
            <v>0</v>
          </cell>
          <cell r="P96" t="str">
            <v>€</v>
          </cell>
        </row>
        <row r="97">
          <cell r="C97" t="str">
            <v>F7.1-2.D.01</v>
          </cell>
          <cell r="D97" t="str">
            <v>Deckenkonstruktionen</v>
          </cell>
          <cell r="E97" t="str">
            <v>E2.D.01</v>
          </cell>
          <cell r="F97" t="str">
            <v>E2.D.01 *GIF/100* PFAKT</v>
          </cell>
          <cell r="G97">
            <v>0</v>
          </cell>
          <cell r="H97">
            <v>0</v>
          </cell>
          <cell r="J97" t="str">
            <v>€/Instandsetzung</v>
          </cell>
          <cell r="K97">
            <v>100</v>
          </cell>
          <cell r="L97" t="str">
            <v>PBAU</v>
          </cell>
          <cell r="M97">
            <v>3.3</v>
          </cell>
          <cell r="N97">
            <v>1.0177339901477833</v>
          </cell>
          <cell r="O97">
            <v>0</v>
          </cell>
          <cell r="P97" t="str">
            <v>€</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t="e">
            <v>#VALUE!</v>
          </cell>
          <cell r="BC97" t="e">
            <v>#VALUE!</v>
          </cell>
          <cell r="BD97" t="e">
            <v>#VALUE!</v>
          </cell>
          <cell r="BE97" t="e">
            <v>#VALUE!</v>
          </cell>
          <cell r="BF97" t="e">
            <v>#VALUE!</v>
          </cell>
          <cell r="BG97" t="e">
            <v>#VALUE!</v>
          </cell>
          <cell r="BH97" t="e">
            <v>#VALUE!</v>
          </cell>
          <cell r="BI97" t="e">
            <v>#VALUE!</v>
          </cell>
          <cell r="BJ97" t="e">
            <v>#VALUE!</v>
          </cell>
          <cell r="BK97" t="e">
            <v>#VALUE!</v>
          </cell>
          <cell r="BL97" t="e">
            <v>#VALUE!</v>
          </cell>
          <cell r="BM97" t="e">
            <v>#VALUE!</v>
          </cell>
          <cell r="BN97" t="e">
            <v>#VALUE!</v>
          </cell>
          <cell r="BO97" t="e">
            <v>#VALUE!</v>
          </cell>
          <cell r="BP97" t="e">
            <v>#VALUE!</v>
          </cell>
          <cell r="BQ97" t="e">
            <v>#VALUE!</v>
          </cell>
          <cell r="BR97" t="e">
            <v>#VALUE!</v>
          </cell>
          <cell r="BS97" t="e">
            <v>#VALUE!</v>
          </cell>
          <cell r="BT97" t="e">
            <v>#VALUE!</v>
          </cell>
          <cell r="BU97" t="e">
            <v>#VALUE!</v>
          </cell>
          <cell r="BV97" t="e">
            <v>#VALUE!</v>
          </cell>
          <cell r="BW97" t="e">
            <v>#VALUE!</v>
          </cell>
          <cell r="BX97" t="e">
            <v>#VALUE!</v>
          </cell>
          <cell r="BY97" t="e">
            <v>#VALUE!</v>
          </cell>
          <cell r="BZ97" t="e">
            <v>#VALUE!</v>
          </cell>
          <cell r="CA97" t="e">
            <v>#VALUE!</v>
          </cell>
          <cell r="CB97" t="e">
            <v>#VALUE!</v>
          </cell>
          <cell r="CC97" t="e">
            <v>#VALUE!</v>
          </cell>
          <cell r="CD97" t="e">
            <v>#VALUE!</v>
          </cell>
          <cell r="CE97" t="e">
            <v>#VALUE!</v>
          </cell>
          <cell r="CF97" t="e">
            <v>#VALUE!</v>
          </cell>
          <cell r="CG97" t="e">
            <v>#VALUE!</v>
          </cell>
          <cell r="CH97" t="e">
            <v>#VALUE!</v>
          </cell>
          <cell r="CI97" t="e">
            <v>#VALUE!</v>
          </cell>
          <cell r="CJ97" t="e">
            <v>#VALUE!</v>
          </cell>
          <cell r="CK97" t="e">
            <v>#VALUE!</v>
          </cell>
          <cell r="CL97" t="e">
            <v>#VALUE!</v>
          </cell>
          <cell r="CM97" t="e">
            <v>#VALUE!</v>
          </cell>
          <cell r="CN97" t="e">
            <v>#VALUE!</v>
          </cell>
          <cell r="CO97" t="e">
            <v>#VALUE!</v>
          </cell>
          <cell r="CP97" t="e">
            <v>#VALUE!</v>
          </cell>
          <cell r="CQ97" t="e">
            <v>#VALUE!</v>
          </cell>
          <cell r="CR97" t="e">
            <v>#VALUE!</v>
          </cell>
          <cell r="CS97" t="e">
            <v>#VALUE!</v>
          </cell>
          <cell r="CT97" t="e">
            <v>#VALUE!</v>
          </cell>
          <cell r="CU97" t="e">
            <v>#VALUE!</v>
          </cell>
          <cell r="CV97" t="e">
            <v>#VALUE!</v>
          </cell>
          <cell r="CW97" t="e">
            <v>#VALUE!</v>
          </cell>
          <cell r="CX97" t="e">
            <v>#VALUE!</v>
          </cell>
          <cell r="CY97" t="e">
            <v>#VALUE!</v>
          </cell>
          <cell r="CZ97" t="e">
            <v>#VALUE!</v>
          </cell>
          <cell r="DA97" t="e">
            <v>#VALUE!</v>
          </cell>
          <cell r="DB97" t="e">
            <v>#VALUE!</v>
          </cell>
          <cell r="DC97" t="e">
            <v>#VALUE!</v>
          </cell>
          <cell r="DD97" t="e">
            <v>#VALUE!</v>
          </cell>
          <cell r="DE97" t="e">
            <v>#VALUE!</v>
          </cell>
          <cell r="DF97" t="e">
            <v>#VALUE!</v>
          </cell>
          <cell r="DG97" t="e">
            <v>#VALUE!</v>
          </cell>
          <cell r="DH97" t="e">
            <v>#VALUE!</v>
          </cell>
          <cell r="DI97" t="e">
            <v>#VALUE!</v>
          </cell>
          <cell r="DJ97" t="e">
            <v>#VALUE!</v>
          </cell>
          <cell r="DK97" t="e">
            <v>#VALUE!</v>
          </cell>
          <cell r="DL97" t="e">
            <v>#VALUE!</v>
          </cell>
          <cell r="DM97" t="e">
            <v>#VALUE!</v>
          </cell>
        </row>
        <row r="98">
          <cell r="C98" t="str">
            <v>F7.1-2.D.02</v>
          </cell>
          <cell r="D98" t="str">
            <v>Treppenkonstruktionen</v>
          </cell>
          <cell r="E98" t="str">
            <v>E2.D.02</v>
          </cell>
          <cell r="F98" t="str">
            <v>E2.D.02 *GIF/100* PFAKT</v>
          </cell>
          <cell r="G98">
            <v>0</v>
          </cell>
          <cell r="H98">
            <v>0</v>
          </cell>
          <cell r="J98" t="str">
            <v>€/Instandsetzung</v>
          </cell>
          <cell r="K98">
            <v>100</v>
          </cell>
          <cell r="L98" t="str">
            <v>PBAU</v>
          </cell>
          <cell r="M98">
            <v>3.3</v>
          </cell>
          <cell r="N98">
            <v>1.0177339901477833</v>
          </cell>
          <cell r="O98">
            <v>0</v>
          </cell>
          <cell r="P98" t="str">
            <v>€</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t="e">
            <v>#VALUE!</v>
          </cell>
          <cell r="BC98" t="e">
            <v>#VALUE!</v>
          </cell>
          <cell r="BD98" t="e">
            <v>#VALUE!</v>
          </cell>
          <cell r="BE98" t="e">
            <v>#VALUE!</v>
          </cell>
          <cell r="BF98" t="e">
            <v>#VALUE!</v>
          </cell>
          <cell r="BG98" t="e">
            <v>#VALUE!</v>
          </cell>
          <cell r="BH98" t="e">
            <v>#VALUE!</v>
          </cell>
          <cell r="BI98" t="e">
            <v>#VALUE!</v>
          </cell>
          <cell r="BJ98" t="e">
            <v>#VALUE!</v>
          </cell>
          <cell r="BK98" t="e">
            <v>#VALUE!</v>
          </cell>
          <cell r="BL98" t="e">
            <v>#VALUE!</v>
          </cell>
          <cell r="BM98" t="e">
            <v>#VALUE!</v>
          </cell>
          <cell r="BN98" t="e">
            <v>#VALUE!</v>
          </cell>
          <cell r="BO98" t="e">
            <v>#VALUE!</v>
          </cell>
          <cell r="BP98" t="e">
            <v>#VALUE!</v>
          </cell>
          <cell r="BQ98" t="e">
            <v>#VALUE!</v>
          </cell>
          <cell r="BR98" t="e">
            <v>#VALUE!</v>
          </cell>
          <cell r="BS98" t="e">
            <v>#VALUE!</v>
          </cell>
          <cell r="BT98" t="e">
            <v>#VALUE!</v>
          </cell>
          <cell r="BU98" t="e">
            <v>#VALUE!</v>
          </cell>
          <cell r="BV98" t="e">
            <v>#VALUE!</v>
          </cell>
          <cell r="BW98" t="e">
            <v>#VALUE!</v>
          </cell>
          <cell r="BX98" t="e">
            <v>#VALUE!</v>
          </cell>
          <cell r="BY98" t="e">
            <v>#VALUE!</v>
          </cell>
          <cell r="BZ98" t="e">
            <v>#VALUE!</v>
          </cell>
          <cell r="CA98" t="e">
            <v>#VALUE!</v>
          </cell>
          <cell r="CB98" t="e">
            <v>#VALUE!</v>
          </cell>
          <cell r="CC98" t="e">
            <v>#VALUE!</v>
          </cell>
          <cell r="CD98" t="e">
            <v>#VALUE!</v>
          </cell>
          <cell r="CE98" t="e">
            <v>#VALUE!</v>
          </cell>
          <cell r="CF98" t="e">
            <v>#VALUE!</v>
          </cell>
          <cell r="CG98" t="e">
            <v>#VALUE!</v>
          </cell>
          <cell r="CH98" t="e">
            <v>#VALUE!</v>
          </cell>
          <cell r="CI98" t="e">
            <v>#VALUE!</v>
          </cell>
          <cell r="CJ98" t="e">
            <v>#VALUE!</v>
          </cell>
          <cell r="CK98" t="e">
            <v>#VALUE!</v>
          </cell>
          <cell r="CL98" t="e">
            <v>#VALUE!</v>
          </cell>
          <cell r="CM98" t="e">
            <v>#VALUE!</v>
          </cell>
          <cell r="CN98" t="e">
            <v>#VALUE!</v>
          </cell>
          <cell r="CO98" t="e">
            <v>#VALUE!</v>
          </cell>
          <cell r="CP98" t="e">
            <v>#VALUE!</v>
          </cell>
          <cell r="CQ98" t="e">
            <v>#VALUE!</v>
          </cell>
          <cell r="CR98" t="e">
            <v>#VALUE!</v>
          </cell>
          <cell r="CS98" t="e">
            <v>#VALUE!</v>
          </cell>
          <cell r="CT98" t="e">
            <v>#VALUE!</v>
          </cell>
          <cell r="CU98" t="e">
            <v>#VALUE!</v>
          </cell>
          <cell r="CV98" t="e">
            <v>#VALUE!</v>
          </cell>
          <cell r="CW98" t="e">
            <v>#VALUE!</v>
          </cell>
          <cell r="CX98" t="e">
            <v>#VALUE!</v>
          </cell>
          <cell r="CY98" t="e">
            <v>#VALUE!</v>
          </cell>
          <cell r="CZ98" t="e">
            <v>#VALUE!</v>
          </cell>
          <cell r="DA98" t="e">
            <v>#VALUE!</v>
          </cell>
          <cell r="DB98" t="e">
            <v>#VALUE!</v>
          </cell>
          <cell r="DC98" t="e">
            <v>#VALUE!</v>
          </cell>
          <cell r="DD98" t="e">
            <v>#VALUE!</v>
          </cell>
          <cell r="DE98" t="e">
            <v>#VALUE!</v>
          </cell>
          <cell r="DF98" t="e">
            <v>#VALUE!</v>
          </cell>
          <cell r="DG98" t="e">
            <v>#VALUE!</v>
          </cell>
          <cell r="DH98" t="e">
            <v>#VALUE!</v>
          </cell>
          <cell r="DI98" t="e">
            <v>#VALUE!</v>
          </cell>
          <cell r="DJ98" t="e">
            <v>#VALUE!</v>
          </cell>
          <cell r="DK98" t="e">
            <v>#VALUE!</v>
          </cell>
          <cell r="DL98" t="e">
            <v>#VALUE!</v>
          </cell>
          <cell r="DM98" t="e">
            <v>#VALUE!</v>
          </cell>
        </row>
        <row r="99">
          <cell r="C99" t="str">
            <v>F7.1-2.D.03</v>
          </cell>
          <cell r="D99" t="str">
            <v>Dachkonstruktionen</v>
          </cell>
          <cell r="F99" t="str">
            <v>#SUM</v>
          </cell>
          <cell r="O99">
            <v>0</v>
          </cell>
          <cell r="P99" t="str">
            <v>€</v>
          </cell>
        </row>
        <row r="100">
          <cell r="C100" t="str">
            <v>F7.1-2.D.03.a</v>
          </cell>
          <cell r="D100" t="str">
            <v>Dachkonstruktion 1</v>
          </cell>
          <cell r="E100" t="str">
            <v>E2.D.03.a</v>
          </cell>
          <cell r="F100" t="str">
            <v>E2.D.03.a *GIF/100* PFAKT</v>
          </cell>
          <cell r="G100">
            <v>0</v>
          </cell>
          <cell r="H100">
            <v>0</v>
          </cell>
          <cell r="J100" t="str">
            <v>€/Instandsetzung</v>
          </cell>
          <cell r="K100">
            <v>50</v>
          </cell>
          <cell r="L100" t="str">
            <v>PBAU</v>
          </cell>
          <cell r="M100">
            <v>3.3</v>
          </cell>
          <cell r="N100">
            <v>1.0177339901477833</v>
          </cell>
          <cell r="O100">
            <v>0</v>
          </cell>
          <cell r="P100" t="str">
            <v>€</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t="e">
            <v>#VALUE!</v>
          </cell>
          <cell r="BC100" t="e">
            <v>#VALUE!</v>
          </cell>
          <cell r="BD100" t="e">
            <v>#VALUE!</v>
          </cell>
          <cell r="BE100" t="e">
            <v>#VALUE!</v>
          </cell>
          <cell r="BF100" t="e">
            <v>#VALUE!</v>
          </cell>
          <cell r="BG100" t="e">
            <v>#VALUE!</v>
          </cell>
          <cell r="BH100" t="e">
            <v>#VALUE!</v>
          </cell>
          <cell r="BI100" t="e">
            <v>#VALUE!</v>
          </cell>
          <cell r="BJ100" t="e">
            <v>#VALUE!</v>
          </cell>
          <cell r="BK100" t="e">
            <v>#VALUE!</v>
          </cell>
          <cell r="BL100" t="e">
            <v>#VALUE!</v>
          </cell>
          <cell r="BM100" t="e">
            <v>#VALUE!</v>
          </cell>
          <cell r="BN100" t="e">
            <v>#VALUE!</v>
          </cell>
          <cell r="BO100" t="e">
            <v>#VALUE!</v>
          </cell>
          <cell r="BP100" t="e">
            <v>#VALUE!</v>
          </cell>
          <cell r="BQ100" t="e">
            <v>#VALUE!</v>
          </cell>
          <cell r="BR100" t="e">
            <v>#VALUE!</v>
          </cell>
          <cell r="BS100" t="e">
            <v>#VALUE!</v>
          </cell>
          <cell r="BT100" t="e">
            <v>#VALUE!</v>
          </cell>
          <cell r="BU100" t="e">
            <v>#VALUE!</v>
          </cell>
          <cell r="BV100" t="e">
            <v>#VALUE!</v>
          </cell>
          <cell r="BW100" t="e">
            <v>#VALUE!</v>
          </cell>
          <cell r="BX100" t="e">
            <v>#VALUE!</v>
          </cell>
          <cell r="BY100" t="e">
            <v>#VALUE!</v>
          </cell>
          <cell r="BZ100" t="e">
            <v>#VALUE!</v>
          </cell>
          <cell r="CA100" t="e">
            <v>#VALUE!</v>
          </cell>
          <cell r="CB100" t="e">
            <v>#VALUE!</v>
          </cell>
          <cell r="CC100" t="e">
            <v>#VALUE!</v>
          </cell>
          <cell r="CD100" t="e">
            <v>#VALUE!</v>
          </cell>
          <cell r="CE100" t="e">
            <v>#VALUE!</v>
          </cell>
          <cell r="CF100" t="e">
            <v>#VALUE!</v>
          </cell>
          <cell r="CG100" t="e">
            <v>#VALUE!</v>
          </cell>
          <cell r="CH100" t="e">
            <v>#VALUE!</v>
          </cell>
          <cell r="CI100" t="e">
            <v>#VALUE!</v>
          </cell>
          <cell r="CJ100" t="e">
            <v>#VALUE!</v>
          </cell>
          <cell r="CK100" t="e">
            <v>#VALUE!</v>
          </cell>
          <cell r="CL100" t="e">
            <v>#VALUE!</v>
          </cell>
          <cell r="CM100" t="e">
            <v>#VALUE!</v>
          </cell>
          <cell r="CN100" t="e">
            <v>#VALUE!</v>
          </cell>
          <cell r="CO100" t="e">
            <v>#VALUE!</v>
          </cell>
          <cell r="CP100" t="e">
            <v>#VALUE!</v>
          </cell>
          <cell r="CQ100" t="e">
            <v>#VALUE!</v>
          </cell>
          <cell r="CR100" t="e">
            <v>#VALUE!</v>
          </cell>
          <cell r="CS100" t="e">
            <v>#VALUE!</v>
          </cell>
          <cell r="CT100" t="e">
            <v>#VALUE!</v>
          </cell>
          <cell r="CU100" t="e">
            <v>#VALUE!</v>
          </cell>
          <cell r="CV100" t="e">
            <v>#VALUE!</v>
          </cell>
          <cell r="CW100" t="e">
            <v>#VALUE!</v>
          </cell>
          <cell r="CX100" t="e">
            <v>#VALUE!</v>
          </cell>
          <cell r="CY100" t="e">
            <v>#VALUE!</v>
          </cell>
          <cell r="CZ100" t="e">
            <v>#VALUE!</v>
          </cell>
          <cell r="DA100" t="e">
            <v>#VALUE!</v>
          </cell>
          <cell r="DB100" t="e">
            <v>#VALUE!</v>
          </cell>
          <cell r="DC100" t="e">
            <v>#VALUE!</v>
          </cell>
          <cell r="DD100" t="e">
            <v>#VALUE!</v>
          </cell>
          <cell r="DE100" t="e">
            <v>#VALUE!</v>
          </cell>
          <cell r="DF100" t="e">
            <v>#VALUE!</v>
          </cell>
          <cell r="DG100" t="e">
            <v>#VALUE!</v>
          </cell>
          <cell r="DH100" t="e">
            <v>#VALUE!</v>
          </cell>
          <cell r="DI100" t="e">
            <v>#VALUE!</v>
          </cell>
          <cell r="DJ100" t="e">
            <v>#VALUE!</v>
          </cell>
          <cell r="DK100" t="e">
            <v>#VALUE!</v>
          </cell>
          <cell r="DL100" t="e">
            <v>#VALUE!</v>
          </cell>
          <cell r="DM100" t="e">
            <v>#VALUE!</v>
          </cell>
        </row>
        <row r="101">
          <cell r="C101" t="str">
            <v>F7.1-2.D.03.b</v>
          </cell>
          <cell r="D101" t="str">
            <v>Dachkonstruktion 2</v>
          </cell>
          <cell r="E101" t="str">
            <v>E2.D.03.b</v>
          </cell>
          <cell r="F101" t="str">
            <v>E2.D.03.b *GIF/100* PFAKT</v>
          </cell>
          <cell r="G101">
            <v>0</v>
          </cell>
          <cell r="H101">
            <v>0</v>
          </cell>
          <cell r="J101" t="str">
            <v>€/Instandsetzung</v>
          </cell>
          <cell r="K101">
            <v>1000</v>
          </cell>
          <cell r="L101" t="str">
            <v>PBAU</v>
          </cell>
          <cell r="M101">
            <v>3.3</v>
          </cell>
          <cell r="N101">
            <v>1.0177339901477833</v>
          </cell>
          <cell r="O101">
            <v>0</v>
          </cell>
          <cell r="P101" t="str">
            <v>€</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t="e">
            <v>#VALUE!</v>
          </cell>
          <cell r="BC101" t="e">
            <v>#VALUE!</v>
          </cell>
          <cell r="BD101" t="e">
            <v>#VALUE!</v>
          </cell>
          <cell r="BE101" t="e">
            <v>#VALUE!</v>
          </cell>
          <cell r="BF101" t="e">
            <v>#VALUE!</v>
          </cell>
          <cell r="BG101" t="e">
            <v>#VALUE!</v>
          </cell>
          <cell r="BH101" t="e">
            <v>#VALUE!</v>
          </cell>
          <cell r="BI101" t="e">
            <v>#VALUE!</v>
          </cell>
          <cell r="BJ101" t="e">
            <v>#VALUE!</v>
          </cell>
          <cell r="BK101" t="e">
            <v>#VALUE!</v>
          </cell>
          <cell r="BL101" t="e">
            <v>#VALUE!</v>
          </cell>
          <cell r="BM101" t="e">
            <v>#VALUE!</v>
          </cell>
          <cell r="BN101" t="e">
            <v>#VALUE!</v>
          </cell>
          <cell r="BO101" t="e">
            <v>#VALUE!</v>
          </cell>
          <cell r="BP101" t="e">
            <v>#VALUE!</v>
          </cell>
          <cell r="BQ101" t="e">
            <v>#VALUE!</v>
          </cell>
          <cell r="BR101" t="e">
            <v>#VALUE!</v>
          </cell>
          <cell r="BS101" t="e">
            <v>#VALUE!</v>
          </cell>
          <cell r="BT101" t="e">
            <v>#VALUE!</v>
          </cell>
          <cell r="BU101" t="e">
            <v>#VALUE!</v>
          </cell>
          <cell r="BV101" t="e">
            <v>#VALUE!</v>
          </cell>
          <cell r="BW101" t="e">
            <v>#VALUE!</v>
          </cell>
          <cell r="BX101" t="e">
            <v>#VALUE!</v>
          </cell>
          <cell r="BY101" t="e">
            <v>#VALUE!</v>
          </cell>
          <cell r="BZ101" t="e">
            <v>#VALUE!</v>
          </cell>
          <cell r="CA101" t="e">
            <v>#VALUE!</v>
          </cell>
          <cell r="CB101" t="e">
            <v>#VALUE!</v>
          </cell>
          <cell r="CC101" t="e">
            <v>#VALUE!</v>
          </cell>
          <cell r="CD101" t="e">
            <v>#VALUE!</v>
          </cell>
          <cell r="CE101" t="e">
            <v>#VALUE!</v>
          </cell>
          <cell r="CF101" t="e">
            <v>#VALUE!</v>
          </cell>
          <cell r="CG101" t="e">
            <v>#VALUE!</v>
          </cell>
          <cell r="CH101" t="e">
            <v>#VALUE!</v>
          </cell>
          <cell r="CI101" t="e">
            <v>#VALUE!</v>
          </cell>
          <cell r="CJ101" t="e">
            <v>#VALUE!</v>
          </cell>
          <cell r="CK101" t="e">
            <v>#VALUE!</v>
          </cell>
          <cell r="CL101" t="e">
            <v>#VALUE!</v>
          </cell>
          <cell r="CM101" t="e">
            <v>#VALUE!</v>
          </cell>
          <cell r="CN101" t="e">
            <v>#VALUE!</v>
          </cell>
          <cell r="CO101" t="e">
            <v>#VALUE!</v>
          </cell>
          <cell r="CP101" t="e">
            <v>#VALUE!</v>
          </cell>
          <cell r="CQ101" t="e">
            <v>#VALUE!</v>
          </cell>
          <cell r="CR101" t="e">
            <v>#VALUE!</v>
          </cell>
          <cell r="CS101" t="e">
            <v>#VALUE!</v>
          </cell>
          <cell r="CT101" t="e">
            <v>#VALUE!</v>
          </cell>
          <cell r="CU101" t="e">
            <v>#VALUE!</v>
          </cell>
          <cell r="CV101" t="e">
            <v>#VALUE!</v>
          </cell>
          <cell r="CW101" t="e">
            <v>#VALUE!</v>
          </cell>
          <cell r="CX101" t="e">
            <v>#VALUE!</v>
          </cell>
          <cell r="CY101" t="e">
            <v>#VALUE!</v>
          </cell>
          <cell r="CZ101" t="e">
            <v>#VALUE!</v>
          </cell>
          <cell r="DA101" t="e">
            <v>#VALUE!</v>
          </cell>
          <cell r="DB101" t="e">
            <v>#VALUE!</v>
          </cell>
          <cell r="DC101" t="e">
            <v>#VALUE!</v>
          </cell>
          <cell r="DD101" t="e">
            <v>#VALUE!</v>
          </cell>
          <cell r="DE101" t="e">
            <v>#VALUE!</v>
          </cell>
          <cell r="DF101" t="e">
            <v>#VALUE!</v>
          </cell>
          <cell r="DG101" t="e">
            <v>#VALUE!</v>
          </cell>
          <cell r="DH101" t="e">
            <v>#VALUE!</v>
          </cell>
          <cell r="DI101" t="e">
            <v>#VALUE!</v>
          </cell>
          <cell r="DJ101" t="e">
            <v>#VALUE!</v>
          </cell>
          <cell r="DK101" t="e">
            <v>#VALUE!</v>
          </cell>
          <cell r="DL101" t="e">
            <v>#VALUE!</v>
          </cell>
          <cell r="DM101" t="e">
            <v>#VALUE!</v>
          </cell>
        </row>
        <row r="102">
          <cell r="C102" t="str">
            <v>F7.1-2.E</v>
          </cell>
          <cell r="D102" t="str">
            <v>Vertikale Baukonstruktionen</v>
          </cell>
          <cell r="O102">
            <v>0</v>
          </cell>
          <cell r="P102" t="str">
            <v>€</v>
          </cell>
        </row>
        <row r="103">
          <cell r="C103" t="str">
            <v>F7.1-2.E.01</v>
          </cell>
          <cell r="D103" t="str">
            <v>Aussenwandkonstruktionen</v>
          </cell>
          <cell r="O103">
            <v>0</v>
          </cell>
          <cell r="P103" t="str">
            <v>€</v>
          </cell>
        </row>
        <row r="104">
          <cell r="C104" t="str">
            <v>F7.1-2.E.01.a</v>
          </cell>
          <cell r="D104" t="str">
            <v>Aussenwandkonstruktion 1</v>
          </cell>
          <cell r="E104" t="str">
            <v>E2.E.01.a</v>
          </cell>
          <cell r="F104" t="str">
            <v>E2.E.01.a *GIF/100* PFAKT</v>
          </cell>
          <cell r="G104">
            <v>0</v>
          </cell>
          <cell r="H104">
            <v>0</v>
          </cell>
          <cell r="J104" t="str">
            <v>€/Instandsetzung</v>
          </cell>
          <cell r="K104">
            <v>100</v>
          </cell>
          <cell r="L104" t="str">
            <v>PBAU</v>
          </cell>
          <cell r="M104">
            <v>3.3</v>
          </cell>
          <cell r="N104">
            <v>1.0177339901477833</v>
          </cell>
          <cell r="O104">
            <v>0</v>
          </cell>
          <cell r="P104" t="str">
            <v>€</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t="e">
            <v>#VALUE!</v>
          </cell>
          <cell r="BC104" t="e">
            <v>#VALUE!</v>
          </cell>
          <cell r="BD104" t="e">
            <v>#VALUE!</v>
          </cell>
          <cell r="BE104" t="e">
            <v>#VALUE!</v>
          </cell>
          <cell r="BF104" t="e">
            <v>#VALUE!</v>
          </cell>
          <cell r="BG104" t="e">
            <v>#VALUE!</v>
          </cell>
          <cell r="BH104" t="e">
            <v>#VALUE!</v>
          </cell>
          <cell r="BI104" t="e">
            <v>#VALUE!</v>
          </cell>
          <cell r="BJ104" t="e">
            <v>#VALUE!</v>
          </cell>
          <cell r="BK104" t="e">
            <v>#VALUE!</v>
          </cell>
          <cell r="BL104" t="e">
            <v>#VALUE!</v>
          </cell>
          <cell r="BM104" t="e">
            <v>#VALUE!</v>
          </cell>
          <cell r="BN104" t="e">
            <v>#VALUE!</v>
          </cell>
          <cell r="BO104" t="e">
            <v>#VALUE!</v>
          </cell>
          <cell r="BP104" t="e">
            <v>#VALUE!</v>
          </cell>
          <cell r="BQ104" t="e">
            <v>#VALUE!</v>
          </cell>
          <cell r="BR104" t="e">
            <v>#VALUE!</v>
          </cell>
          <cell r="BS104" t="e">
            <v>#VALUE!</v>
          </cell>
          <cell r="BT104" t="e">
            <v>#VALUE!</v>
          </cell>
          <cell r="BU104" t="e">
            <v>#VALUE!</v>
          </cell>
          <cell r="BV104" t="e">
            <v>#VALUE!</v>
          </cell>
          <cell r="BW104" t="e">
            <v>#VALUE!</v>
          </cell>
          <cell r="BX104" t="e">
            <v>#VALUE!</v>
          </cell>
          <cell r="BY104" t="e">
            <v>#VALUE!</v>
          </cell>
          <cell r="BZ104" t="e">
            <v>#VALUE!</v>
          </cell>
          <cell r="CA104" t="e">
            <v>#VALUE!</v>
          </cell>
          <cell r="CB104" t="e">
            <v>#VALUE!</v>
          </cell>
          <cell r="CC104" t="e">
            <v>#VALUE!</v>
          </cell>
          <cell r="CD104" t="e">
            <v>#VALUE!</v>
          </cell>
          <cell r="CE104" t="e">
            <v>#VALUE!</v>
          </cell>
          <cell r="CF104" t="e">
            <v>#VALUE!</v>
          </cell>
          <cell r="CG104" t="e">
            <v>#VALUE!</v>
          </cell>
          <cell r="CH104" t="e">
            <v>#VALUE!</v>
          </cell>
          <cell r="CI104" t="e">
            <v>#VALUE!</v>
          </cell>
          <cell r="CJ104" t="e">
            <v>#VALUE!</v>
          </cell>
          <cell r="CK104" t="e">
            <v>#VALUE!</v>
          </cell>
          <cell r="CL104" t="e">
            <v>#VALUE!</v>
          </cell>
          <cell r="CM104" t="e">
            <v>#VALUE!</v>
          </cell>
          <cell r="CN104" t="e">
            <v>#VALUE!</v>
          </cell>
          <cell r="CO104" t="e">
            <v>#VALUE!</v>
          </cell>
          <cell r="CP104" t="e">
            <v>#VALUE!</v>
          </cell>
          <cell r="CQ104" t="e">
            <v>#VALUE!</v>
          </cell>
          <cell r="CR104" t="e">
            <v>#VALUE!</v>
          </cell>
          <cell r="CS104" t="e">
            <v>#VALUE!</v>
          </cell>
          <cell r="CT104" t="e">
            <v>#VALUE!</v>
          </cell>
          <cell r="CU104" t="e">
            <v>#VALUE!</v>
          </cell>
          <cell r="CV104" t="e">
            <v>#VALUE!</v>
          </cell>
          <cell r="CW104" t="e">
            <v>#VALUE!</v>
          </cell>
          <cell r="CX104" t="e">
            <v>#VALUE!</v>
          </cell>
          <cell r="CY104" t="e">
            <v>#VALUE!</v>
          </cell>
          <cell r="CZ104" t="e">
            <v>#VALUE!</v>
          </cell>
          <cell r="DA104" t="e">
            <v>#VALUE!</v>
          </cell>
          <cell r="DB104" t="e">
            <v>#VALUE!</v>
          </cell>
          <cell r="DC104" t="e">
            <v>#VALUE!</v>
          </cell>
          <cell r="DD104" t="e">
            <v>#VALUE!</v>
          </cell>
          <cell r="DE104" t="e">
            <v>#VALUE!</v>
          </cell>
          <cell r="DF104" t="e">
            <v>#VALUE!</v>
          </cell>
          <cell r="DG104" t="e">
            <v>#VALUE!</v>
          </cell>
          <cell r="DH104" t="e">
            <v>#VALUE!</v>
          </cell>
          <cell r="DI104" t="e">
            <v>#VALUE!</v>
          </cell>
          <cell r="DJ104" t="e">
            <v>#VALUE!</v>
          </cell>
          <cell r="DK104" t="e">
            <v>#VALUE!</v>
          </cell>
          <cell r="DL104" t="e">
            <v>#VALUE!</v>
          </cell>
          <cell r="DM104" t="e">
            <v>#VALUE!</v>
          </cell>
        </row>
        <row r="105">
          <cell r="C105" t="str">
            <v>F7.1-2.E.01.b</v>
          </cell>
          <cell r="D105" t="str">
            <v>Aussenwandkonstruktion 2</v>
          </cell>
          <cell r="E105" t="str">
            <v>E2.E.01.b</v>
          </cell>
          <cell r="F105" t="str">
            <v>E2.E.01.b *GIF/100* PFAKT</v>
          </cell>
          <cell r="G105">
            <v>0</v>
          </cell>
          <cell r="H105">
            <v>0</v>
          </cell>
          <cell r="J105" t="str">
            <v>€/Instandsetzung</v>
          </cell>
          <cell r="K105">
            <v>1000</v>
          </cell>
          <cell r="L105" t="str">
            <v>PBAU</v>
          </cell>
          <cell r="M105">
            <v>3.3</v>
          </cell>
          <cell r="N105">
            <v>1.0177339901477833</v>
          </cell>
          <cell r="O105">
            <v>0</v>
          </cell>
          <cell r="P105" t="str">
            <v>€</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t="e">
            <v>#VALUE!</v>
          </cell>
          <cell r="BC105" t="e">
            <v>#VALUE!</v>
          </cell>
          <cell r="BD105" t="e">
            <v>#VALUE!</v>
          </cell>
          <cell r="BE105" t="e">
            <v>#VALUE!</v>
          </cell>
          <cell r="BF105" t="e">
            <v>#VALUE!</v>
          </cell>
          <cell r="BG105" t="e">
            <v>#VALUE!</v>
          </cell>
          <cell r="BH105" t="e">
            <v>#VALUE!</v>
          </cell>
          <cell r="BI105" t="e">
            <v>#VALUE!</v>
          </cell>
          <cell r="BJ105" t="e">
            <v>#VALUE!</v>
          </cell>
          <cell r="BK105" t="e">
            <v>#VALUE!</v>
          </cell>
          <cell r="BL105" t="e">
            <v>#VALUE!</v>
          </cell>
          <cell r="BM105" t="e">
            <v>#VALUE!</v>
          </cell>
          <cell r="BN105" t="e">
            <v>#VALUE!</v>
          </cell>
          <cell r="BO105" t="e">
            <v>#VALUE!</v>
          </cell>
          <cell r="BP105" t="e">
            <v>#VALUE!</v>
          </cell>
          <cell r="BQ105" t="e">
            <v>#VALUE!</v>
          </cell>
          <cell r="BR105" t="e">
            <v>#VALUE!</v>
          </cell>
          <cell r="BS105" t="e">
            <v>#VALUE!</v>
          </cell>
          <cell r="BT105" t="e">
            <v>#VALUE!</v>
          </cell>
          <cell r="BU105" t="e">
            <v>#VALUE!</v>
          </cell>
          <cell r="BV105" t="e">
            <v>#VALUE!</v>
          </cell>
          <cell r="BW105" t="e">
            <v>#VALUE!</v>
          </cell>
          <cell r="BX105" t="e">
            <v>#VALUE!</v>
          </cell>
          <cell r="BY105" t="e">
            <v>#VALUE!</v>
          </cell>
          <cell r="BZ105" t="e">
            <v>#VALUE!</v>
          </cell>
          <cell r="CA105" t="e">
            <v>#VALUE!</v>
          </cell>
          <cell r="CB105" t="e">
            <v>#VALUE!</v>
          </cell>
          <cell r="CC105" t="e">
            <v>#VALUE!</v>
          </cell>
          <cell r="CD105" t="e">
            <v>#VALUE!</v>
          </cell>
          <cell r="CE105" t="e">
            <v>#VALUE!</v>
          </cell>
          <cell r="CF105" t="e">
            <v>#VALUE!</v>
          </cell>
          <cell r="CG105" t="e">
            <v>#VALUE!</v>
          </cell>
          <cell r="CH105" t="e">
            <v>#VALUE!</v>
          </cell>
          <cell r="CI105" t="e">
            <v>#VALUE!</v>
          </cell>
          <cell r="CJ105" t="e">
            <v>#VALUE!</v>
          </cell>
          <cell r="CK105" t="e">
            <v>#VALUE!</v>
          </cell>
          <cell r="CL105" t="e">
            <v>#VALUE!</v>
          </cell>
          <cell r="CM105" t="e">
            <v>#VALUE!</v>
          </cell>
          <cell r="CN105" t="e">
            <v>#VALUE!</v>
          </cell>
          <cell r="CO105" t="e">
            <v>#VALUE!</v>
          </cell>
          <cell r="CP105" t="e">
            <v>#VALUE!</v>
          </cell>
          <cell r="CQ105" t="e">
            <v>#VALUE!</v>
          </cell>
          <cell r="CR105" t="e">
            <v>#VALUE!</v>
          </cell>
          <cell r="CS105" t="e">
            <v>#VALUE!</v>
          </cell>
          <cell r="CT105" t="e">
            <v>#VALUE!</v>
          </cell>
          <cell r="CU105" t="e">
            <v>#VALUE!</v>
          </cell>
          <cell r="CV105" t="e">
            <v>#VALUE!</v>
          </cell>
          <cell r="CW105" t="e">
            <v>#VALUE!</v>
          </cell>
          <cell r="CX105" t="e">
            <v>#VALUE!</v>
          </cell>
          <cell r="CY105" t="e">
            <v>#VALUE!</v>
          </cell>
          <cell r="CZ105" t="e">
            <v>#VALUE!</v>
          </cell>
          <cell r="DA105" t="e">
            <v>#VALUE!</v>
          </cell>
          <cell r="DB105" t="e">
            <v>#VALUE!</v>
          </cell>
          <cell r="DC105" t="e">
            <v>#VALUE!</v>
          </cell>
          <cell r="DD105" t="e">
            <v>#VALUE!</v>
          </cell>
          <cell r="DE105" t="e">
            <v>#VALUE!</v>
          </cell>
          <cell r="DF105" t="e">
            <v>#VALUE!</v>
          </cell>
          <cell r="DG105" t="e">
            <v>#VALUE!</v>
          </cell>
          <cell r="DH105" t="e">
            <v>#VALUE!</v>
          </cell>
          <cell r="DI105" t="e">
            <v>#VALUE!</v>
          </cell>
          <cell r="DJ105" t="e">
            <v>#VALUE!</v>
          </cell>
          <cell r="DK105" t="e">
            <v>#VALUE!</v>
          </cell>
          <cell r="DL105" t="e">
            <v>#VALUE!</v>
          </cell>
          <cell r="DM105" t="e">
            <v>#VALUE!</v>
          </cell>
        </row>
        <row r="106">
          <cell r="C106" t="str">
            <v>F7.1-2.E.01.d</v>
          </cell>
          <cell r="D106" t="str">
            <v>Aussenwandkonstruktionen Holzleichtbau</v>
          </cell>
          <cell r="E106" t="str">
            <v>E2.E.01.d</v>
          </cell>
          <cell r="F106" t="str">
            <v>E2.E.01.d *GIF/100* PFAKT</v>
          </cell>
          <cell r="G106">
            <v>0</v>
          </cell>
          <cell r="H106">
            <v>0</v>
          </cell>
          <cell r="J106" t="str">
            <v>€/Instandsetzung</v>
          </cell>
          <cell r="K106">
            <v>50</v>
          </cell>
          <cell r="L106" t="str">
            <v>PBAU</v>
          </cell>
          <cell r="M106">
            <v>3.3</v>
          </cell>
          <cell r="N106">
            <v>1.0177339901477833</v>
          </cell>
          <cell r="O106">
            <v>0</v>
          </cell>
          <cell r="P106" t="str">
            <v>€</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t="e">
            <v>#VALUE!</v>
          </cell>
          <cell r="BC106" t="e">
            <v>#VALUE!</v>
          </cell>
          <cell r="BD106" t="e">
            <v>#VALUE!</v>
          </cell>
          <cell r="BE106" t="e">
            <v>#VALUE!</v>
          </cell>
          <cell r="BF106" t="e">
            <v>#VALUE!</v>
          </cell>
          <cell r="BG106" t="e">
            <v>#VALUE!</v>
          </cell>
          <cell r="BH106" t="e">
            <v>#VALUE!</v>
          </cell>
          <cell r="BI106" t="e">
            <v>#VALUE!</v>
          </cell>
          <cell r="BJ106" t="e">
            <v>#VALUE!</v>
          </cell>
          <cell r="BK106" t="e">
            <v>#VALUE!</v>
          </cell>
          <cell r="BL106" t="e">
            <v>#VALUE!</v>
          </cell>
          <cell r="BM106" t="e">
            <v>#VALUE!</v>
          </cell>
          <cell r="BN106" t="e">
            <v>#VALUE!</v>
          </cell>
          <cell r="BO106" t="e">
            <v>#VALUE!</v>
          </cell>
          <cell r="BP106" t="e">
            <v>#VALUE!</v>
          </cell>
          <cell r="BQ106" t="e">
            <v>#VALUE!</v>
          </cell>
          <cell r="BR106" t="e">
            <v>#VALUE!</v>
          </cell>
          <cell r="BS106" t="e">
            <v>#VALUE!</v>
          </cell>
          <cell r="BT106" t="e">
            <v>#VALUE!</v>
          </cell>
          <cell r="BU106" t="e">
            <v>#VALUE!</v>
          </cell>
          <cell r="BV106" t="e">
            <v>#VALUE!</v>
          </cell>
          <cell r="BW106" t="e">
            <v>#VALUE!</v>
          </cell>
          <cell r="BX106" t="e">
            <v>#VALUE!</v>
          </cell>
          <cell r="BY106" t="e">
            <v>#VALUE!</v>
          </cell>
          <cell r="BZ106" t="e">
            <v>#VALUE!</v>
          </cell>
          <cell r="CA106" t="e">
            <v>#VALUE!</v>
          </cell>
          <cell r="CB106" t="e">
            <v>#VALUE!</v>
          </cell>
          <cell r="CC106" t="e">
            <v>#VALUE!</v>
          </cell>
          <cell r="CD106" t="e">
            <v>#VALUE!</v>
          </cell>
          <cell r="CE106" t="e">
            <v>#VALUE!</v>
          </cell>
          <cell r="CF106" t="e">
            <v>#VALUE!</v>
          </cell>
          <cell r="CG106" t="e">
            <v>#VALUE!</v>
          </cell>
          <cell r="CH106" t="e">
            <v>#VALUE!</v>
          </cell>
          <cell r="CI106" t="e">
            <v>#VALUE!</v>
          </cell>
          <cell r="CJ106" t="e">
            <v>#VALUE!</v>
          </cell>
          <cell r="CK106" t="e">
            <v>#VALUE!</v>
          </cell>
          <cell r="CL106" t="e">
            <v>#VALUE!</v>
          </cell>
          <cell r="CM106" t="e">
            <v>#VALUE!</v>
          </cell>
          <cell r="CN106" t="e">
            <v>#VALUE!</v>
          </cell>
          <cell r="CO106" t="e">
            <v>#VALUE!</v>
          </cell>
          <cell r="CP106" t="e">
            <v>#VALUE!</v>
          </cell>
          <cell r="CQ106" t="e">
            <v>#VALUE!</v>
          </cell>
          <cell r="CR106" t="e">
            <v>#VALUE!</v>
          </cell>
          <cell r="CS106" t="e">
            <v>#VALUE!</v>
          </cell>
          <cell r="CT106" t="e">
            <v>#VALUE!</v>
          </cell>
          <cell r="CU106" t="e">
            <v>#VALUE!</v>
          </cell>
          <cell r="CV106" t="e">
            <v>#VALUE!</v>
          </cell>
          <cell r="CW106" t="e">
            <v>#VALUE!</v>
          </cell>
          <cell r="CX106" t="e">
            <v>#VALUE!</v>
          </cell>
          <cell r="CY106" t="e">
            <v>#VALUE!</v>
          </cell>
          <cell r="CZ106" t="e">
            <v>#VALUE!</v>
          </cell>
          <cell r="DA106" t="e">
            <v>#VALUE!</v>
          </cell>
          <cell r="DB106" t="e">
            <v>#VALUE!</v>
          </cell>
          <cell r="DC106" t="e">
            <v>#VALUE!</v>
          </cell>
          <cell r="DD106" t="e">
            <v>#VALUE!</v>
          </cell>
          <cell r="DE106" t="e">
            <v>#VALUE!</v>
          </cell>
          <cell r="DF106" t="e">
            <v>#VALUE!</v>
          </cell>
          <cell r="DG106" t="e">
            <v>#VALUE!</v>
          </cell>
          <cell r="DH106" t="e">
            <v>#VALUE!</v>
          </cell>
          <cell r="DI106" t="e">
            <v>#VALUE!</v>
          </cell>
          <cell r="DJ106" t="e">
            <v>#VALUE!</v>
          </cell>
          <cell r="DK106" t="e">
            <v>#VALUE!</v>
          </cell>
          <cell r="DL106" t="e">
            <v>#VALUE!</v>
          </cell>
          <cell r="DM106" t="e">
            <v>#VALUE!</v>
          </cell>
        </row>
        <row r="107">
          <cell r="C107" t="str">
            <v>F7.1-2.E.01.f</v>
          </cell>
          <cell r="D107" t="str">
            <v>Erdberührte Außenwände</v>
          </cell>
          <cell r="E107" t="str">
            <v>E2.E.01.f</v>
          </cell>
          <cell r="F107" t="str">
            <v>E2.E.01.f *GIF/100* PFAKT</v>
          </cell>
          <cell r="G107">
            <v>0</v>
          </cell>
          <cell r="H107">
            <v>0</v>
          </cell>
          <cell r="J107" t="str">
            <v>€/Instandsetzung</v>
          </cell>
          <cell r="K107">
            <v>1000</v>
          </cell>
          <cell r="L107" t="str">
            <v>PBAU</v>
          </cell>
          <cell r="M107">
            <v>3.3</v>
          </cell>
          <cell r="N107">
            <v>1.0177339901477833</v>
          </cell>
          <cell r="O107">
            <v>0</v>
          </cell>
          <cell r="P107" t="str">
            <v>€</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t="e">
            <v>#VALUE!</v>
          </cell>
          <cell r="BC107" t="e">
            <v>#VALUE!</v>
          </cell>
          <cell r="BD107" t="e">
            <v>#VALUE!</v>
          </cell>
          <cell r="BE107" t="e">
            <v>#VALUE!</v>
          </cell>
          <cell r="BF107" t="e">
            <v>#VALUE!</v>
          </cell>
          <cell r="BG107" t="e">
            <v>#VALUE!</v>
          </cell>
          <cell r="BH107" t="e">
            <v>#VALUE!</v>
          </cell>
          <cell r="BI107" t="e">
            <v>#VALUE!</v>
          </cell>
          <cell r="BJ107" t="e">
            <v>#VALUE!</v>
          </cell>
          <cell r="BK107" t="e">
            <v>#VALUE!</v>
          </cell>
          <cell r="BL107" t="e">
            <v>#VALUE!</v>
          </cell>
          <cell r="BM107" t="e">
            <v>#VALUE!</v>
          </cell>
          <cell r="BN107" t="e">
            <v>#VALUE!</v>
          </cell>
          <cell r="BO107" t="e">
            <v>#VALUE!</v>
          </cell>
          <cell r="BP107" t="e">
            <v>#VALUE!</v>
          </cell>
          <cell r="BQ107" t="e">
            <v>#VALUE!</v>
          </cell>
          <cell r="BR107" t="e">
            <v>#VALUE!</v>
          </cell>
          <cell r="BS107" t="e">
            <v>#VALUE!</v>
          </cell>
          <cell r="BT107" t="e">
            <v>#VALUE!</v>
          </cell>
          <cell r="BU107" t="e">
            <v>#VALUE!</v>
          </cell>
          <cell r="BV107" t="e">
            <v>#VALUE!</v>
          </cell>
          <cell r="BW107" t="e">
            <v>#VALUE!</v>
          </cell>
          <cell r="BX107" t="e">
            <v>#VALUE!</v>
          </cell>
          <cell r="BY107" t="e">
            <v>#VALUE!</v>
          </cell>
          <cell r="BZ107" t="e">
            <v>#VALUE!</v>
          </cell>
          <cell r="CA107" t="e">
            <v>#VALUE!</v>
          </cell>
          <cell r="CB107" t="e">
            <v>#VALUE!</v>
          </cell>
          <cell r="CC107" t="e">
            <v>#VALUE!</v>
          </cell>
          <cell r="CD107" t="e">
            <v>#VALUE!</v>
          </cell>
          <cell r="CE107" t="e">
            <v>#VALUE!</v>
          </cell>
          <cell r="CF107" t="e">
            <v>#VALUE!</v>
          </cell>
          <cell r="CG107" t="e">
            <v>#VALUE!</v>
          </cell>
          <cell r="CH107" t="e">
            <v>#VALUE!</v>
          </cell>
          <cell r="CI107" t="e">
            <v>#VALUE!</v>
          </cell>
          <cell r="CJ107" t="e">
            <v>#VALUE!</v>
          </cell>
          <cell r="CK107" t="e">
            <v>#VALUE!</v>
          </cell>
          <cell r="CL107" t="e">
            <v>#VALUE!</v>
          </cell>
          <cell r="CM107" t="e">
            <v>#VALUE!</v>
          </cell>
          <cell r="CN107" t="e">
            <v>#VALUE!</v>
          </cell>
          <cell r="CO107" t="e">
            <v>#VALUE!</v>
          </cell>
          <cell r="CP107" t="e">
            <v>#VALUE!</v>
          </cell>
          <cell r="CQ107" t="e">
            <v>#VALUE!</v>
          </cell>
          <cell r="CR107" t="e">
            <v>#VALUE!</v>
          </cell>
          <cell r="CS107" t="e">
            <v>#VALUE!</v>
          </cell>
          <cell r="CT107" t="e">
            <v>#VALUE!</v>
          </cell>
          <cell r="CU107" t="e">
            <v>#VALUE!</v>
          </cell>
          <cell r="CV107" t="e">
            <v>#VALUE!</v>
          </cell>
          <cell r="CW107" t="e">
            <v>#VALUE!</v>
          </cell>
          <cell r="CX107" t="e">
            <v>#VALUE!</v>
          </cell>
          <cell r="CY107" t="e">
            <v>#VALUE!</v>
          </cell>
          <cell r="CZ107" t="e">
            <v>#VALUE!</v>
          </cell>
          <cell r="DA107" t="e">
            <v>#VALUE!</v>
          </cell>
          <cell r="DB107" t="e">
            <v>#VALUE!</v>
          </cell>
          <cell r="DC107" t="e">
            <v>#VALUE!</v>
          </cell>
          <cell r="DD107" t="e">
            <v>#VALUE!</v>
          </cell>
          <cell r="DE107" t="e">
            <v>#VALUE!</v>
          </cell>
          <cell r="DF107" t="e">
            <v>#VALUE!</v>
          </cell>
          <cell r="DG107" t="e">
            <v>#VALUE!</v>
          </cell>
          <cell r="DH107" t="e">
            <v>#VALUE!</v>
          </cell>
          <cell r="DI107" t="e">
            <v>#VALUE!</v>
          </cell>
          <cell r="DJ107" t="e">
            <v>#VALUE!</v>
          </cell>
          <cell r="DK107" t="e">
            <v>#VALUE!</v>
          </cell>
          <cell r="DL107" t="e">
            <v>#VALUE!</v>
          </cell>
          <cell r="DM107" t="e">
            <v>#VALUE!</v>
          </cell>
        </row>
        <row r="108">
          <cell r="C108" t="str">
            <v>F7.1-2.E.02</v>
          </cell>
          <cell r="D108" t="str">
            <v>Innenwandkonstruktionen</v>
          </cell>
          <cell r="E108" t="str">
            <v>E2.E.02</v>
          </cell>
          <cell r="F108" t="str">
            <v>E2.E.02 *GIF/100* PFAKT</v>
          </cell>
          <cell r="G108">
            <v>0</v>
          </cell>
          <cell r="H108">
            <v>0</v>
          </cell>
          <cell r="J108" t="str">
            <v>€/Instandsetzung</v>
          </cell>
          <cell r="K108">
            <v>1000</v>
          </cell>
          <cell r="L108" t="str">
            <v>PBAU</v>
          </cell>
          <cell r="M108">
            <v>3.3</v>
          </cell>
          <cell r="N108">
            <v>1.0177339901477833</v>
          </cell>
          <cell r="O108">
            <v>0</v>
          </cell>
          <cell r="P108" t="str">
            <v>€</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t="e">
            <v>#VALUE!</v>
          </cell>
          <cell r="BC108" t="e">
            <v>#VALUE!</v>
          </cell>
          <cell r="BD108" t="e">
            <v>#VALUE!</v>
          </cell>
          <cell r="BE108" t="e">
            <v>#VALUE!</v>
          </cell>
          <cell r="BF108" t="e">
            <v>#VALUE!</v>
          </cell>
          <cell r="BG108" t="e">
            <v>#VALUE!</v>
          </cell>
          <cell r="BH108" t="e">
            <v>#VALUE!</v>
          </cell>
          <cell r="BI108" t="e">
            <v>#VALUE!</v>
          </cell>
          <cell r="BJ108" t="e">
            <v>#VALUE!</v>
          </cell>
          <cell r="BK108" t="e">
            <v>#VALUE!</v>
          </cell>
          <cell r="BL108" t="e">
            <v>#VALUE!</v>
          </cell>
          <cell r="BM108" t="e">
            <v>#VALUE!</v>
          </cell>
          <cell r="BN108" t="e">
            <v>#VALUE!</v>
          </cell>
          <cell r="BO108" t="e">
            <v>#VALUE!</v>
          </cell>
          <cell r="BP108" t="e">
            <v>#VALUE!</v>
          </cell>
          <cell r="BQ108" t="e">
            <v>#VALUE!</v>
          </cell>
          <cell r="BR108" t="e">
            <v>#VALUE!</v>
          </cell>
          <cell r="BS108" t="e">
            <v>#VALUE!</v>
          </cell>
          <cell r="BT108" t="e">
            <v>#VALUE!</v>
          </cell>
          <cell r="BU108" t="e">
            <v>#VALUE!</v>
          </cell>
          <cell r="BV108" t="e">
            <v>#VALUE!</v>
          </cell>
          <cell r="BW108" t="e">
            <v>#VALUE!</v>
          </cell>
          <cell r="BX108" t="e">
            <v>#VALUE!</v>
          </cell>
          <cell r="BY108" t="e">
            <v>#VALUE!</v>
          </cell>
          <cell r="BZ108" t="e">
            <v>#VALUE!</v>
          </cell>
          <cell r="CA108" t="e">
            <v>#VALUE!</v>
          </cell>
          <cell r="CB108" t="e">
            <v>#VALUE!</v>
          </cell>
          <cell r="CC108" t="e">
            <v>#VALUE!</v>
          </cell>
          <cell r="CD108" t="e">
            <v>#VALUE!</v>
          </cell>
          <cell r="CE108" t="e">
            <v>#VALUE!</v>
          </cell>
          <cell r="CF108" t="e">
            <v>#VALUE!</v>
          </cell>
          <cell r="CG108" t="e">
            <v>#VALUE!</v>
          </cell>
          <cell r="CH108" t="e">
            <v>#VALUE!</v>
          </cell>
          <cell r="CI108" t="e">
            <v>#VALUE!</v>
          </cell>
          <cell r="CJ108" t="e">
            <v>#VALUE!</v>
          </cell>
          <cell r="CK108" t="e">
            <v>#VALUE!</v>
          </cell>
          <cell r="CL108" t="e">
            <v>#VALUE!</v>
          </cell>
          <cell r="CM108" t="e">
            <v>#VALUE!</v>
          </cell>
          <cell r="CN108" t="e">
            <v>#VALUE!</v>
          </cell>
          <cell r="CO108" t="e">
            <v>#VALUE!</v>
          </cell>
          <cell r="CP108" t="e">
            <v>#VALUE!</v>
          </cell>
          <cell r="CQ108" t="e">
            <v>#VALUE!</v>
          </cell>
          <cell r="CR108" t="e">
            <v>#VALUE!</v>
          </cell>
          <cell r="CS108" t="e">
            <v>#VALUE!</v>
          </cell>
          <cell r="CT108" t="e">
            <v>#VALUE!</v>
          </cell>
          <cell r="CU108" t="e">
            <v>#VALUE!</v>
          </cell>
          <cell r="CV108" t="e">
            <v>#VALUE!</v>
          </cell>
          <cell r="CW108" t="e">
            <v>#VALUE!</v>
          </cell>
          <cell r="CX108" t="e">
            <v>#VALUE!</v>
          </cell>
          <cell r="CY108" t="e">
            <v>#VALUE!</v>
          </cell>
          <cell r="CZ108" t="e">
            <v>#VALUE!</v>
          </cell>
          <cell r="DA108" t="e">
            <v>#VALUE!</v>
          </cell>
          <cell r="DB108" t="e">
            <v>#VALUE!</v>
          </cell>
          <cell r="DC108" t="e">
            <v>#VALUE!</v>
          </cell>
          <cell r="DD108" t="e">
            <v>#VALUE!</v>
          </cell>
          <cell r="DE108" t="e">
            <v>#VALUE!</v>
          </cell>
          <cell r="DF108" t="e">
            <v>#VALUE!</v>
          </cell>
          <cell r="DG108" t="e">
            <v>#VALUE!</v>
          </cell>
          <cell r="DH108" t="e">
            <v>#VALUE!</v>
          </cell>
          <cell r="DI108" t="e">
            <v>#VALUE!</v>
          </cell>
          <cell r="DJ108" t="e">
            <v>#VALUE!</v>
          </cell>
          <cell r="DK108" t="e">
            <v>#VALUE!</v>
          </cell>
          <cell r="DL108" t="e">
            <v>#VALUE!</v>
          </cell>
          <cell r="DM108" t="e">
            <v>#VALUE!</v>
          </cell>
        </row>
        <row r="109">
          <cell r="C109" t="str">
            <v>F7.1-2.E.03</v>
          </cell>
          <cell r="D109" t="str">
            <v>Stützenkonstruktionen</v>
          </cell>
          <cell r="E109" t="str">
            <v>E2.E.03</v>
          </cell>
          <cell r="F109" t="str">
            <v>E2.E.03 *GIF/100* PFAKT</v>
          </cell>
          <cell r="G109">
            <v>0</v>
          </cell>
          <cell r="H109">
            <v>0</v>
          </cell>
          <cell r="J109" t="str">
            <v>€/Instandsetzung</v>
          </cell>
          <cell r="K109">
            <v>1000</v>
          </cell>
          <cell r="L109" t="str">
            <v>PBAU</v>
          </cell>
          <cell r="M109">
            <v>3.3</v>
          </cell>
          <cell r="N109">
            <v>1.0177339901477833</v>
          </cell>
          <cell r="O109">
            <v>0</v>
          </cell>
          <cell r="P109" t="str">
            <v>€</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t="e">
            <v>#VALUE!</v>
          </cell>
          <cell r="BC109" t="e">
            <v>#VALUE!</v>
          </cell>
          <cell r="BD109" t="e">
            <v>#VALUE!</v>
          </cell>
          <cell r="BE109" t="e">
            <v>#VALUE!</v>
          </cell>
          <cell r="BF109" t="e">
            <v>#VALUE!</v>
          </cell>
          <cell r="BG109" t="e">
            <v>#VALUE!</v>
          </cell>
          <cell r="BH109" t="e">
            <v>#VALUE!</v>
          </cell>
          <cell r="BI109" t="e">
            <v>#VALUE!</v>
          </cell>
          <cell r="BJ109" t="e">
            <v>#VALUE!</v>
          </cell>
          <cell r="BK109" t="e">
            <v>#VALUE!</v>
          </cell>
          <cell r="BL109" t="e">
            <v>#VALUE!</v>
          </cell>
          <cell r="BM109" t="e">
            <v>#VALUE!</v>
          </cell>
          <cell r="BN109" t="e">
            <v>#VALUE!</v>
          </cell>
          <cell r="BO109" t="e">
            <v>#VALUE!</v>
          </cell>
          <cell r="BP109" t="e">
            <v>#VALUE!</v>
          </cell>
          <cell r="BQ109" t="e">
            <v>#VALUE!</v>
          </cell>
          <cell r="BR109" t="e">
            <v>#VALUE!</v>
          </cell>
          <cell r="BS109" t="e">
            <v>#VALUE!</v>
          </cell>
          <cell r="BT109" t="e">
            <v>#VALUE!</v>
          </cell>
          <cell r="BU109" t="e">
            <v>#VALUE!</v>
          </cell>
          <cell r="BV109" t="e">
            <v>#VALUE!</v>
          </cell>
          <cell r="BW109" t="e">
            <v>#VALUE!</v>
          </cell>
          <cell r="BX109" t="e">
            <v>#VALUE!</v>
          </cell>
          <cell r="BY109" t="e">
            <v>#VALUE!</v>
          </cell>
          <cell r="BZ109" t="e">
            <v>#VALUE!</v>
          </cell>
          <cell r="CA109" t="e">
            <v>#VALUE!</v>
          </cell>
          <cell r="CB109" t="e">
            <v>#VALUE!</v>
          </cell>
          <cell r="CC109" t="e">
            <v>#VALUE!</v>
          </cell>
          <cell r="CD109" t="e">
            <v>#VALUE!</v>
          </cell>
          <cell r="CE109" t="e">
            <v>#VALUE!</v>
          </cell>
          <cell r="CF109" t="e">
            <v>#VALUE!</v>
          </cell>
          <cell r="CG109" t="e">
            <v>#VALUE!</v>
          </cell>
          <cell r="CH109" t="e">
            <v>#VALUE!</v>
          </cell>
          <cell r="CI109" t="e">
            <v>#VALUE!</v>
          </cell>
          <cell r="CJ109" t="e">
            <v>#VALUE!</v>
          </cell>
          <cell r="CK109" t="e">
            <v>#VALUE!</v>
          </cell>
          <cell r="CL109" t="e">
            <v>#VALUE!</v>
          </cell>
          <cell r="CM109" t="e">
            <v>#VALUE!</v>
          </cell>
          <cell r="CN109" t="e">
            <v>#VALUE!</v>
          </cell>
          <cell r="CO109" t="e">
            <v>#VALUE!</v>
          </cell>
          <cell r="CP109" t="e">
            <v>#VALUE!</v>
          </cell>
          <cell r="CQ109" t="e">
            <v>#VALUE!</v>
          </cell>
          <cell r="CR109" t="e">
            <v>#VALUE!</v>
          </cell>
          <cell r="CS109" t="e">
            <v>#VALUE!</v>
          </cell>
          <cell r="CT109" t="e">
            <v>#VALUE!</v>
          </cell>
          <cell r="CU109" t="e">
            <v>#VALUE!</v>
          </cell>
          <cell r="CV109" t="e">
            <v>#VALUE!</v>
          </cell>
          <cell r="CW109" t="e">
            <v>#VALUE!</v>
          </cell>
          <cell r="CX109" t="e">
            <v>#VALUE!</v>
          </cell>
          <cell r="CY109" t="e">
            <v>#VALUE!</v>
          </cell>
          <cell r="CZ109" t="e">
            <v>#VALUE!</v>
          </cell>
          <cell r="DA109" t="e">
            <v>#VALUE!</v>
          </cell>
          <cell r="DB109" t="e">
            <v>#VALUE!</v>
          </cell>
          <cell r="DC109" t="e">
            <v>#VALUE!</v>
          </cell>
          <cell r="DD109" t="e">
            <v>#VALUE!</v>
          </cell>
          <cell r="DE109" t="e">
            <v>#VALUE!</v>
          </cell>
          <cell r="DF109" t="e">
            <v>#VALUE!</v>
          </cell>
          <cell r="DG109" t="e">
            <v>#VALUE!</v>
          </cell>
          <cell r="DH109" t="e">
            <v>#VALUE!</v>
          </cell>
          <cell r="DI109" t="e">
            <v>#VALUE!</v>
          </cell>
          <cell r="DJ109" t="e">
            <v>#VALUE!</v>
          </cell>
          <cell r="DK109" t="e">
            <v>#VALUE!</v>
          </cell>
          <cell r="DL109" t="e">
            <v>#VALUE!</v>
          </cell>
          <cell r="DM109" t="e">
            <v>#VALUE!</v>
          </cell>
        </row>
        <row r="110">
          <cell r="C110" t="str">
            <v>F7.1-2.E.04</v>
          </cell>
          <cell r="D110" t="str">
            <v>Spezielle Konstruktionen</v>
          </cell>
          <cell r="E110" t="str">
            <v>E2.E.04</v>
          </cell>
          <cell r="F110" t="str">
            <v>E2.E.04 *GIF/100* PFAKT</v>
          </cell>
          <cell r="G110">
            <v>0</v>
          </cell>
          <cell r="H110">
            <v>0</v>
          </cell>
          <cell r="J110" t="str">
            <v>€/Instandsetzung</v>
          </cell>
          <cell r="K110">
            <v>50</v>
          </cell>
          <cell r="L110" t="str">
            <v>PBAU</v>
          </cell>
          <cell r="M110">
            <v>3.3</v>
          </cell>
          <cell r="N110">
            <v>1.0177339901477833</v>
          </cell>
          <cell r="O110">
            <v>0</v>
          </cell>
          <cell r="P110" t="str">
            <v>€</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t="e">
            <v>#VALUE!</v>
          </cell>
          <cell r="BC110" t="e">
            <v>#VALUE!</v>
          </cell>
          <cell r="BD110" t="e">
            <v>#VALUE!</v>
          </cell>
          <cell r="BE110" t="e">
            <v>#VALUE!</v>
          </cell>
          <cell r="BF110" t="e">
            <v>#VALUE!</v>
          </cell>
          <cell r="BG110" t="e">
            <v>#VALUE!</v>
          </cell>
          <cell r="BH110" t="e">
            <v>#VALUE!</v>
          </cell>
          <cell r="BI110" t="e">
            <v>#VALUE!</v>
          </cell>
          <cell r="BJ110" t="e">
            <v>#VALUE!</v>
          </cell>
          <cell r="BK110" t="e">
            <v>#VALUE!</v>
          </cell>
          <cell r="BL110" t="e">
            <v>#VALUE!</v>
          </cell>
          <cell r="BM110" t="e">
            <v>#VALUE!</v>
          </cell>
          <cell r="BN110" t="e">
            <v>#VALUE!</v>
          </cell>
          <cell r="BO110" t="e">
            <v>#VALUE!</v>
          </cell>
          <cell r="BP110" t="e">
            <v>#VALUE!</v>
          </cell>
          <cell r="BQ110" t="e">
            <v>#VALUE!</v>
          </cell>
          <cell r="BR110" t="e">
            <v>#VALUE!</v>
          </cell>
          <cell r="BS110" t="e">
            <v>#VALUE!</v>
          </cell>
          <cell r="BT110" t="e">
            <v>#VALUE!</v>
          </cell>
          <cell r="BU110" t="e">
            <v>#VALUE!</v>
          </cell>
          <cell r="BV110" t="e">
            <v>#VALUE!</v>
          </cell>
          <cell r="BW110" t="e">
            <v>#VALUE!</v>
          </cell>
          <cell r="BX110" t="e">
            <v>#VALUE!</v>
          </cell>
          <cell r="BY110" t="e">
            <v>#VALUE!</v>
          </cell>
          <cell r="BZ110" t="e">
            <v>#VALUE!</v>
          </cell>
          <cell r="CA110" t="e">
            <v>#VALUE!</v>
          </cell>
          <cell r="CB110" t="e">
            <v>#VALUE!</v>
          </cell>
          <cell r="CC110" t="e">
            <v>#VALUE!</v>
          </cell>
          <cell r="CD110" t="e">
            <v>#VALUE!</v>
          </cell>
          <cell r="CE110" t="e">
            <v>#VALUE!</v>
          </cell>
          <cell r="CF110" t="e">
            <v>#VALUE!</v>
          </cell>
          <cell r="CG110" t="e">
            <v>#VALUE!</v>
          </cell>
          <cell r="CH110" t="e">
            <v>#VALUE!</v>
          </cell>
          <cell r="CI110" t="e">
            <v>#VALUE!</v>
          </cell>
          <cell r="CJ110" t="e">
            <v>#VALUE!</v>
          </cell>
          <cell r="CK110" t="e">
            <v>#VALUE!</v>
          </cell>
          <cell r="CL110" t="e">
            <v>#VALUE!</v>
          </cell>
          <cell r="CM110" t="e">
            <v>#VALUE!</v>
          </cell>
          <cell r="CN110" t="e">
            <v>#VALUE!</v>
          </cell>
          <cell r="CO110" t="e">
            <v>#VALUE!</v>
          </cell>
          <cell r="CP110" t="e">
            <v>#VALUE!</v>
          </cell>
          <cell r="CQ110" t="e">
            <v>#VALUE!</v>
          </cell>
          <cell r="CR110" t="e">
            <v>#VALUE!</v>
          </cell>
          <cell r="CS110" t="e">
            <v>#VALUE!</v>
          </cell>
          <cell r="CT110" t="e">
            <v>#VALUE!</v>
          </cell>
          <cell r="CU110" t="e">
            <v>#VALUE!</v>
          </cell>
          <cell r="CV110" t="e">
            <v>#VALUE!</v>
          </cell>
          <cell r="CW110" t="e">
            <v>#VALUE!</v>
          </cell>
          <cell r="CX110" t="e">
            <v>#VALUE!</v>
          </cell>
          <cell r="CY110" t="e">
            <v>#VALUE!</v>
          </cell>
          <cell r="CZ110" t="e">
            <v>#VALUE!</v>
          </cell>
          <cell r="DA110" t="e">
            <v>#VALUE!</v>
          </cell>
          <cell r="DB110" t="e">
            <v>#VALUE!</v>
          </cell>
          <cell r="DC110" t="e">
            <v>#VALUE!</v>
          </cell>
          <cell r="DD110" t="e">
            <v>#VALUE!</v>
          </cell>
          <cell r="DE110" t="e">
            <v>#VALUE!</v>
          </cell>
          <cell r="DF110" t="e">
            <v>#VALUE!</v>
          </cell>
          <cell r="DG110" t="e">
            <v>#VALUE!</v>
          </cell>
          <cell r="DH110" t="e">
            <v>#VALUE!</v>
          </cell>
          <cell r="DI110" t="e">
            <v>#VALUE!</v>
          </cell>
          <cell r="DJ110" t="e">
            <v>#VALUE!</v>
          </cell>
          <cell r="DK110" t="e">
            <v>#VALUE!</v>
          </cell>
          <cell r="DL110" t="e">
            <v>#VALUE!</v>
          </cell>
          <cell r="DM110" t="e">
            <v>#VALUE!</v>
          </cell>
        </row>
        <row r="111">
          <cell r="C111" t="str">
            <v>F7.1-2.E.S</v>
          </cell>
          <cell r="D111" t="str">
            <v>Sonstiges Vertikale Baukonstruktionen</v>
          </cell>
          <cell r="E111" t="str">
            <v>E2.E.S</v>
          </cell>
          <cell r="F111" t="str">
            <v>E2.E.S *GIF/100* PFAKT</v>
          </cell>
          <cell r="G111">
            <v>0</v>
          </cell>
          <cell r="H111">
            <v>0</v>
          </cell>
          <cell r="J111" t="str">
            <v>€/Instandsetzung</v>
          </cell>
          <cell r="K111">
            <v>50</v>
          </cell>
          <cell r="L111" t="str">
            <v>PBAU</v>
          </cell>
          <cell r="M111">
            <v>3.3</v>
          </cell>
          <cell r="N111">
            <v>1.0177339901477833</v>
          </cell>
          <cell r="O111">
            <v>0</v>
          </cell>
          <cell r="P111" t="str">
            <v>€</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t="e">
            <v>#VALUE!</v>
          </cell>
          <cell r="BC111" t="e">
            <v>#VALUE!</v>
          </cell>
          <cell r="BD111" t="e">
            <v>#VALUE!</v>
          </cell>
          <cell r="BE111" t="e">
            <v>#VALUE!</v>
          </cell>
          <cell r="BF111" t="e">
            <v>#VALUE!</v>
          </cell>
          <cell r="BG111" t="e">
            <v>#VALUE!</v>
          </cell>
          <cell r="BH111" t="e">
            <v>#VALUE!</v>
          </cell>
          <cell r="BI111" t="e">
            <v>#VALUE!</v>
          </cell>
          <cell r="BJ111" t="e">
            <v>#VALUE!</v>
          </cell>
          <cell r="BK111" t="e">
            <v>#VALUE!</v>
          </cell>
          <cell r="BL111" t="e">
            <v>#VALUE!</v>
          </cell>
          <cell r="BM111" t="e">
            <v>#VALUE!</v>
          </cell>
          <cell r="BN111" t="e">
            <v>#VALUE!</v>
          </cell>
          <cell r="BO111" t="e">
            <v>#VALUE!</v>
          </cell>
          <cell r="BP111" t="e">
            <v>#VALUE!</v>
          </cell>
          <cell r="BQ111" t="e">
            <v>#VALUE!</v>
          </cell>
          <cell r="BR111" t="e">
            <v>#VALUE!</v>
          </cell>
          <cell r="BS111" t="e">
            <v>#VALUE!</v>
          </cell>
          <cell r="BT111" t="e">
            <v>#VALUE!</v>
          </cell>
          <cell r="BU111" t="e">
            <v>#VALUE!</v>
          </cell>
          <cell r="BV111" t="e">
            <v>#VALUE!</v>
          </cell>
          <cell r="BW111" t="e">
            <v>#VALUE!</v>
          </cell>
          <cell r="BX111" t="e">
            <v>#VALUE!</v>
          </cell>
          <cell r="BY111" t="e">
            <v>#VALUE!</v>
          </cell>
          <cell r="BZ111" t="e">
            <v>#VALUE!</v>
          </cell>
          <cell r="CA111" t="e">
            <v>#VALUE!</v>
          </cell>
          <cell r="CB111" t="e">
            <v>#VALUE!</v>
          </cell>
          <cell r="CC111" t="e">
            <v>#VALUE!</v>
          </cell>
          <cell r="CD111" t="e">
            <v>#VALUE!</v>
          </cell>
          <cell r="CE111" t="e">
            <v>#VALUE!</v>
          </cell>
          <cell r="CF111" t="e">
            <v>#VALUE!</v>
          </cell>
          <cell r="CG111" t="e">
            <v>#VALUE!</v>
          </cell>
          <cell r="CH111" t="e">
            <v>#VALUE!</v>
          </cell>
          <cell r="CI111" t="e">
            <v>#VALUE!</v>
          </cell>
          <cell r="CJ111" t="e">
            <v>#VALUE!</v>
          </cell>
          <cell r="CK111" t="e">
            <v>#VALUE!</v>
          </cell>
          <cell r="CL111" t="e">
            <v>#VALUE!</v>
          </cell>
          <cell r="CM111" t="e">
            <v>#VALUE!</v>
          </cell>
          <cell r="CN111" t="e">
            <v>#VALUE!</v>
          </cell>
          <cell r="CO111" t="e">
            <v>#VALUE!</v>
          </cell>
          <cell r="CP111" t="e">
            <v>#VALUE!</v>
          </cell>
          <cell r="CQ111" t="e">
            <v>#VALUE!</v>
          </cell>
          <cell r="CR111" t="e">
            <v>#VALUE!</v>
          </cell>
          <cell r="CS111" t="e">
            <v>#VALUE!</v>
          </cell>
          <cell r="CT111" t="e">
            <v>#VALUE!</v>
          </cell>
          <cell r="CU111" t="e">
            <v>#VALUE!</v>
          </cell>
          <cell r="CV111" t="e">
            <v>#VALUE!</v>
          </cell>
          <cell r="CW111" t="e">
            <v>#VALUE!</v>
          </cell>
          <cell r="CX111" t="e">
            <v>#VALUE!</v>
          </cell>
          <cell r="CY111" t="e">
            <v>#VALUE!</v>
          </cell>
          <cell r="CZ111" t="e">
            <v>#VALUE!</v>
          </cell>
          <cell r="DA111" t="e">
            <v>#VALUE!</v>
          </cell>
          <cell r="DB111" t="e">
            <v>#VALUE!</v>
          </cell>
          <cell r="DC111" t="e">
            <v>#VALUE!</v>
          </cell>
          <cell r="DD111" t="e">
            <v>#VALUE!</v>
          </cell>
          <cell r="DE111" t="e">
            <v>#VALUE!</v>
          </cell>
          <cell r="DF111" t="e">
            <v>#VALUE!</v>
          </cell>
          <cell r="DG111" t="e">
            <v>#VALUE!</v>
          </cell>
          <cell r="DH111" t="e">
            <v>#VALUE!</v>
          </cell>
          <cell r="DI111" t="e">
            <v>#VALUE!</v>
          </cell>
          <cell r="DJ111" t="e">
            <v>#VALUE!</v>
          </cell>
          <cell r="DK111" t="e">
            <v>#VALUE!</v>
          </cell>
          <cell r="DL111" t="e">
            <v>#VALUE!</v>
          </cell>
          <cell r="DM111" t="e">
            <v>#VALUE!</v>
          </cell>
        </row>
        <row r="112">
          <cell r="C112" t="str">
            <v>F7.1-2.S</v>
          </cell>
          <cell r="D112" t="str">
            <v>Sonstige Bauwerk Rohbau</v>
          </cell>
          <cell r="E112" t="str">
            <v>E2.S</v>
          </cell>
          <cell r="F112" t="str">
            <v>E2.S *GIF/100* PFAKT</v>
          </cell>
          <cell r="G112">
            <v>0</v>
          </cell>
          <cell r="H112">
            <v>0</v>
          </cell>
          <cell r="J112" t="str">
            <v>€/Instandsetzung</v>
          </cell>
          <cell r="K112">
            <v>50</v>
          </cell>
          <cell r="L112" t="str">
            <v>PBAU</v>
          </cell>
          <cell r="M112">
            <v>3.3</v>
          </cell>
          <cell r="N112">
            <v>1.0177339901477833</v>
          </cell>
          <cell r="O112">
            <v>0</v>
          </cell>
          <cell r="P112" t="str">
            <v>€</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t="e">
            <v>#VALUE!</v>
          </cell>
          <cell r="BC112" t="e">
            <v>#VALUE!</v>
          </cell>
          <cell r="BD112" t="e">
            <v>#VALUE!</v>
          </cell>
          <cell r="BE112" t="e">
            <v>#VALUE!</v>
          </cell>
          <cell r="BF112" t="e">
            <v>#VALUE!</v>
          </cell>
          <cell r="BG112" t="e">
            <v>#VALUE!</v>
          </cell>
          <cell r="BH112" t="e">
            <v>#VALUE!</v>
          </cell>
          <cell r="BI112" t="e">
            <v>#VALUE!</v>
          </cell>
          <cell r="BJ112" t="e">
            <v>#VALUE!</v>
          </cell>
          <cell r="BK112" t="e">
            <v>#VALUE!</v>
          </cell>
          <cell r="BL112" t="e">
            <v>#VALUE!</v>
          </cell>
          <cell r="BM112" t="e">
            <v>#VALUE!</v>
          </cell>
          <cell r="BN112" t="e">
            <v>#VALUE!</v>
          </cell>
          <cell r="BO112" t="e">
            <v>#VALUE!</v>
          </cell>
          <cell r="BP112" t="e">
            <v>#VALUE!</v>
          </cell>
          <cell r="BQ112" t="e">
            <v>#VALUE!</v>
          </cell>
          <cell r="BR112" t="e">
            <v>#VALUE!</v>
          </cell>
          <cell r="BS112" t="e">
            <v>#VALUE!</v>
          </cell>
          <cell r="BT112" t="e">
            <v>#VALUE!</v>
          </cell>
          <cell r="BU112" t="e">
            <v>#VALUE!</v>
          </cell>
          <cell r="BV112" t="e">
            <v>#VALUE!</v>
          </cell>
          <cell r="BW112" t="e">
            <v>#VALUE!</v>
          </cell>
          <cell r="BX112" t="e">
            <v>#VALUE!</v>
          </cell>
          <cell r="BY112" t="e">
            <v>#VALUE!</v>
          </cell>
          <cell r="BZ112" t="e">
            <v>#VALUE!</v>
          </cell>
          <cell r="CA112" t="e">
            <v>#VALUE!</v>
          </cell>
          <cell r="CB112" t="e">
            <v>#VALUE!</v>
          </cell>
          <cell r="CC112" t="e">
            <v>#VALUE!</v>
          </cell>
          <cell r="CD112" t="e">
            <v>#VALUE!</v>
          </cell>
          <cell r="CE112" t="e">
            <v>#VALUE!</v>
          </cell>
          <cell r="CF112" t="e">
            <v>#VALUE!</v>
          </cell>
          <cell r="CG112" t="e">
            <v>#VALUE!</v>
          </cell>
          <cell r="CH112" t="e">
            <v>#VALUE!</v>
          </cell>
          <cell r="CI112" t="e">
            <v>#VALUE!</v>
          </cell>
          <cell r="CJ112" t="e">
            <v>#VALUE!</v>
          </cell>
          <cell r="CK112" t="e">
            <v>#VALUE!</v>
          </cell>
          <cell r="CL112" t="e">
            <v>#VALUE!</v>
          </cell>
          <cell r="CM112" t="e">
            <v>#VALUE!</v>
          </cell>
          <cell r="CN112" t="e">
            <v>#VALUE!</v>
          </cell>
          <cell r="CO112" t="e">
            <v>#VALUE!</v>
          </cell>
          <cell r="CP112" t="e">
            <v>#VALUE!</v>
          </cell>
          <cell r="CQ112" t="e">
            <v>#VALUE!</v>
          </cell>
          <cell r="CR112" t="e">
            <v>#VALUE!</v>
          </cell>
          <cell r="CS112" t="e">
            <v>#VALUE!</v>
          </cell>
          <cell r="CT112" t="e">
            <v>#VALUE!</v>
          </cell>
          <cell r="CU112" t="e">
            <v>#VALUE!</v>
          </cell>
          <cell r="CV112" t="e">
            <v>#VALUE!</v>
          </cell>
          <cell r="CW112" t="e">
            <v>#VALUE!</v>
          </cell>
          <cell r="CX112" t="e">
            <v>#VALUE!</v>
          </cell>
          <cell r="CY112" t="e">
            <v>#VALUE!</v>
          </cell>
          <cell r="CZ112" t="e">
            <v>#VALUE!</v>
          </cell>
          <cell r="DA112" t="e">
            <v>#VALUE!</v>
          </cell>
          <cell r="DB112" t="e">
            <v>#VALUE!</v>
          </cell>
          <cell r="DC112" t="e">
            <v>#VALUE!</v>
          </cell>
          <cell r="DD112" t="e">
            <v>#VALUE!</v>
          </cell>
          <cell r="DE112" t="e">
            <v>#VALUE!</v>
          </cell>
          <cell r="DF112" t="e">
            <v>#VALUE!</v>
          </cell>
          <cell r="DG112" t="e">
            <v>#VALUE!</v>
          </cell>
          <cell r="DH112" t="e">
            <v>#VALUE!</v>
          </cell>
          <cell r="DI112" t="e">
            <v>#VALUE!</v>
          </cell>
          <cell r="DJ112" t="e">
            <v>#VALUE!</v>
          </cell>
          <cell r="DK112" t="e">
            <v>#VALUE!</v>
          </cell>
          <cell r="DL112" t="e">
            <v>#VALUE!</v>
          </cell>
          <cell r="DM112" t="e">
            <v>#VALUE!</v>
          </cell>
        </row>
        <row r="113">
          <cell r="C113" t="str">
            <v>F7.1-3</v>
          </cell>
          <cell r="D113" t="str">
            <v>Bauwerk Technik</v>
          </cell>
          <cell r="O113">
            <v>468182.89016445057</v>
          </cell>
          <cell r="P113" t="str">
            <v>€</v>
          </cell>
        </row>
        <row r="114">
          <cell r="C114" t="str">
            <v>F7.1-3.A</v>
          </cell>
          <cell r="D114" t="str">
            <v>Allgemein Bauwerk - Technik</v>
          </cell>
          <cell r="E114" t="str">
            <v>E3.A</v>
          </cell>
          <cell r="F114" t="str">
            <v>E3.A * PFAKT</v>
          </cell>
          <cell r="G114">
            <v>0</v>
          </cell>
          <cell r="H114">
            <v>0</v>
          </cell>
          <cell r="J114" t="str">
            <v>€/Instandsetzung</v>
          </cell>
          <cell r="K114">
            <v>25</v>
          </cell>
          <cell r="L114" t="str">
            <v>PTECHNIK</v>
          </cell>
          <cell r="M114">
            <v>2</v>
          </cell>
          <cell r="N114">
            <v>1.0049261083743843</v>
          </cell>
          <cell r="O114">
            <v>0</v>
          </cell>
          <cell r="P114" t="str">
            <v>€</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t="e">
            <v>#VALUE!</v>
          </cell>
          <cell r="BC114" t="e">
            <v>#VALUE!</v>
          </cell>
          <cell r="BD114" t="e">
            <v>#VALUE!</v>
          </cell>
          <cell r="BE114" t="e">
            <v>#VALUE!</v>
          </cell>
          <cell r="BF114" t="e">
            <v>#VALUE!</v>
          </cell>
          <cell r="BG114" t="e">
            <v>#VALUE!</v>
          </cell>
          <cell r="BH114" t="e">
            <v>#VALUE!</v>
          </cell>
          <cell r="BI114" t="e">
            <v>#VALUE!</v>
          </cell>
          <cell r="BJ114" t="e">
            <v>#VALUE!</v>
          </cell>
          <cell r="BK114" t="e">
            <v>#VALUE!</v>
          </cell>
          <cell r="BL114" t="e">
            <v>#VALUE!</v>
          </cell>
          <cell r="BM114" t="e">
            <v>#VALUE!</v>
          </cell>
          <cell r="BN114" t="e">
            <v>#VALUE!</v>
          </cell>
          <cell r="BO114" t="e">
            <v>#VALUE!</v>
          </cell>
          <cell r="BP114" t="e">
            <v>#VALUE!</v>
          </cell>
          <cell r="BQ114" t="e">
            <v>#VALUE!</v>
          </cell>
          <cell r="BR114" t="e">
            <v>#VALUE!</v>
          </cell>
          <cell r="BS114" t="e">
            <v>#VALUE!</v>
          </cell>
          <cell r="BT114" t="e">
            <v>#VALUE!</v>
          </cell>
          <cell r="BU114" t="e">
            <v>#VALUE!</v>
          </cell>
          <cell r="BV114" t="e">
            <v>#VALUE!</v>
          </cell>
          <cell r="BW114" t="e">
            <v>#VALUE!</v>
          </cell>
          <cell r="BX114" t="e">
            <v>#VALUE!</v>
          </cell>
          <cell r="BY114" t="e">
            <v>#VALUE!</v>
          </cell>
          <cell r="BZ114" t="e">
            <v>#VALUE!</v>
          </cell>
          <cell r="CA114" t="e">
            <v>#VALUE!</v>
          </cell>
          <cell r="CB114" t="e">
            <v>#VALUE!</v>
          </cell>
          <cell r="CC114" t="e">
            <v>#VALUE!</v>
          </cell>
          <cell r="CD114" t="e">
            <v>#VALUE!</v>
          </cell>
          <cell r="CE114" t="e">
            <v>#VALUE!</v>
          </cell>
          <cell r="CF114" t="e">
            <v>#VALUE!</v>
          </cell>
          <cell r="CG114" t="e">
            <v>#VALUE!</v>
          </cell>
          <cell r="CH114" t="e">
            <v>#VALUE!</v>
          </cell>
          <cell r="CI114" t="e">
            <v>#VALUE!</v>
          </cell>
          <cell r="CJ114" t="e">
            <v>#VALUE!</v>
          </cell>
          <cell r="CK114" t="e">
            <v>#VALUE!</v>
          </cell>
          <cell r="CL114" t="e">
            <v>#VALUE!</v>
          </cell>
          <cell r="CM114" t="e">
            <v>#VALUE!</v>
          </cell>
          <cell r="CN114" t="e">
            <v>#VALUE!</v>
          </cell>
          <cell r="CO114" t="e">
            <v>#VALUE!</v>
          </cell>
          <cell r="CP114" t="e">
            <v>#VALUE!</v>
          </cell>
          <cell r="CQ114" t="e">
            <v>#VALUE!</v>
          </cell>
          <cell r="CR114" t="e">
            <v>#VALUE!</v>
          </cell>
          <cell r="CS114" t="e">
            <v>#VALUE!</v>
          </cell>
          <cell r="CT114" t="e">
            <v>#VALUE!</v>
          </cell>
          <cell r="CU114" t="e">
            <v>#VALUE!</v>
          </cell>
          <cell r="CV114" t="e">
            <v>#VALUE!</v>
          </cell>
          <cell r="CW114" t="e">
            <v>#VALUE!</v>
          </cell>
          <cell r="CX114" t="e">
            <v>#VALUE!</v>
          </cell>
          <cell r="CY114" t="e">
            <v>#VALUE!</v>
          </cell>
          <cell r="CZ114" t="e">
            <v>#VALUE!</v>
          </cell>
          <cell r="DA114" t="e">
            <v>#VALUE!</v>
          </cell>
          <cell r="DB114" t="e">
            <v>#VALUE!</v>
          </cell>
          <cell r="DC114" t="e">
            <v>#VALUE!</v>
          </cell>
          <cell r="DD114" t="e">
            <v>#VALUE!</v>
          </cell>
          <cell r="DE114" t="e">
            <v>#VALUE!</v>
          </cell>
          <cell r="DF114" t="e">
            <v>#VALUE!</v>
          </cell>
          <cell r="DG114" t="e">
            <v>#VALUE!</v>
          </cell>
          <cell r="DH114" t="e">
            <v>#VALUE!</v>
          </cell>
          <cell r="DI114" t="e">
            <v>#VALUE!</v>
          </cell>
          <cell r="DJ114" t="e">
            <v>#VALUE!</v>
          </cell>
          <cell r="DK114" t="e">
            <v>#VALUE!</v>
          </cell>
          <cell r="DL114" t="e">
            <v>#VALUE!</v>
          </cell>
          <cell r="DM114" t="e">
            <v>#VALUE!</v>
          </cell>
        </row>
        <row r="115">
          <cell r="C115" t="str">
            <v>F7.1-3.B</v>
          </cell>
          <cell r="D115" t="str">
            <v>Förderanlagen</v>
          </cell>
          <cell r="E115" t="str">
            <v>E3.B</v>
          </cell>
          <cell r="F115" t="str">
            <v>E3.B * PFAKT</v>
          </cell>
          <cell r="G115">
            <v>0</v>
          </cell>
          <cell r="H115">
            <v>0</v>
          </cell>
          <cell r="J115" t="str">
            <v>€/Instandsetzung</v>
          </cell>
          <cell r="K115">
            <v>25</v>
          </cell>
          <cell r="L115" t="str">
            <v>PTECHNIK</v>
          </cell>
          <cell r="M115">
            <v>2</v>
          </cell>
          <cell r="N115">
            <v>1.0049261083743843</v>
          </cell>
          <cell r="O115">
            <v>0</v>
          </cell>
          <cell r="P115" t="str">
            <v>€</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t="e">
            <v>#VALUE!</v>
          </cell>
          <cell r="BC115" t="e">
            <v>#VALUE!</v>
          </cell>
          <cell r="BD115" t="e">
            <v>#VALUE!</v>
          </cell>
          <cell r="BE115" t="e">
            <v>#VALUE!</v>
          </cell>
          <cell r="BF115" t="e">
            <v>#VALUE!</v>
          </cell>
          <cell r="BG115" t="e">
            <v>#VALUE!</v>
          </cell>
          <cell r="BH115" t="e">
            <v>#VALUE!</v>
          </cell>
          <cell r="BI115" t="e">
            <v>#VALUE!</v>
          </cell>
          <cell r="BJ115" t="e">
            <v>#VALUE!</v>
          </cell>
          <cell r="BK115" t="e">
            <v>#VALUE!</v>
          </cell>
          <cell r="BL115" t="e">
            <v>#VALUE!</v>
          </cell>
          <cell r="BM115" t="e">
            <v>#VALUE!</v>
          </cell>
          <cell r="BN115" t="e">
            <v>#VALUE!</v>
          </cell>
          <cell r="BO115" t="e">
            <v>#VALUE!</v>
          </cell>
          <cell r="BP115" t="e">
            <v>#VALUE!</v>
          </cell>
          <cell r="BQ115" t="e">
            <v>#VALUE!</v>
          </cell>
          <cell r="BR115" t="e">
            <v>#VALUE!</v>
          </cell>
          <cell r="BS115" t="e">
            <v>#VALUE!</v>
          </cell>
          <cell r="BT115" t="e">
            <v>#VALUE!</v>
          </cell>
          <cell r="BU115" t="e">
            <v>#VALUE!</v>
          </cell>
          <cell r="BV115" t="e">
            <v>#VALUE!</v>
          </cell>
          <cell r="BW115" t="e">
            <v>#VALUE!</v>
          </cell>
          <cell r="BX115" t="e">
            <v>#VALUE!</v>
          </cell>
          <cell r="BY115" t="e">
            <v>#VALUE!</v>
          </cell>
          <cell r="BZ115" t="e">
            <v>#VALUE!</v>
          </cell>
          <cell r="CA115" t="e">
            <v>#VALUE!</v>
          </cell>
          <cell r="CB115" t="e">
            <v>#VALUE!</v>
          </cell>
          <cell r="CC115" t="e">
            <v>#VALUE!</v>
          </cell>
          <cell r="CD115" t="e">
            <v>#VALUE!</v>
          </cell>
          <cell r="CE115" t="e">
            <v>#VALUE!</v>
          </cell>
          <cell r="CF115" t="e">
            <v>#VALUE!</v>
          </cell>
          <cell r="CG115" t="e">
            <v>#VALUE!</v>
          </cell>
          <cell r="CH115" t="e">
            <v>#VALUE!</v>
          </cell>
          <cell r="CI115" t="e">
            <v>#VALUE!</v>
          </cell>
          <cell r="CJ115" t="e">
            <v>#VALUE!</v>
          </cell>
          <cell r="CK115" t="e">
            <v>#VALUE!</v>
          </cell>
          <cell r="CL115" t="e">
            <v>#VALUE!</v>
          </cell>
          <cell r="CM115" t="e">
            <v>#VALUE!</v>
          </cell>
          <cell r="CN115" t="e">
            <v>#VALUE!</v>
          </cell>
          <cell r="CO115" t="e">
            <v>#VALUE!</v>
          </cell>
          <cell r="CP115" t="e">
            <v>#VALUE!</v>
          </cell>
          <cell r="CQ115" t="e">
            <v>#VALUE!</v>
          </cell>
          <cell r="CR115" t="e">
            <v>#VALUE!</v>
          </cell>
          <cell r="CS115" t="e">
            <v>#VALUE!</v>
          </cell>
          <cell r="CT115" t="e">
            <v>#VALUE!</v>
          </cell>
          <cell r="CU115" t="e">
            <v>#VALUE!</v>
          </cell>
          <cell r="CV115" t="e">
            <v>#VALUE!</v>
          </cell>
          <cell r="CW115" t="e">
            <v>#VALUE!</v>
          </cell>
          <cell r="CX115" t="e">
            <v>#VALUE!</v>
          </cell>
          <cell r="CY115" t="e">
            <v>#VALUE!</v>
          </cell>
          <cell r="CZ115" t="e">
            <v>#VALUE!</v>
          </cell>
          <cell r="DA115" t="e">
            <v>#VALUE!</v>
          </cell>
          <cell r="DB115" t="e">
            <v>#VALUE!</v>
          </cell>
          <cell r="DC115" t="e">
            <v>#VALUE!</v>
          </cell>
          <cell r="DD115" t="e">
            <v>#VALUE!</v>
          </cell>
          <cell r="DE115" t="e">
            <v>#VALUE!</v>
          </cell>
          <cell r="DF115" t="e">
            <v>#VALUE!</v>
          </cell>
          <cell r="DG115" t="e">
            <v>#VALUE!</v>
          </cell>
          <cell r="DH115" t="e">
            <v>#VALUE!</v>
          </cell>
          <cell r="DI115" t="e">
            <v>#VALUE!</v>
          </cell>
          <cell r="DJ115" t="e">
            <v>#VALUE!</v>
          </cell>
          <cell r="DK115" t="e">
            <v>#VALUE!</v>
          </cell>
          <cell r="DL115" t="e">
            <v>#VALUE!</v>
          </cell>
          <cell r="DM115" t="e">
            <v>#VALUE!</v>
          </cell>
        </row>
        <row r="116">
          <cell r="C116" t="str">
            <v>F7.1-3.C</v>
          </cell>
          <cell r="D116" t="str">
            <v>Wärmeversorgungsanlagen</v>
          </cell>
          <cell r="O116">
            <v>70982.72240111421</v>
          </cell>
          <cell r="P116" t="str">
            <v>€</v>
          </cell>
        </row>
        <row r="117">
          <cell r="C117" t="str">
            <v>F7.1-3.C.01</v>
          </cell>
          <cell r="D117" t="str">
            <v>Wärmeerzeugungsanlagen</v>
          </cell>
          <cell r="E117" t="str">
            <v>E3.C.01</v>
          </cell>
          <cell r="F117" t="str">
            <v>E3.C.01 * PFAKT</v>
          </cell>
          <cell r="G117">
            <v>0</v>
          </cell>
          <cell r="H117">
            <v>0</v>
          </cell>
          <cell r="J117" t="str">
            <v>€/Instandsetzung</v>
          </cell>
          <cell r="K117">
            <v>18</v>
          </cell>
          <cell r="L117" t="str">
            <v>PTECHNIK</v>
          </cell>
          <cell r="M117">
            <v>2</v>
          </cell>
          <cell r="N117">
            <v>1.0049261083743843</v>
          </cell>
          <cell r="O117">
            <v>0</v>
          </cell>
          <cell r="P117" t="str">
            <v>€</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t="e">
            <v>#VALUE!</v>
          </cell>
          <cell r="BC117" t="e">
            <v>#VALUE!</v>
          </cell>
          <cell r="BD117" t="e">
            <v>#VALUE!</v>
          </cell>
          <cell r="BE117" t="e">
            <v>#VALUE!</v>
          </cell>
          <cell r="BF117" t="e">
            <v>#VALUE!</v>
          </cell>
          <cell r="BG117" t="e">
            <v>#VALUE!</v>
          </cell>
          <cell r="BH117" t="e">
            <v>#VALUE!</v>
          </cell>
          <cell r="BI117" t="e">
            <v>#VALUE!</v>
          </cell>
          <cell r="BJ117" t="e">
            <v>#VALUE!</v>
          </cell>
          <cell r="BK117" t="e">
            <v>#VALUE!</v>
          </cell>
          <cell r="BL117" t="e">
            <v>#VALUE!</v>
          </cell>
          <cell r="BM117" t="e">
            <v>#VALUE!</v>
          </cell>
          <cell r="BN117" t="e">
            <v>#VALUE!</v>
          </cell>
          <cell r="BO117" t="e">
            <v>#VALUE!</v>
          </cell>
          <cell r="BP117" t="e">
            <v>#VALUE!</v>
          </cell>
          <cell r="BQ117" t="e">
            <v>#VALUE!</v>
          </cell>
          <cell r="BR117" t="e">
            <v>#VALUE!</v>
          </cell>
          <cell r="BS117" t="e">
            <v>#VALUE!</v>
          </cell>
          <cell r="BT117" t="e">
            <v>#VALUE!</v>
          </cell>
          <cell r="BU117" t="e">
            <v>#VALUE!</v>
          </cell>
          <cell r="BV117" t="e">
            <v>#VALUE!</v>
          </cell>
          <cell r="BW117" t="e">
            <v>#VALUE!</v>
          </cell>
          <cell r="BX117" t="e">
            <v>#VALUE!</v>
          </cell>
          <cell r="BY117" t="e">
            <v>#VALUE!</v>
          </cell>
          <cell r="BZ117" t="e">
            <v>#VALUE!</v>
          </cell>
          <cell r="CA117" t="e">
            <v>#VALUE!</v>
          </cell>
          <cell r="CB117" t="e">
            <v>#VALUE!</v>
          </cell>
          <cell r="CC117" t="e">
            <v>#VALUE!</v>
          </cell>
          <cell r="CD117" t="e">
            <v>#VALUE!</v>
          </cell>
          <cell r="CE117" t="e">
            <v>#VALUE!</v>
          </cell>
          <cell r="CF117" t="e">
            <v>#VALUE!</v>
          </cell>
          <cell r="CG117" t="e">
            <v>#VALUE!</v>
          </cell>
          <cell r="CH117" t="e">
            <v>#VALUE!</v>
          </cell>
          <cell r="CI117" t="e">
            <v>#VALUE!</v>
          </cell>
          <cell r="CJ117" t="e">
            <v>#VALUE!</v>
          </cell>
          <cell r="CK117" t="e">
            <v>#VALUE!</v>
          </cell>
          <cell r="CL117" t="e">
            <v>#VALUE!</v>
          </cell>
          <cell r="CM117" t="e">
            <v>#VALUE!</v>
          </cell>
          <cell r="CN117" t="e">
            <v>#VALUE!</v>
          </cell>
          <cell r="CO117" t="e">
            <v>#VALUE!</v>
          </cell>
          <cell r="CP117" t="e">
            <v>#VALUE!</v>
          </cell>
          <cell r="CQ117" t="e">
            <v>#VALUE!</v>
          </cell>
          <cell r="CR117" t="e">
            <v>#VALUE!</v>
          </cell>
          <cell r="CS117" t="e">
            <v>#VALUE!</v>
          </cell>
          <cell r="CT117" t="e">
            <v>#VALUE!</v>
          </cell>
          <cell r="CU117" t="e">
            <v>#VALUE!</v>
          </cell>
          <cell r="CV117" t="e">
            <v>#VALUE!</v>
          </cell>
          <cell r="CW117" t="e">
            <v>#VALUE!</v>
          </cell>
          <cell r="CX117" t="e">
            <v>#VALUE!</v>
          </cell>
          <cell r="CY117" t="e">
            <v>#VALUE!</v>
          </cell>
          <cell r="CZ117" t="e">
            <v>#VALUE!</v>
          </cell>
          <cell r="DA117" t="e">
            <v>#VALUE!</v>
          </cell>
          <cell r="DB117" t="e">
            <v>#VALUE!</v>
          </cell>
          <cell r="DC117" t="e">
            <v>#VALUE!</v>
          </cell>
          <cell r="DD117" t="e">
            <v>#VALUE!</v>
          </cell>
          <cell r="DE117" t="e">
            <v>#VALUE!</v>
          </cell>
          <cell r="DF117" t="e">
            <v>#VALUE!</v>
          </cell>
          <cell r="DG117" t="e">
            <v>#VALUE!</v>
          </cell>
          <cell r="DH117" t="e">
            <v>#VALUE!</v>
          </cell>
          <cell r="DI117" t="e">
            <v>#VALUE!</v>
          </cell>
          <cell r="DJ117" t="e">
            <v>#VALUE!</v>
          </cell>
          <cell r="DK117" t="e">
            <v>#VALUE!</v>
          </cell>
          <cell r="DL117" t="e">
            <v>#VALUE!</v>
          </cell>
          <cell r="DM117" t="e">
            <v>#VALUE!</v>
          </cell>
        </row>
        <row r="118">
          <cell r="C118" t="str">
            <v>F7.1-3.C.02</v>
          </cell>
          <cell r="D118" t="str">
            <v>Wärmeverteilnetze</v>
          </cell>
          <cell r="E118" t="str">
            <v>E3.C.02</v>
          </cell>
          <cell r="F118" t="str">
            <v>E3.C.02 * PFAKT</v>
          </cell>
          <cell r="G118">
            <v>0</v>
          </cell>
          <cell r="H118">
            <v>0</v>
          </cell>
          <cell r="J118" t="str">
            <v>€/Instandsetzung</v>
          </cell>
          <cell r="K118">
            <v>40</v>
          </cell>
          <cell r="L118" t="str">
            <v>PTECHNIK</v>
          </cell>
          <cell r="M118">
            <v>2</v>
          </cell>
          <cell r="N118">
            <v>1.0049261083743843</v>
          </cell>
          <cell r="O118">
            <v>0</v>
          </cell>
          <cell r="P118" t="str">
            <v>€</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t="e">
            <v>#VALUE!</v>
          </cell>
          <cell r="BC118" t="e">
            <v>#VALUE!</v>
          </cell>
          <cell r="BD118" t="e">
            <v>#VALUE!</v>
          </cell>
          <cell r="BE118" t="e">
            <v>#VALUE!</v>
          </cell>
          <cell r="BF118" t="e">
            <v>#VALUE!</v>
          </cell>
          <cell r="BG118" t="e">
            <v>#VALUE!</v>
          </cell>
          <cell r="BH118" t="e">
            <v>#VALUE!</v>
          </cell>
          <cell r="BI118" t="e">
            <v>#VALUE!</v>
          </cell>
          <cell r="BJ118" t="e">
            <v>#VALUE!</v>
          </cell>
          <cell r="BK118" t="e">
            <v>#VALUE!</v>
          </cell>
          <cell r="BL118" t="e">
            <v>#VALUE!</v>
          </cell>
          <cell r="BM118" t="e">
            <v>#VALUE!</v>
          </cell>
          <cell r="BN118" t="e">
            <v>#VALUE!</v>
          </cell>
          <cell r="BO118" t="e">
            <v>#VALUE!</v>
          </cell>
          <cell r="BP118" t="e">
            <v>#VALUE!</v>
          </cell>
          <cell r="BQ118" t="e">
            <v>#VALUE!</v>
          </cell>
          <cell r="BR118" t="e">
            <v>#VALUE!</v>
          </cell>
          <cell r="BS118" t="e">
            <v>#VALUE!</v>
          </cell>
          <cell r="BT118" t="e">
            <v>#VALUE!</v>
          </cell>
          <cell r="BU118" t="e">
            <v>#VALUE!</v>
          </cell>
          <cell r="BV118" t="e">
            <v>#VALUE!</v>
          </cell>
          <cell r="BW118" t="e">
            <v>#VALUE!</v>
          </cell>
          <cell r="BX118" t="e">
            <v>#VALUE!</v>
          </cell>
          <cell r="BY118" t="e">
            <v>#VALUE!</v>
          </cell>
          <cell r="BZ118" t="e">
            <v>#VALUE!</v>
          </cell>
          <cell r="CA118" t="e">
            <v>#VALUE!</v>
          </cell>
          <cell r="CB118" t="e">
            <v>#VALUE!</v>
          </cell>
          <cell r="CC118" t="e">
            <v>#VALUE!</v>
          </cell>
          <cell r="CD118" t="e">
            <v>#VALUE!</v>
          </cell>
          <cell r="CE118" t="e">
            <v>#VALUE!</v>
          </cell>
          <cell r="CF118" t="e">
            <v>#VALUE!</v>
          </cell>
          <cell r="CG118" t="e">
            <v>#VALUE!</v>
          </cell>
          <cell r="CH118" t="e">
            <v>#VALUE!</v>
          </cell>
          <cell r="CI118" t="e">
            <v>#VALUE!</v>
          </cell>
          <cell r="CJ118" t="e">
            <v>#VALUE!</v>
          </cell>
          <cell r="CK118" t="e">
            <v>#VALUE!</v>
          </cell>
          <cell r="CL118" t="e">
            <v>#VALUE!</v>
          </cell>
          <cell r="CM118" t="e">
            <v>#VALUE!</v>
          </cell>
          <cell r="CN118" t="e">
            <v>#VALUE!</v>
          </cell>
          <cell r="CO118" t="e">
            <v>#VALUE!</v>
          </cell>
          <cell r="CP118" t="e">
            <v>#VALUE!</v>
          </cell>
          <cell r="CQ118" t="e">
            <v>#VALUE!</v>
          </cell>
          <cell r="CR118" t="e">
            <v>#VALUE!</v>
          </cell>
          <cell r="CS118" t="e">
            <v>#VALUE!</v>
          </cell>
          <cell r="CT118" t="e">
            <v>#VALUE!</v>
          </cell>
          <cell r="CU118" t="e">
            <v>#VALUE!</v>
          </cell>
          <cell r="CV118" t="e">
            <v>#VALUE!</v>
          </cell>
          <cell r="CW118" t="e">
            <v>#VALUE!</v>
          </cell>
          <cell r="CX118" t="e">
            <v>#VALUE!</v>
          </cell>
          <cell r="CY118" t="e">
            <v>#VALUE!</v>
          </cell>
          <cell r="CZ118" t="e">
            <v>#VALUE!</v>
          </cell>
          <cell r="DA118" t="e">
            <v>#VALUE!</v>
          </cell>
          <cell r="DB118" t="e">
            <v>#VALUE!</v>
          </cell>
          <cell r="DC118" t="e">
            <v>#VALUE!</v>
          </cell>
          <cell r="DD118" t="e">
            <v>#VALUE!</v>
          </cell>
          <cell r="DE118" t="e">
            <v>#VALUE!</v>
          </cell>
          <cell r="DF118" t="e">
            <v>#VALUE!</v>
          </cell>
          <cell r="DG118" t="e">
            <v>#VALUE!</v>
          </cell>
          <cell r="DH118" t="e">
            <v>#VALUE!</v>
          </cell>
          <cell r="DI118" t="e">
            <v>#VALUE!</v>
          </cell>
          <cell r="DJ118" t="e">
            <v>#VALUE!</v>
          </cell>
          <cell r="DK118" t="e">
            <v>#VALUE!</v>
          </cell>
          <cell r="DL118" t="e">
            <v>#VALUE!</v>
          </cell>
          <cell r="DM118" t="e">
            <v>#VALUE!</v>
          </cell>
        </row>
        <row r="119">
          <cell r="C119" t="str">
            <v>F7.1-3.C.03</v>
          </cell>
          <cell r="D119" t="str">
            <v>Raumheizflächen</v>
          </cell>
          <cell r="E119" t="str">
            <v>E3.C.03</v>
          </cell>
          <cell r="F119" t="str">
            <v>E3.C.03 * PFAKT</v>
          </cell>
          <cell r="G119">
            <v>0</v>
          </cell>
          <cell r="H119">
            <v>0</v>
          </cell>
          <cell r="J119" t="str">
            <v>€/Instandsetzung</v>
          </cell>
          <cell r="K119">
            <v>30</v>
          </cell>
          <cell r="L119" t="str">
            <v>PTECHNIK</v>
          </cell>
          <cell r="M119">
            <v>2</v>
          </cell>
          <cell r="N119">
            <v>1.0049261083743843</v>
          </cell>
          <cell r="O119">
            <v>0</v>
          </cell>
          <cell r="P119" t="str">
            <v>€</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t="e">
            <v>#VALUE!</v>
          </cell>
          <cell r="BC119" t="e">
            <v>#VALUE!</v>
          </cell>
          <cell r="BD119" t="e">
            <v>#VALUE!</v>
          </cell>
          <cell r="BE119" t="e">
            <v>#VALUE!</v>
          </cell>
          <cell r="BF119" t="e">
            <v>#VALUE!</v>
          </cell>
          <cell r="BG119" t="e">
            <v>#VALUE!</v>
          </cell>
          <cell r="BH119" t="e">
            <v>#VALUE!</v>
          </cell>
          <cell r="BI119" t="e">
            <v>#VALUE!</v>
          </cell>
          <cell r="BJ119" t="e">
            <v>#VALUE!</v>
          </cell>
          <cell r="BK119" t="e">
            <v>#VALUE!</v>
          </cell>
          <cell r="BL119" t="e">
            <v>#VALUE!</v>
          </cell>
          <cell r="BM119" t="e">
            <v>#VALUE!</v>
          </cell>
          <cell r="BN119" t="e">
            <v>#VALUE!</v>
          </cell>
          <cell r="BO119" t="e">
            <v>#VALUE!</v>
          </cell>
          <cell r="BP119" t="e">
            <v>#VALUE!</v>
          </cell>
          <cell r="BQ119" t="e">
            <v>#VALUE!</v>
          </cell>
          <cell r="BR119" t="e">
            <v>#VALUE!</v>
          </cell>
          <cell r="BS119" t="e">
            <v>#VALUE!</v>
          </cell>
          <cell r="BT119" t="e">
            <v>#VALUE!</v>
          </cell>
          <cell r="BU119" t="e">
            <v>#VALUE!</v>
          </cell>
          <cell r="BV119" t="e">
            <v>#VALUE!</v>
          </cell>
          <cell r="BW119" t="e">
            <v>#VALUE!</v>
          </cell>
          <cell r="BX119" t="e">
            <v>#VALUE!</v>
          </cell>
          <cell r="BY119" t="e">
            <v>#VALUE!</v>
          </cell>
          <cell r="BZ119" t="e">
            <v>#VALUE!</v>
          </cell>
          <cell r="CA119" t="e">
            <v>#VALUE!</v>
          </cell>
          <cell r="CB119" t="e">
            <v>#VALUE!</v>
          </cell>
          <cell r="CC119" t="e">
            <v>#VALUE!</v>
          </cell>
          <cell r="CD119" t="e">
            <v>#VALUE!</v>
          </cell>
          <cell r="CE119" t="e">
            <v>#VALUE!</v>
          </cell>
          <cell r="CF119" t="e">
            <v>#VALUE!</v>
          </cell>
          <cell r="CG119" t="e">
            <v>#VALUE!</v>
          </cell>
          <cell r="CH119" t="e">
            <v>#VALUE!</v>
          </cell>
          <cell r="CI119" t="e">
            <v>#VALUE!</v>
          </cell>
          <cell r="CJ119" t="e">
            <v>#VALUE!</v>
          </cell>
          <cell r="CK119" t="e">
            <v>#VALUE!</v>
          </cell>
          <cell r="CL119" t="e">
            <v>#VALUE!</v>
          </cell>
          <cell r="CM119" t="e">
            <v>#VALUE!</v>
          </cell>
          <cell r="CN119" t="e">
            <v>#VALUE!</v>
          </cell>
          <cell r="CO119" t="e">
            <v>#VALUE!</v>
          </cell>
          <cell r="CP119" t="e">
            <v>#VALUE!</v>
          </cell>
          <cell r="CQ119" t="e">
            <v>#VALUE!</v>
          </cell>
          <cell r="CR119" t="e">
            <v>#VALUE!</v>
          </cell>
          <cell r="CS119" t="e">
            <v>#VALUE!</v>
          </cell>
          <cell r="CT119" t="e">
            <v>#VALUE!</v>
          </cell>
          <cell r="CU119" t="e">
            <v>#VALUE!</v>
          </cell>
          <cell r="CV119" t="e">
            <v>#VALUE!</v>
          </cell>
          <cell r="CW119" t="e">
            <v>#VALUE!</v>
          </cell>
          <cell r="CX119" t="e">
            <v>#VALUE!</v>
          </cell>
          <cell r="CY119" t="e">
            <v>#VALUE!</v>
          </cell>
          <cell r="CZ119" t="e">
            <v>#VALUE!</v>
          </cell>
          <cell r="DA119" t="e">
            <v>#VALUE!</v>
          </cell>
          <cell r="DB119" t="e">
            <v>#VALUE!</v>
          </cell>
          <cell r="DC119" t="e">
            <v>#VALUE!</v>
          </cell>
          <cell r="DD119" t="e">
            <v>#VALUE!</v>
          </cell>
          <cell r="DE119" t="e">
            <v>#VALUE!</v>
          </cell>
          <cell r="DF119" t="e">
            <v>#VALUE!</v>
          </cell>
          <cell r="DG119" t="e">
            <v>#VALUE!</v>
          </cell>
          <cell r="DH119" t="e">
            <v>#VALUE!</v>
          </cell>
          <cell r="DI119" t="e">
            <v>#VALUE!</v>
          </cell>
          <cell r="DJ119" t="e">
            <v>#VALUE!</v>
          </cell>
          <cell r="DK119" t="e">
            <v>#VALUE!</v>
          </cell>
          <cell r="DL119" t="e">
            <v>#VALUE!</v>
          </cell>
          <cell r="DM119" t="e">
            <v>#VALUE!</v>
          </cell>
        </row>
        <row r="120">
          <cell r="C120" t="str">
            <v>F7.1-3.C.S</v>
          </cell>
          <cell r="D120" t="str">
            <v>Sonstige Wärmeversorgungsanlagen</v>
          </cell>
          <cell r="E120" t="str">
            <v>E3.C.S</v>
          </cell>
          <cell r="F120" t="str">
            <v>E3.C.S * PFAKT</v>
          </cell>
          <cell r="G120">
            <v>62776.834680184096</v>
          </cell>
          <cell r="H120">
            <v>62776.834680184096</v>
          </cell>
          <cell r="J120" t="str">
            <v>€/Instandsetzung</v>
          </cell>
          <cell r="K120">
            <v>25</v>
          </cell>
          <cell r="L120" t="str">
            <v>PTECHNIK</v>
          </cell>
          <cell r="M120">
            <v>2</v>
          </cell>
          <cell r="N120">
            <v>1.0049261083743843</v>
          </cell>
          <cell r="O120">
            <v>70982.72240111421</v>
          </cell>
          <cell r="P120" t="str">
            <v>€</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70982.72240111421</v>
          </cell>
          <cell r="AQ120">
            <v>70982.72240111421</v>
          </cell>
          <cell r="AR120">
            <v>70982.72240111421</v>
          </cell>
          <cell r="AS120">
            <v>70982.72240111421</v>
          </cell>
          <cell r="AT120">
            <v>70982.72240111421</v>
          </cell>
          <cell r="AU120">
            <v>70982.72240111421</v>
          </cell>
          <cell r="AV120">
            <v>70982.72240111421</v>
          </cell>
          <cell r="AW120">
            <v>70982.72240111421</v>
          </cell>
          <cell r="AX120">
            <v>70982.72240111421</v>
          </cell>
          <cell r="AY120">
            <v>70982.72240111421</v>
          </cell>
          <cell r="AZ120">
            <v>70982.72240111421</v>
          </cell>
          <cell r="BA120">
            <v>70982.72240111421</v>
          </cell>
          <cell r="BB120" t="e">
            <v>#VALUE!</v>
          </cell>
          <cell r="BC120" t="e">
            <v>#VALUE!</v>
          </cell>
          <cell r="BD120" t="e">
            <v>#VALUE!</v>
          </cell>
          <cell r="BE120" t="e">
            <v>#VALUE!</v>
          </cell>
          <cell r="BF120" t="e">
            <v>#VALUE!</v>
          </cell>
          <cell r="BG120" t="e">
            <v>#VALUE!</v>
          </cell>
          <cell r="BH120" t="e">
            <v>#VALUE!</v>
          </cell>
          <cell r="BI120" t="e">
            <v>#VALUE!</v>
          </cell>
          <cell r="BJ120" t="e">
            <v>#VALUE!</v>
          </cell>
          <cell r="BK120" t="e">
            <v>#VALUE!</v>
          </cell>
          <cell r="BL120" t="e">
            <v>#VALUE!</v>
          </cell>
          <cell r="BM120" t="e">
            <v>#VALUE!</v>
          </cell>
          <cell r="BN120" t="e">
            <v>#VALUE!</v>
          </cell>
          <cell r="BO120" t="e">
            <v>#VALUE!</v>
          </cell>
          <cell r="BP120" t="e">
            <v>#VALUE!</v>
          </cell>
          <cell r="BQ120" t="e">
            <v>#VALUE!</v>
          </cell>
          <cell r="BR120" t="e">
            <v>#VALUE!</v>
          </cell>
          <cell r="BS120" t="e">
            <v>#VALUE!</v>
          </cell>
          <cell r="BT120" t="e">
            <v>#VALUE!</v>
          </cell>
          <cell r="BU120" t="e">
            <v>#VALUE!</v>
          </cell>
          <cell r="BV120" t="e">
            <v>#VALUE!</v>
          </cell>
          <cell r="BW120" t="e">
            <v>#VALUE!</v>
          </cell>
          <cell r="BX120" t="e">
            <v>#VALUE!</v>
          </cell>
          <cell r="BY120" t="e">
            <v>#VALUE!</v>
          </cell>
          <cell r="BZ120" t="e">
            <v>#VALUE!</v>
          </cell>
          <cell r="CA120" t="e">
            <v>#VALUE!</v>
          </cell>
          <cell r="CB120" t="e">
            <v>#VALUE!</v>
          </cell>
          <cell r="CC120" t="e">
            <v>#VALUE!</v>
          </cell>
          <cell r="CD120" t="e">
            <v>#VALUE!</v>
          </cell>
          <cell r="CE120" t="e">
            <v>#VALUE!</v>
          </cell>
          <cell r="CF120" t="e">
            <v>#VALUE!</v>
          </cell>
          <cell r="CG120" t="e">
            <v>#VALUE!</v>
          </cell>
          <cell r="CH120" t="e">
            <v>#VALUE!</v>
          </cell>
          <cell r="CI120" t="e">
            <v>#VALUE!</v>
          </cell>
          <cell r="CJ120" t="e">
            <v>#VALUE!</v>
          </cell>
          <cell r="CK120" t="e">
            <v>#VALUE!</v>
          </cell>
          <cell r="CL120" t="e">
            <v>#VALUE!</v>
          </cell>
          <cell r="CM120" t="e">
            <v>#VALUE!</v>
          </cell>
          <cell r="CN120" t="e">
            <v>#VALUE!</v>
          </cell>
          <cell r="CO120" t="e">
            <v>#VALUE!</v>
          </cell>
          <cell r="CP120" t="e">
            <v>#VALUE!</v>
          </cell>
          <cell r="CQ120" t="e">
            <v>#VALUE!</v>
          </cell>
          <cell r="CR120" t="e">
            <v>#VALUE!</v>
          </cell>
          <cell r="CS120" t="e">
            <v>#VALUE!</v>
          </cell>
          <cell r="CT120" t="e">
            <v>#VALUE!</v>
          </cell>
          <cell r="CU120" t="e">
            <v>#VALUE!</v>
          </cell>
          <cell r="CV120" t="e">
            <v>#VALUE!</v>
          </cell>
          <cell r="CW120" t="e">
            <v>#VALUE!</v>
          </cell>
          <cell r="CX120" t="e">
            <v>#VALUE!</v>
          </cell>
          <cell r="CY120" t="e">
            <v>#VALUE!</v>
          </cell>
          <cell r="CZ120" t="e">
            <v>#VALUE!</v>
          </cell>
          <cell r="DA120" t="e">
            <v>#VALUE!</v>
          </cell>
          <cell r="DB120" t="e">
            <v>#VALUE!</v>
          </cell>
          <cell r="DC120" t="e">
            <v>#VALUE!</v>
          </cell>
          <cell r="DD120" t="e">
            <v>#VALUE!</v>
          </cell>
          <cell r="DE120" t="e">
            <v>#VALUE!</v>
          </cell>
          <cell r="DF120" t="e">
            <v>#VALUE!</v>
          </cell>
          <cell r="DG120" t="e">
            <v>#VALUE!</v>
          </cell>
          <cell r="DH120" t="e">
            <v>#VALUE!</v>
          </cell>
          <cell r="DI120" t="e">
            <v>#VALUE!</v>
          </cell>
          <cell r="DJ120" t="e">
            <v>#VALUE!</v>
          </cell>
          <cell r="DK120" t="e">
            <v>#VALUE!</v>
          </cell>
          <cell r="DL120" t="e">
            <v>#VALUE!</v>
          </cell>
          <cell r="DM120" t="e">
            <v>#VALUE!</v>
          </cell>
        </row>
        <row r="121">
          <cell r="C121" t="str">
            <v>F7.1-3.D</v>
          </cell>
          <cell r="D121" t="str">
            <v>Klima-/Lüftungsanlagen</v>
          </cell>
          <cell r="O121">
            <v>40946.429117588668</v>
          </cell>
          <cell r="P121" t="str">
            <v>€</v>
          </cell>
        </row>
        <row r="122">
          <cell r="C122" t="str">
            <v>F7.1-3.D.01</v>
          </cell>
          <cell r="D122" t="str">
            <v>Lüftungsanlagen</v>
          </cell>
          <cell r="O122">
            <v>0</v>
          </cell>
          <cell r="P122" t="str">
            <v>€</v>
          </cell>
        </row>
        <row r="123">
          <cell r="C123" t="str">
            <v>F7.1-3.D.01a</v>
          </cell>
          <cell r="D123" t="str">
            <v>Lüftungsanlagen Rohre</v>
          </cell>
          <cell r="E123" t="str">
            <v>E3.D.01a</v>
          </cell>
          <cell r="F123" t="str">
            <v>E3.D.01*(100-E3D01VAnteil)/100 * PFAKT</v>
          </cell>
          <cell r="G123">
            <v>0</v>
          </cell>
          <cell r="H123">
            <v>0</v>
          </cell>
          <cell r="J123" t="str">
            <v>€/Instandsetzung</v>
          </cell>
          <cell r="K123">
            <v>20</v>
          </cell>
          <cell r="L123" t="str">
            <v>PTECHNIK</v>
          </cell>
          <cell r="M123">
            <v>2</v>
          </cell>
          <cell r="N123">
            <v>1.0049261083743843</v>
          </cell>
          <cell r="O123">
            <v>0</v>
          </cell>
          <cell r="P123" t="str">
            <v>€</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t="e">
            <v>#VALUE!</v>
          </cell>
          <cell r="BC123" t="e">
            <v>#VALUE!</v>
          </cell>
          <cell r="BD123" t="e">
            <v>#VALUE!</v>
          </cell>
          <cell r="BE123" t="e">
            <v>#VALUE!</v>
          </cell>
          <cell r="BF123" t="e">
            <v>#VALUE!</v>
          </cell>
          <cell r="BG123" t="e">
            <v>#VALUE!</v>
          </cell>
          <cell r="BH123" t="e">
            <v>#VALUE!</v>
          </cell>
          <cell r="BI123" t="e">
            <v>#VALUE!</v>
          </cell>
          <cell r="BJ123" t="e">
            <v>#VALUE!</v>
          </cell>
          <cell r="BK123" t="e">
            <v>#VALUE!</v>
          </cell>
          <cell r="BL123" t="e">
            <v>#VALUE!</v>
          </cell>
          <cell r="BM123" t="e">
            <v>#VALUE!</v>
          </cell>
          <cell r="BN123" t="e">
            <v>#VALUE!</v>
          </cell>
          <cell r="BO123" t="e">
            <v>#VALUE!</v>
          </cell>
          <cell r="BP123" t="e">
            <v>#VALUE!</v>
          </cell>
          <cell r="BQ123" t="e">
            <v>#VALUE!</v>
          </cell>
          <cell r="BR123" t="e">
            <v>#VALUE!</v>
          </cell>
          <cell r="BS123" t="e">
            <v>#VALUE!</v>
          </cell>
          <cell r="BT123" t="e">
            <v>#VALUE!</v>
          </cell>
          <cell r="BU123" t="e">
            <v>#VALUE!</v>
          </cell>
          <cell r="BV123" t="e">
            <v>#VALUE!</v>
          </cell>
          <cell r="BW123" t="e">
            <v>#VALUE!</v>
          </cell>
          <cell r="BX123" t="e">
            <v>#VALUE!</v>
          </cell>
          <cell r="BY123" t="e">
            <v>#VALUE!</v>
          </cell>
          <cell r="BZ123" t="e">
            <v>#VALUE!</v>
          </cell>
          <cell r="CA123" t="e">
            <v>#VALUE!</v>
          </cell>
          <cell r="CB123" t="e">
            <v>#VALUE!</v>
          </cell>
          <cell r="CC123" t="e">
            <v>#VALUE!</v>
          </cell>
          <cell r="CD123" t="e">
            <v>#VALUE!</v>
          </cell>
          <cell r="CE123" t="e">
            <v>#VALUE!</v>
          </cell>
          <cell r="CF123" t="e">
            <v>#VALUE!</v>
          </cell>
          <cell r="CG123" t="e">
            <v>#VALUE!</v>
          </cell>
          <cell r="CH123" t="e">
            <v>#VALUE!</v>
          </cell>
          <cell r="CI123" t="e">
            <v>#VALUE!</v>
          </cell>
          <cell r="CJ123" t="e">
            <v>#VALUE!</v>
          </cell>
          <cell r="CK123" t="e">
            <v>#VALUE!</v>
          </cell>
          <cell r="CL123" t="e">
            <v>#VALUE!</v>
          </cell>
          <cell r="CM123" t="e">
            <v>#VALUE!</v>
          </cell>
          <cell r="CN123" t="e">
            <v>#VALUE!</v>
          </cell>
          <cell r="CO123" t="e">
            <v>#VALUE!</v>
          </cell>
          <cell r="CP123" t="e">
            <v>#VALUE!</v>
          </cell>
          <cell r="CQ123" t="e">
            <v>#VALUE!</v>
          </cell>
          <cell r="CR123" t="e">
            <v>#VALUE!</v>
          </cell>
          <cell r="CS123" t="e">
            <v>#VALUE!</v>
          </cell>
          <cell r="CT123" t="e">
            <v>#VALUE!</v>
          </cell>
          <cell r="CU123" t="e">
            <v>#VALUE!</v>
          </cell>
          <cell r="CV123" t="e">
            <v>#VALUE!</v>
          </cell>
          <cell r="CW123" t="e">
            <v>#VALUE!</v>
          </cell>
          <cell r="CX123" t="e">
            <v>#VALUE!</v>
          </cell>
          <cell r="CY123" t="e">
            <v>#VALUE!</v>
          </cell>
          <cell r="CZ123" t="e">
            <v>#VALUE!</v>
          </cell>
          <cell r="DA123" t="e">
            <v>#VALUE!</v>
          </cell>
          <cell r="DB123" t="e">
            <v>#VALUE!</v>
          </cell>
          <cell r="DC123" t="e">
            <v>#VALUE!</v>
          </cell>
          <cell r="DD123" t="e">
            <v>#VALUE!</v>
          </cell>
          <cell r="DE123" t="e">
            <v>#VALUE!</v>
          </cell>
          <cell r="DF123" t="e">
            <v>#VALUE!</v>
          </cell>
          <cell r="DG123" t="e">
            <v>#VALUE!</v>
          </cell>
          <cell r="DH123" t="e">
            <v>#VALUE!</v>
          </cell>
          <cell r="DI123" t="e">
            <v>#VALUE!</v>
          </cell>
          <cell r="DJ123" t="e">
            <v>#VALUE!</v>
          </cell>
          <cell r="DK123" t="e">
            <v>#VALUE!</v>
          </cell>
          <cell r="DL123" t="e">
            <v>#VALUE!</v>
          </cell>
          <cell r="DM123" t="e">
            <v>#VALUE!</v>
          </cell>
        </row>
        <row r="124">
          <cell r="C124" t="str">
            <v>F7.1-3.D.01b</v>
          </cell>
          <cell r="D124" t="str">
            <v>Lüftungsanlagen Ventilatoren</v>
          </cell>
          <cell r="E124" t="str">
            <v>E3.D.01b</v>
          </cell>
          <cell r="F124" t="str">
            <v>E3.D.01*E3D01VAnteil/100 * PFAKT</v>
          </cell>
          <cell r="G124">
            <v>0</v>
          </cell>
          <cell r="H124">
            <v>0</v>
          </cell>
          <cell r="J124" t="str">
            <v>€/Instandsetzung</v>
          </cell>
          <cell r="K124">
            <v>12</v>
          </cell>
          <cell r="L124" t="str">
            <v>PTECHNIK</v>
          </cell>
          <cell r="M124">
            <v>2</v>
          </cell>
          <cell r="N124">
            <v>1.0049261083743843</v>
          </cell>
          <cell r="O124">
            <v>0</v>
          </cell>
          <cell r="P124" t="str">
            <v>€</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t="e">
            <v>#VALUE!</v>
          </cell>
          <cell r="BC124" t="e">
            <v>#VALUE!</v>
          </cell>
          <cell r="BD124" t="e">
            <v>#VALUE!</v>
          </cell>
          <cell r="BE124" t="e">
            <v>#VALUE!</v>
          </cell>
          <cell r="BF124" t="e">
            <v>#VALUE!</v>
          </cell>
          <cell r="BG124" t="e">
            <v>#VALUE!</v>
          </cell>
          <cell r="BH124" t="e">
            <v>#VALUE!</v>
          </cell>
          <cell r="BI124" t="e">
            <v>#VALUE!</v>
          </cell>
          <cell r="BJ124" t="e">
            <v>#VALUE!</v>
          </cell>
          <cell r="BK124" t="e">
            <v>#VALUE!</v>
          </cell>
          <cell r="BL124" t="e">
            <v>#VALUE!</v>
          </cell>
          <cell r="BM124" t="e">
            <v>#VALUE!</v>
          </cell>
          <cell r="BN124" t="e">
            <v>#VALUE!</v>
          </cell>
          <cell r="BO124" t="e">
            <v>#VALUE!</v>
          </cell>
          <cell r="BP124" t="e">
            <v>#VALUE!</v>
          </cell>
          <cell r="BQ124" t="e">
            <v>#VALUE!</v>
          </cell>
          <cell r="BR124" t="e">
            <v>#VALUE!</v>
          </cell>
          <cell r="BS124" t="e">
            <v>#VALUE!</v>
          </cell>
          <cell r="BT124" t="e">
            <v>#VALUE!</v>
          </cell>
          <cell r="BU124" t="e">
            <v>#VALUE!</v>
          </cell>
          <cell r="BV124" t="e">
            <v>#VALUE!</v>
          </cell>
          <cell r="BW124" t="e">
            <v>#VALUE!</v>
          </cell>
          <cell r="BX124" t="e">
            <v>#VALUE!</v>
          </cell>
          <cell r="BY124" t="e">
            <v>#VALUE!</v>
          </cell>
          <cell r="BZ124" t="e">
            <v>#VALUE!</v>
          </cell>
          <cell r="CA124" t="e">
            <v>#VALUE!</v>
          </cell>
          <cell r="CB124" t="e">
            <v>#VALUE!</v>
          </cell>
          <cell r="CC124" t="e">
            <v>#VALUE!</v>
          </cell>
          <cell r="CD124" t="e">
            <v>#VALUE!</v>
          </cell>
          <cell r="CE124" t="e">
            <v>#VALUE!</v>
          </cell>
          <cell r="CF124" t="e">
            <v>#VALUE!</v>
          </cell>
          <cell r="CG124" t="e">
            <v>#VALUE!</v>
          </cell>
          <cell r="CH124" t="e">
            <v>#VALUE!</v>
          </cell>
          <cell r="CI124" t="e">
            <v>#VALUE!</v>
          </cell>
          <cell r="CJ124" t="e">
            <v>#VALUE!</v>
          </cell>
          <cell r="CK124" t="e">
            <v>#VALUE!</v>
          </cell>
          <cell r="CL124" t="e">
            <v>#VALUE!</v>
          </cell>
          <cell r="CM124" t="e">
            <v>#VALUE!</v>
          </cell>
          <cell r="CN124" t="e">
            <v>#VALUE!</v>
          </cell>
          <cell r="CO124" t="e">
            <v>#VALUE!</v>
          </cell>
          <cell r="CP124" t="e">
            <v>#VALUE!</v>
          </cell>
          <cell r="CQ124" t="e">
            <v>#VALUE!</v>
          </cell>
          <cell r="CR124" t="e">
            <v>#VALUE!</v>
          </cell>
          <cell r="CS124" t="e">
            <v>#VALUE!</v>
          </cell>
          <cell r="CT124" t="e">
            <v>#VALUE!</v>
          </cell>
          <cell r="CU124" t="e">
            <v>#VALUE!</v>
          </cell>
          <cell r="CV124" t="e">
            <v>#VALUE!</v>
          </cell>
          <cell r="CW124" t="e">
            <v>#VALUE!</v>
          </cell>
          <cell r="CX124" t="e">
            <v>#VALUE!</v>
          </cell>
          <cell r="CY124" t="e">
            <v>#VALUE!</v>
          </cell>
          <cell r="CZ124" t="e">
            <v>#VALUE!</v>
          </cell>
          <cell r="DA124" t="e">
            <v>#VALUE!</v>
          </cell>
          <cell r="DB124" t="e">
            <v>#VALUE!</v>
          </cell>
          <cell r="DC124" t="e">
            <v>#VALUE!</v>
          </cell>
          <cell r="DD124" t="e">
            <v>#VALUE!</v>
          </cell>
          <cell r="DE124" t="e">
            <v>#VALUE!</v>
          </cell>
          <cell r="DF124" t="e">
            <v>#VALUE!</v>
          </cell>
          <cell r="DG124" t="e">
            <v>#VALUE!</v>
          </cell>
          <cell r="DH124" t="e">
            <v>#VALUE!</v>
          </cell>
          <cell r="DI124" t="e">
            <v>#VALUE!</v>
          </cell>
          <cell r="DJ124" t="e">
            <v>#VALUE!</v>
          </cell>
          <cell r="DK124" t="e">
            <v>#VALUE!</v>
          </cell>
          <cell r="DL124" t="e">
            <v>#VALUE!</v>
          </cell>
          <cell r="DM124" t="e">
            <v>#VALUE!</v>
          </cell>
        </row>
        <row r="125">
          <cell r="C125" t="str">
            <v>F7.1-3.D.02</v>
          </cell>
          <cell r="D125" t="str">
            <v>Teilklimaanlagen</v>
          </cell>
          <cell r="E125" t="str">
            <v>E3.D.02</v>
          </cell>
          <cell r="F125" t="str">
            <v>E3.D.02 * PFAKT</v>
          </cell>
          <cell r="G125">
            <v>0</v>
          </cell>
          <cell r="H125">
            <v>0</v>
          </cell>
          <cell r="J125" t="str">
            <v>€/Instandsetzung</v>
          </cell>
          <cell r="K125">
            <v>20</v>
          </cell>
          <cell r="L125" t="str">
            <v>PTECHNIK</v>
          </cell>
          <cell r="M125">
            <v>2</v>
          </cell>
          <cell r="N125">
            <v>1.0049261083743843</v>
          </cell>
          <cell r="O125">
            <v>0</v>
          </cell>
          <cell r="P125" t="str">
            <v>€</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t="e">
            <v>#VALUE!</v>
          </cell>
          <cell r="BC125" t="e">
            <v>#VALUE!</v>
          </cell>
          <cell r="BD125" t="e">
            <v>#VALUE!</v>
          </cell>
          <cell r="BE125" t="e">
            <v>#VALUE!</v>
          </cell>
          <cell r="BF125" t="e">
            <v>#VALUE!</v>
          </cell>
          <cell r="BG125" t="e">
            <v>#VALUE!</v>
          </cell>
          <cell r="BH125" t="e">
            <v>#VALUE!</v>
          </cell>
          <cell r="BI125" t="e">
            <v>#VALUE!</v>
          </cell>
          <cell r="BJ125" t="e">
            <v>#VALUE!</v>
          </cell>
          <cell r="BK125" t="e">
            <v>#VALUE!</v>
          </cell>
          <cell r="BL125" t="e">
            <v>#VALUE!</v>
          </cell>
          <cell r="BM125" t="e">
            <v>#VALUE!</v>
          </cell>
          <cell r="BN125" t="e">
            <v>#VALUE!</v>
          </cell>
          <cell r="BO125" t="e">
            <v>#VALUE!</v>
          </cell>
          <cell r="BP125" t="e">
            <v>#VALUE!</v>
          </cell>
          <cell r="BQ125" t="e">
            <v>#VALUE!</v>
          </cell>
          <cell r="BR125" t="e">
            <v>#VALUE!</v>
          </cell>
          <cell r="BS125" t="e">
            <v>#VALUE!</v>
          </cell>
          <cell r="BT125" t="e">
            <v>#VALUE!</v>
          </cell>
          <cell r="BU125" t="e">
            <v>#VALUE!</v>
          </cell>
          <cell r="BV125" t="e">
            <v>#VALUE!</v>
          </cell>
          <cell r="BW125" t="e">
            <v>#VALUE!</v>
          </cell>
          <cell r="BX125" t="e">
            <v>#VALUE!</v>
          </cell>
          <cell r="BY125" t="e">
            <v>#VALUE!</v>
          </cell>
          <cell r="BZ125" t="e">
            <v>#VALUE!</v>
          </cell>
          <cell r="CA125" t="e">
            <v>#VALUE!</v>
          </cell>
          <cell r="CB125" t="e">
            <v>#VALUE!</v>
          </cell>
          <cell r="CC125" t="e">
            <v>#VALUE!</v>
          </cell>
          <cell r="CD125" t="e">
            <v>#VALUE!</v>
          </cell>
          <cell r="CE125" t="e">
            <v>#VALUE!</v>
          </cell>
          <cell r="CF125" t="e">
            <v>#VALUE!</v>
          </cell>
          <cell r="CG125" t="e">
            <v>#VALUE!</v>
          </cell>
          <cell r="CH125" t="e">
            <v>#VALUE!</v>
          </cell>
          <cell r="CI125" t="e">
            <v>#VALUE!</v>
          </cell>
          <cell r="CJ125" t="e">
            <v>#VALUE!</v>
          </cell>
          <cell r="CK125" t="e">
            <v>#VALUE!</v>
          </cell>
          <cell r="CL125" t="e">
            <v>#VALUE!</v>
          </cell>
          <cell r="CM125" t="e">
            <v>#VALUE!</v>
          </cell>
          <cell r="CN125" t="e">
            <v>#VALUE!</v>
          </cell>
          <cell r="CO125" t="e">
            <v>#VALUE!</v>
          </cell>
          <cell r="CP125" t="e">
            <v>#VALUE!</v>
          </cell>
          <cell r="CQ125" t="e">
            <v>#VALUE!</v>
          </cell>
          <cell r="CR125" t="e">
            <v>#VALUE!</v>
          </cell>
          <cell r="CS125" t="e">
            <v>#VALUE!</v>
          </cell>
          <cell r="CT125" t="e">
            <v>#VALUE!</v>
          </cell>
          <cell r="CU125" t="e">
            <v>#VALUE!</v>
          </cell>
          <cell r="CV125" t="e">
            <v>#VALUE!</v>
          </cell>
          <cell r="CW125" t="e">
            <v>#VALUE!</v>
          </cell>
          <cell r="CX125" t="e">
            <v>#VALUE!</v>
          </cell>
          <cell r="CY125" t="e">
            <v>#VALUE!</v>
          </cell>
          <cell r="CZ125" t="e">
            <v>#VALUE!</v>
          </cell>
          <cell r="DA125" t="e">
            <v>#VALUE!</v>
          </cell>
          <cell r="DB125" t="e">
            <v>#VALUE!</v>
          </cell>
          <cell r="DC125" t="e">
            <v>#VALUE!</v>
          </cell>
          <cell r="DD125" t="e">
            <v>#VALUE!</v>
          </cell>
          <cell r="DE125" t="e">
            <v>#VALUE!</v>
          </cell>
          <cell r="DF125" t="e">
            <v>#VALUE!</v>
          </cell>
          <cell r="DG125" t="e">
            <v>#VALUE!</v>
          </cell>
          <cell r="DH125" t="e">
            <v>#VALUE!</v>
          </cell>
          <cell r="DI125" t="e">
            <v>#VALUE!</v>
          </cell>
          <cell r="DJ125" t="e">
            <v>#VALUE!</v>
          </cell>
          <cell r="DK125" t="e">
            <v>#VALUE!</v>
          </cell>
          <cell r="DL125" t="e">
            <v>#VALUE!</v>
          </cell>
          <cell r="DM125" t="e">
            <v>#VALUE!</v>
          </cell>
        </row>
        <row r="126">
          <cell r="C126" t="str">
            <v>F7.1-3.D.03</v>
          </cell>
          <cell r="D126" t="str">
            <v>Klimaanlagen</v>
          </cell>
          <cell r="E126" t="str">
            <v>E3.D.03</v>
          </cell>
          <cell r="F126" t="str">
            <v>E3.D.03 * PFAKT</v>
          </cell>
          <cell r="G126">
            <v>0</v>
          </cell>
          <cell r="H126">
            <v>0</v>
          </cell>
          <cell r="J126" t="str">
            <v>€/Instandsetzung</v>
          </cell>
          <cell r="K126">
            <v>15</v>
          </cell>
          <cell r="L126" t="str">
            <v>PTECHNIK</v>
          </cell>
          <cell r="M126">
            <v>2</v>
          </cell>
          <cell r="N126">
            <v>1.0049261083743843</v>
          </cell>
          <cell r="O126">
            <v>0</v>
          </cell>
          <cell r="P126" t="str">
            <v>€</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t="e">
            <v>#VALUE!</v>
          </cell>
          <cell r="BC126" t="e">
            <v>#VALUE!</v>
          </cell>
          <cell r="BD126" t="e">
            <v>#VALUE!</v>
          </cell>
          <cell r="BE126" t="e">
            <v>#VALUE!</v>
          </cell>
          <cell r="BF126" t="e">
            <v>#VALUE!</v>
          </cell>
          <cell r="BG126" t="e">
            <v>#VALUE!</v>
          </cell>
          <cell r="BH126" t="e">
            <v>#VALUE!</v>
          </cell>
          <cell r="BI126" t="e">
            <v>#VALUE!</v>
          </cell>
          <cell r="BJ126" t="e">
            <v>#VALUE!</v>
          </cell>
          <cell r="BK126" t="e">
            <v>#VALUE!</v>
          </cell>
          <cell r="BL126" t="e">
            <v>#VALUE!</v>
          </cell>
          <cell r="BM126" t="e">
            <v>#VALUE!</v>
          </cell>
          <cell r="BN126" t="e">
            <v>#VALUE!</v>
          </cell>
          <cell r="BO126" t="e">
            <v>#VALUE!</v>
          </cell>
          <cell r="BP126" t="e">
            <v>#VALUE!</v>
          </cell>
          <cell r="BQ126" t="e">
            <v>#VALUE!</v>
          </cell>
          <cell r="BR126" t="e">
            <v>#VALUE!</v>
          </cell>
          <cell r="BS126" t="e">
            <v>#VALUE!</v>
          </cell>
          <cell r="BT126" t="e">
            <v>#VALUE!</v>
          </cell>
          <cell r="BU126" t="e">
            <v>#VALUE!</v>
          </cell>
          <cell r="BV126" t="e">
            <v>#VALUE!</v>
          </cell>
          <cell r="BW126" t="e">
            <v>#VALUE!</v>
          </cell>
          <cell r="BX126" t="e">
            <v>#VALUE!</v>
          </cell>
          <cell r="BY126" t="e">
            <v>#VALUE!</v>
          </cell>
          <cell r="BZ126" t="e">
            <v>#VALUE!</v>
          </cell>
          <cell r="CA126" t="e">
            <v>#VALUE!</v>
          </cell>
          <cell r="CB126" t="e">
            <v>#VALUE!</v>
          </cell>
          <cell r="CC126" t="e">
            <v>#VALUE!</v>
          </cell>
          <cell r="CD126" t="e">
            <v>#VALUE!</v>
          </cell>
          <cell r="CE126" t="e">
            <v>#VALUE!</v>
          </cell>
          <cell r="CF126" t="e">
            <v>#VALUE!</v>
          </cell>
          <cell r="CG126" t="e">
            <v>#VALUE!</v>
          </cell>
          <cell r="CH126" t="e">
            <v>#VALUE!</v>
          </cell>
          <cell r="CI126" t="e">
            <v>#VALUE!</v>
          </cell>
          <cell r="CJ126" t="e">
            <v>#VALUE!</v>
          </cell>
          <cell r="CK126" t="e">
            <v>#VALUE!</v>
          </cell>
          <cell r="CL126" t="e">
            <v>#VALUE!</v>
          </cell>
          <cell r="CM126" t="e">
            <v>#VALUE!</v>
          </cell>
          <cell r="CN126" t="e">
            <v>#VALUE!</v>
          </cell>
          <cell r="CO126" t="e">
            <v>#VALUE!</v>
          </cell>
          <cell r="CP126" t="e">
            <v>#VALUE!</v>
          </cell>
          <cell r="CQ126" t="e">
            <v>#VALUE!</v>
          </cell>
          <cell r="CR126" t="e">
            <v>#VALUE!</v>
          </cell>
          <cell r="CS126" t="e">
            <v>#VALUE!</v>
          </cell>
          <cell r="CT126" t="e">
            <v>#VALUE!</v>
          </cell>
          <cell r="CU126" t="e">
            <v>#VALUE!</v>
          </cell>
          <cell r="CV126" t="e">
            <v>#VALUE!</v>
          </cell>
          <cell r="CW126" t="e">
            <v>#VALUE!</v>
          </cell>
          <cell r="CX126" t="e">
            <v>#VALUE!</v>
          </cell>
          <cell r="CY126" t="e">
            <v>#VALUE!</v>
          </cell>
          <cell r="CZ126" t="e">
            <v>#VALUE!</v>
          </cell>
          <cell r="DA126" t="e">
            <v>#VALUE!</v>
          </cell>
          <cell r="DB126" t="e">
            <v>#VALUE!</v>
          </cell>
          <cell r="DC126" t="e">
            <v>#VALUE!</v>
          </cell>
          <cell r="DD126" t="e">
            <v>#VALUE!</v>
          </cell>
          <cell r="DE126" t="e">
            <v>#VALUE!</v>
          </cell>
          <cell r="DF126" t="e">
            <v>#VALUE!</v>
          </cell>
          <cell r="DG126" t="e">
            <v>#VALUE!</v>
          </cell>
          <cell r="DH126" t="e">
            <v>#VALUE!</v>
          </cell>
          <cell r="DI126" t="e">
            <v>#VALUE!</v>
          </cell>
          <cell r="DJ126" t="e">
            <v>#VALUE!</v>
          </cell>
          <cell r="DK126" t="e">
            <v>#VALUE!</v>
          </cell>
          <cell r="DL126" t="e">
            <v>#VALUE!</v>
          </cell>
          <cell r="DM126" t="e">
            <v>#VALUE!</v>
          </cell>
        </row>
        <row r="127">
          <cell r="C127" t="str">
            <v>F7.1-3.D.04</v>
          </cell>
          <cell r="D127" t="str">
            <v>Kälteanlagen</v>
          </cell>
          <cell r="E127" t="str">
            <v>E3.D.04</v>
          </cell>
          <cell r="F127" t="str">
            <v>E3.D.04 * PFAKT</v>
          </cell>
          <cell r="G127">
            <v>0</v>
          </cell>
          <cell r="H127">
            <v>0</v>
          </cell>
          <cell r="J127" t="str">
            <v>€/Instandsetzung</v>
          </cell>
          <cell r="K127">
            <v>15</v>
          </cell>
          <cell r="L127" t="str">
            <v>PTECHNIK</v>
          </cell>
          <cell r="M127">
            <v>2</v>
          </cell>
          <cell r="N127">
            <v>1.0049261083743843</v>
          </cell>
          <cell r="O127">
            <v>0</v>
          </cell>
          <cell r="P127" t="str">
            <v>€</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cell r="BB127" t="e">
            <v>#VALUE!</v>
          </cell>
          <cell r="BC127" t="e">
            <v>#VALUE!</v>
          </cell>
          <cell r="BD127" t="e">
            <v>#VALUE!</v>
          </cell>
          <cell r="BE127" t="e">
            <v>#VALUE!</v>
          </cell>
          <cell r="BF127" t="e">
            <v>#VALUE!</v>
          </cell>
          <cell r="BG127" t="e">
            <v>#VALUE!</v>
          </cell>
          <cell r="BH127" t="e">
            <v>#VALUE!</v>
          </cell>
          <cell r="BI127" t="e">
            <v>#VALUE!</v>
          </cell>
          <cell r="BJ127" t="e">
            <v>#VALUE!</v>
          </cell>
          <cell r="BK127" t="e">
            <v>#VALUE!</v>
          </cell>
          <cell r="BL127" t="e">
            <v>#VALUE!</v>
          </cell>
          <cell r="BM127" t="e">
            <v>#VALUE!</v>
          </cell>
          <cell r="BN127" t="e">
            <v>#VALUE!</v>
          </cell>
          <cell r="BO127" t="e">
            <v>#VALUE!</v>
          </cell>
          <cell r="BP127" t="e">
            <v>#VALUE!</v>
          </cell>
          <cell r="BQ127" t="e">
            <v>#VALUE!</v>
          </cell>
          <cell r="BR127" t="e">
            <v>#VALUE!</v>
          </cell>
          <cell r="BS127" t="e">
            <v>#VALUE!</v>
          </cell>
          <cell r="BT127" t="e">
            <v>#VALUE!</v>
          </cell>
          <cell r="BU127" t="e">
            <v>#VALUE!</v>
          </cell>
          <cell r="BV127" t="e">
            <v>#VALUE!</v>
          </cell>
          <cell r="BW127" t="e">
            <v>#VALUE!</v>
          </cell>
          <cell r="BX127" t="e">
            <v>#VALUE!</v>
          </cell>
          <cell r="BY127" t="e">
            <v>#VALUE!</v>
          </cell>
          <cell r="BZ127" t="e">
            <v>#VALUE!</v>
          </cell>
          <cell r="CA127" t="e">
            <v>#VALUE!</v>
          </cell>
          <cell r="CB127" t="e">
            <v>#VALUE!</v>
          </cell>
          <cell r="CC127" t="e">
            <v>#VALUE!</v>
          </cell>
          <cell r="CD127" t="e">
            <v>#VALUE!</v>
          </cell>
          <cell r="CE127" t="e">
            <v>#VALUE!</v>
          </cell>
          <cell r="CF127" t="e">
            <v>#VALUE!</v>
          </cell>
          <cell r="CG127" t="e">
            <v>#VALUE!</v>
          </cell>
          <cell r="CH127" t="e">
            <v>#VALUE!</v>
          </cell>
          <cell r="CI127" t="e">
            <v>#VALUE!</v>
          </cell>
          <cell r="CJ127" t="e">
            <v>#VALUE!</v>
          </cell>
          <cell r="CK127" t="e">
            <v>#VALUE!</v>
          </cell>
          <cell r="CL127" t="e">
            <v>#VALUE!</v>
          </cell>
          <cell r="CM127" t="e">
            <v>#VALUE!</v>
          </cell>
          <cell r="CN127" t="e">
            <v>#VALUE!</v>
          </cell>
          <cell r="CO127" t="e">
            <v>#VALUE!</v>
          </cell>
          <cell r="CP127" t="e">
            <v>#VALUE!</v>
          </cell>
          <cell r="CQ127" t="e">
            <v>#VALUE!</v>
          </cell>
          <cell r="CR127" t="e">
            <v>#VALUE!</v>
          </cell>
          <cell r="CS127" t="e">
            <v>#VALUE!</v>
          </cell>
          <cell r="CT127" t="e">
            <v>#VALUE!</v>
          </cell>
          <cell r="CU127" t="e">
            <v>#VALUE!</v>
          </cell>
          <cell r="CV127" t="e">
            <v>#VALUE!</v>
          </cell>
          <cell r="CW127" t="e">
            <v>#VALUE!</v>
          </cell>
          <cell r="CX127" t="e">
            <v>#VALUE!</v>
          </cell>
          <cell r="CY127" t="e">
            <v>#VALUE!</v>
          </cell>
          <cell r="CZ127" t="e">
            <v>#VALUE!</v>
          </cell>
          <cell r="DA127" t="e">
            <v>#VALUE!</v>
          </cell>
          <cell r="DB127" t="e">
            <v>#VALUE!</v>
          </cell>
          <cell r="DC127" t="e">
            <v>#VALUE!</v>
          </cell>
          <cell r="DD127" t="e">
            <v>#VALUE!</v>
          </cell>
          <cell r="DE127" t="e">
            <v>#VALUE!</v>
          </cell>
          <cell r="DF127" t="e">
            <v>#VALUE!</v>
          </cell>
          <cell r="DG127" t="e">
            <v>#VALUE!</v>
          </cell>
          <cell r="DH127" t="e">
            <v>#VALUE!</v>
          </cell>
          <cell r="DI127" t="e">
            <v>#VALUE!</v>
          </cell>
          <cell r="DJ127" t="e">
            <v>#VALUE!</v>
          </cell>
          <cell r="DK127" t="e">
            <v>#VALUE!</v>
          </cell>
          <cell r="DL127" t="e">
            <v>#VALUE!</v>
          </cell>
          <cell r="DM127" t="e">
            <v>#VALUE!</v>
          </cell>
        </row>
        <row r="128">
          <cell r="C128" t="str">
            <v>F7.1-3.D.05</v>
          </cell>
          <cell r="D128" t="str">
            <v>Prozesslufttechnische Anlagen</v>
          </cell>
          <cell r="E128" t="str">
            <v>E3.D.05</v>
          </cell>
          <cell r="F128" t="str">
            <v>E3.D.05 * PFAKT</v>
          </cell>
          <cell r="G128">
            <v>0</v>
          </cell>
          <cell r="H128">
            <v>0</v>
          </cell>
          <cell r="J128" t="str">
            <v>€/Instandsetzung</v>
          </cell>
          <cell r="K128">
            <v>20</v>
          </cell>
          <cell r="L128" t="str">
            <v>PTECHNIK</v>
          </cell>
          <cell r="M128">
            <v>2</v>
          </cell>
          <cell r="N128">
            <v>1.0049261083743843</v>
          </cell>
          <cell r="O128">
            <v>0</v>
          </cell>
          <cell r="P128" t="str">
            <v>€</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t="e">
            <v>#VALUE!</v>
          </cell>
          <cell r="BC128" t="e">
            <v>#VALUE!</v>
          </cell>
          <cell r="BD128" t="e">
            <v>#VALUE!</v>
          </cell>
          <cell r="BE128" t="e">
            <v>#VALUE!</v>
          </cell>
          <cell r="BF128" t="e">
            <v>#VALUE!</v>
          </cell>
          <cell r="BG128" t="e">
            <v>#VALUE!</v>
          </cell>
          <cell r="BH128" t="e">
            <v>#VALUE!</v>
          </cell>
          <cell r="BI128" t="e">
            <v>#VALUE!</v>
          </cell>
          <cell r="BJ128" t="e">
            <v>#VALUE!</v>
          </cell>
          <cell r="BK128" t="e">
            <v>#VALUE!</v>
          </cell>
          <cell r="BL128" t="e">
            <v>#VALUE!</v>
          </cell>
          <cell r="BM128" t="e">
            <v>#VALUE!</v>
          </cell>
          <cell r="BN128" t="e">
            <v>#VALUE!</v>
          </cell>
          <cell r="BO128" t="e">
            <v>#VALUE!</v>
          </cell>
          <cell r="BP128" t="e">
            <v>#VALUE!</v>
          </cell>
          <cell r="BQ128" t="e">
            <v>#VALUE!</v>
          </cell>
          <cell r="BR128" t="e">
            <v>#VALUE!</v>
          </cell>
          <cell r="BS128" t="e">
            <v>#VALUE!</v>
          </cell>
          <cell r="BT128" t="e">
            <v>#VALUE!</v>
          </cell>
          <cell r="BU128" t="e">
            <v>#VALUE!</v>
          </cell>
          <cell r="BV128" t="e">
            <v>#VALUE!</v>
          </cell>
          <cell r="BW128" t="e">
            <v>#VALUE!</v>
          </cell>
          <cell r="BX128" t="e">
            <v>#VALUE!</v>
          </cell>
          <cell r="BY128" t="e">
            <v>#VALUE!</v>
          </cell>
          <cell r="BZ128" t="e">
            <v>#VALUE!</v>
          </cell>
          <cell r="CA128" t="e">
            <v>#VALUE!</v>
          </cell>
          <cell r="CB128" t="e">
            <v>#VALUE!</v>
          </cell>
          <cell r="CC128" t="e">
            <v>#VALUE!</v>
          </cell>
          <cell r="CD128" t="e">
            <v>#VALUE!</v>
          </cell>
          <cell r="CE128" t="e">
            <v>#VALUE!</v>
          </cell>
          <cell r="CF128" t="e">
            <v>#VALUE!</v>
          </cell>
          <cell r="CG128" t="e">
            <v>#VALUE!</v>
          </cell>
          <cell r="CH128" t="e">
            <v>#VALUE!</v>
          </cell>
          <cell r="CI128" t="e">
            <v>#VALUE!</v>
          </cell>
          <cell r="CJ128" t="e">
            <v>#VALUE!</v>
          </cell>
          <cell r="CK128" t="e">
            <v>#VALUE!</v>
          </cell>
          <cell r="CL128" t="e">
            <v>#VALUE!</v>
          </cell>
          <cell r="CM128" t="e">
            <v>#VALUE!</v>
          </cell>
          <cell r="CN128" t="e">
            <v>#VALUE!</v>
          </cell>
          <cell r="CO128" t="e">
            <v>#VALUE!</v>
          </cell>
          <cell r="CP128" t="e">
            <v>#VALUE!</v>
          </cell>
          <cell r="CQ128" t="e">
            <v>#VALUE!</v>
          </cell>
          <cell r="CR128" t="e">
            <v>#VALUE!</v>
          </cell>
          <cell r="CS128" t="e">
            <v>#VALUE!</v>
          </cell>
          <cell r="CT128" t="e">
            <v>#VALUE!</v>
          </cell>
          <cell r="CU128" t="e">
            <v>#VALUE!</v>
          </cell>
          <cell r="CV128" t="e">
            <v>#VALUE!</v>
          </cell>
          <cell r="CW128" t="e">
            <v>#VALUE!</v>
          </cell>
          <cell r="CX128" t="e">
            <v>#VALUE!</v>
          </cell>
          <cell r="CY128" t="e">
            <v>#VALUE!</v>
          </cell>
          <cell r="CZ128" t="e">
            <v>#VALUE!</v>
          </cell>
          <cell r="DA128" t="e">
            <v>#VALUE!</v>
          </cell>
          <cell r="DB128" t="e">
            <v>#VALUE!</v>
          </cell>
          <cell r="DC128" t="e">
            <v>#VALUE!</v>
          </cell>
          <cell r="DD128" t="e">
            <v>#VALUE!</v>
          </cell>
          <cell r="DE128" t="e">
            <v>#VALUE!</v>
          </cell>
          <cell r="DF128" t="e">
            <v>#VALUE!</v>
          </cell>
          <cell r="DG128" t="e">
            <v>#VALUE!</v>
          </cell>
          <cell r="DH128" t="e">
            <v>#VALUE!</v>
          </cell>
          <cell r="DI128" t="e">
            <v>#VALUE!</v>
          </cell>
          <cell r="DJ128" t="e">
            <v>#VALUE!</v>
          </cell>
          <cell r="DK128" t="e">
            <v>#VALUE!</v>
          </cell>
          <cell r="DL128" t="e">
            <v>#VALUE!</v>
          </cell>
          <cell r="DM128" t="e">
            <v>#VALUE!</v>
          </cell>
        </row>
        <row r="129">
          <cell r="C129" t="str">
            <v>F7.1-3.D.S</v>
          </cell>
          <cell r="D129" t="str">
            <v>Sonstige Klima-/Lüftungsanlagen</v>
          </cell>
          <cell r="E129" t="str">
            <v>E3.D.S</v>
          </cell>
          <cell r="F129" t="str">
            <v>E3.D.S * PFAKT</v>
          </cell>
          <cell r="G129">
            <v>37113.630809966096</v>
          </cell>
          <cell r="H129">
            <v>37113.630809966096</v>
          </cell>
          <cell r="J129" t="str">
            <v>€/Instandsetzung</v>
          </cell>
          <cell r="K129">
            <v>20</v>
          </cell>
          <cell r="L129" t="str">
            <v>PTECHNIK</v>
          </cell>
          <cell r="M129">
            <v>2</v>
          </cell>
          <cell r="N129">
            <v>1.0049261083743843</v>
          </cell>
          <cell r="O129">
            <v>40946.429117588668</v>
          </cell>
          <cell r="P129" t="str">
            <v>€</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40946.429117588668</v>
          </cell>
          <cell r="AL129">
            <v>40946.429117588668</v>
          </cell>
          <cell r="AM129">
            <v>40946.429117588668</v>
          </cell>
          <cell r="AN129">
            <v>40946.429117588668</v>
          </cell>
          <cell r="AO129">
            <v>40946.429117588668</v>
          </cell>
          <cell r="AP129">
            <v>40946.429117588668</v>
          </cell>
          <cell r="AQ129">
            <v>40946.429117588668</v>
          </cell>
          <cell r="AR129">
            <v>40946.429117588668</v>
          </cell>
          <cell r="AS129">
            <v>40946.429117588668</v>
          </cell>
          <cell r="AT129">
            <v>40946.429117588668</v>
          </cell>
          <cell r="AU129">
            <v>40946.429117588668</v>
          </cell>
          <cell r="AV129">
            <v>40946.429117588668</v>
          </cell>
          <cell r="AW129">
            <v>40946.429117588668</v>
          </cell>
          <cell r="AX129">
            <v>40946.429117588668</v>
          </cell>
          <cell r="AY129">
            <v>40946.429117588668</v>
          </cell>
          <cell r="AZ129">
            <v>40946.429117588668</v>
          </cell>
          <cell r="BA129">
            <v>40946.429117588668</v>
          </cell>
          <cell r="BB129" t="e">
            <v>#VALUE!</v>
          </cell>
          <cell r="BC129" t="e">
            <v>#VALUE!</v>
          </cell>
          <cell r="BD129" t="e">
            <v>#VALUE!</v>
          </cell>
          <cell r="BE129" t="e">
            <v>#VALUE!</v>
          </cell>
          <cell r="BF129" t="e">
            <v>#VALUE!</v>
          </cell>
          <cell r="BG129" t="e">
            <v>#VALUE!</v>
          </cell>
          <cell r="BH129" t="e">
            <v>#VALUE!</v>
          </cell>
          <cell r="BI129" t="e">
            <v>#VALUE!</v>
          </cell>
          <cell r="BJ129" t="e">
            <v>#VALUE!</v>
          </cell>
          <cell r="BK129" t="e">
            <v>#VALUE!</v>
          </cell>
          <cell r="BL129" t="e">
            <v>#VALUE!</v>
          </cell>
          <cell r="BM129" t="e">
            <v>#VALUE!</v>
          </cell>
          <cell r="BN129" t="e">
            <v>#VALUE!</v>
          </cell>
          <cell r="BO129" t="e">
            <v>#VALUE!</v>
          </cell>
          <cell r="BP129" t="e">
            <v>#VALUE!</v>
          </cell>
          <cell r="BQ129" t="e">
            <v>#VALUE!</v>
          </cell>
          <cell r="BR129" t="e">
            <v>#VALUE!</v>
          </cell>
          <cell r="BS129" t="e">
            <v>#VALUE!</v>
          </cell>
          <cell r="BT129" t="e">
            <v>#VALUE!</v>
          </cell>
          <cell r="BU129" t="e">
            <v>#VALUE!</v>
          </cell>
          <cell r="BV129" t="e">
            <v>#VALUE!</v>
          </cell>
          <cell r="BW129" t="e">
            <v>#VALUE!</v>
          </cell>
          <cell r="BX129" t="e">
            <v>#VALUE!</v>
          </cell>
          <cell r="BY129" t="e">
            <v>#VALUE!</v>
          </cell>
          <cell r="BZ129" t="e">
            <v>#VALUE!</v>
          </cell>
          <cell r="CA129" t="e">
            <v>#VALUE!</v>
          </cell>
          <cell r="CB129" t="e">
            <v>#VALUE!</v>
          </cell>
          <cell r="CC129" t="e">
            <v>#VALUE!</v>
          </cell>
          <cell r="CD129" t="e">
            <v>#VALUE!</v>
          </cell>
          <cell r="CE129" t="e">
            <v>#VALUE!</v>
          </cell>
          <cell r="CF129" t="e">
            <v>#VALUE!</v>
          </cell>
          <cell r="CG129" t="e">
            <v>#VALUE!</v>
          </cell>
          <cell r="CH129" t="e">
            <v>#VALUE!</v>
          </cell>
          <cell r="CI129" t="e">
            <v>#VALUE!</v>
          </cell>
          <cell r="CJ129" t="e">
            <v>#VALUE!</v>
          </cell>
          <cell r="CK129" t="e">
            <v>#VALUE!</v>
          </cell>
          <cell r="CL129" t="e">
            <v>#VALUE!</v>
          </cell>
          <cell r="CM129" t="e">
            <v>#VALUE!</v>
          </cell>
          <cell r="CN129" t="e">
            <v>#VALUE!</v>
          </cell>
          <cell r="CO129" t="e">
            <v>#VALUE!</v>
          </cell>
          <cell r="CP129" t="e">
            <v>#VALUE!</v>
          </cell>
          <cell r="CQ129" t="e">
            <v>#VALUE!</v>
          </cell>
          <cell r="CR129" t="e">
            <v>#VALUE!</v>
          </cell>
          <cell r="CS129" t="e">
            <v>#VALUE!</v>
          </cell>
          <cell r="CT129" t="e">
            <v>#VALUE!</v>
          </cell>
          <cell r="CU129" t="e">
            <v>#VALUE!</v>
          </cell>
          <cell r="CV129" t="e">
            <v>#VALUE!</v>
          </cell>
          <cell r="CW129" t="e">
            <v>#VALUE!</v>
          </cell>
          <cell r="CX129" t="e">
            <v>#VALUE!</v>
          </cell>
          <cell r="CY129" t="e">
            <v>#VALUE!</v>
          </cell>
          <cell r="CZ129" t="e">
            <v>#VALUE!</v>
          </cell>
          <cell r="DA129" t="e">
            <v>#VALUE!</v>
          </cell>
          <cell r="DB129" t="e">
            <v>#VALUE!</v>
          </cell>
          <cell r="DC129" t="e">
            <v>#VALUE!</v>
          </cell>
          <cell r="DD129" t="e">
            <v>#VALUE!</v>
          </cell>
          <cell r="DE129" t="e">
            <v>#VALUE!</v>
          </cell>
          <cell r="DF129" t="e">
            <v>#VALUE!</v>
          </cell>
          <cell r="DG129" t="e">
            <v>#VALUE!</v>
          </cell>
          <cell r="DH129" t="e">
            <v>#VALUE!</v>
          </cell>
          <cell r="DI129" t="e">
            <v>#VALUE!</v>
          </cell>
          <cell r="DJ129" t="e">
            <v>#VALUE!</v>
          </cell>
          <cell r="DK129" t="e">
            <v>#VALUE!</v>
          </cell>
          <cell r="DL129" t="e">
            <v>#VALUE!</v>
          </cell>
          <cell r="DM129" t="e">
            <v>#VALUE!</v>
          </cell>
        </row>
        <row r="130">
          <cell r="C130" t="str">
            <v>F7.1-3.E</v>
          </cell>
          <cell r="D130" t="str">
            <v>Sanitär-/Gasanlagen</v>
          </cell>
          <cell r="O130">
            <v>57013.725270531584</v>
          </cell>
          <cell r="P130" t="str">
            <v>€</v>
          </cell>
        </row>
        <row r="131">
          <cell r="C131" t="str">
            <v>F7.1-3.E.01</v>
          </cell>
          <cell r="D131" t="str">
            <v>Abwasseranlagen</v>
          </cell>
          <cell r="E131" t="str">
            <v>E3.E.01</v>
          </cell>
          <cell r="F131" t="str">
            <v>E3.E.01 * PFAKT</v>
          </cell>
          <cell r="G131">
            <v>0</v>
          </cell>
          <cell r="H131">
            <v>0</v>
          </cell>
          <cell r="J131" t="str">
            <v>€/Instandsetzung</v>
          </cell>
          <cell r="K131">
            <v>25</v>
          </cell>
          <cell r="L131" t="str">
            <v>PTECHNIK</v>
          </cell>
          <cell r="M131">
            <v>2</v>
          </cell>
          <cell r="N131">
            <v>1.0049261083743843</v>
          </cell>
          <cell r="O131">
            <v>0</v>
          </cell>
          <cell r="P131" t="str">
            <v>€</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t="e">
            <v>#VALUE!</v>
          </cell>
          <cell r="BC131" t="e">
            <v>#VALUE!</v>
          </cell>
          <cell r="BD131" t="e">
            <v>#VALUE!</v>
          </cell>
          <cell r="BE131" t="e">
            <v>#VALUE!</v>
          </cell>
          <cell r="BF131" t="e">
            <v>#VALUE!</v>
          </cell>
          <cell r="BG131" t="e">
            <v>#VALUE!</v>
          </cell>
          <cell r="BH131" t="e">
            <v>#VALUE!</v>
          </cell>
          <cell r="BI131" t="e">
            <v>#VALUE!</v>
          </cell>
          <cell r="BJ131" t="e">
            <v>#VALUE!</v>
          </cell>
          <cell r="BK131" t="e">
            <v>#VALUE!</v>
          </cell>
          <cell r="BL131" t="e">
            <v>#VALUE!</v>
          </cell>
          <cell r="BM131" t="e">
            <v>#VALUE!</v>
          </cell>
          <cell r="BN131" t="e">
            <v>#VALUE!</v>
          </cell>
          <cell r="BO131" t="e">
            <v>#VALUE!</v>
          </cell>
          <cell r="BP131" t="e">
            <v>#VALUE!</v>
          </cell>
          <cell r="BQ131" t="e">
            <v>#VALUE!</v>
          </cell>
          <cell r="BR131" t="e">
            <v>#VALUE!</v>
          </cell>
          <cell r="BS131" t="e">
            <v>#VALUE!</v>
          </cell>
          <cell r="BT131" t="e">
            <v>#VALUE!</v>
          </cell>
          <cell r="BU131" t="e">
            <v>#VALUE!</v>
          </cell>
          <cell r="BV131" t="e">
            <v>#VALUE!</v>
          </cell>
          <cell r="BW131" t="e">
            <v>#VALUE!</v>
          </cell>
          <cell r="BX131" t="e">
            <v>#VALUE!</v>
          </cell>
          <cell r="BY131" t="e">
            <v>#VALUE!</v>
          </cell>
          <cell r="BZ131" t="e">
            <v>#VALUE!</v>
          </cell>
          <cell r="CA131" t="e">
            <v>#VALUE!</v>
          </cell>
          <cell r="CB131" t="e">
            <v>#VALUE!</v>
          </cell>
          <cell r="CC131" t="e">
            <v>#VALUE!</v>
          </cell>
          <cell r="CD131" t="e">
            <v>#VALUE!</v>
          </cell>
          <cell r="CE131" t="e">
            <v>#VALUE!</v>
          </cell>
          <cell r="CF131" t="e">
            <v>#VALUE!</v>
          </cell>
          <cell r="CG131" t="e">
            <v>#VALUE!</v>
          </cell>
          <cell r="CH131" t="e">
            <v>#VALUE!</v>
          </cell>
          <cell r="CI131" t="e">
            <v>#VALUE!</v>
          </cell>
          <cell r="CJ131" t="e">
            <v>#VALUE!</v>
          </cell>
          <cell r="CK131" t="e">
            <v>#VALUE!</v>
          </cell>
          <cell r="CL131" t="e">
            <v>#VALUE!</v>
          </cell>
          <cell r="CM131" t="e">
            <v>#VALUE!</v>
          </cell>
          <cell r="CN131" t="e">
            <v>#VALUE!</v>
          </cell>
          <cell r="CO131" t="e">
            <v>#VALUE!</v>
          </cell>
          <cell r="CP131" t="e">
            <v>#VALUE!</v>
          </cell>
          <cell r="CQ131" t="e">
            <v>#VALUE!</v>
          </cell>
          <cell r="CR131" t="e">
            <v>#VALUE!</v>
          </cell>
          <cell r="CS131" t="e">
            <v>#VALUE!</v>
          </cell>
          <cell r="CT131" t="e">
            <v>#VALUE!</v>
          </cell>
          <cell r="CU131" t="e">
            <v>#VALUE!</v>
          </cell>
          <cell r="CV131" t="e">
            <v>#VALUE!</v>
          </cell>
          <cell r="CW131" t="e">
            <v>#VALUE!</v>
          </cell>
          <cell r="CX131" t="e">
            <v>#VALUE!</v>
          </cell>
          <cell r="CY131" t="e">
            <v>#VALUE!</v>
          </cell>
          <cell r="CZ131" t="e">
            <v>#VALUE!</v>
          </cell>
          <cell r="DA131" t="e">
            <v>#VALUE!</v>
          </cell>
          <cell r="DB131" t="e">
            <v>#VALUE!</v>
          </cell>
          <cell r="DC131" t="e">
            <v>#VALUE!</v>
          </cell>
          <cell r="DD131" t="e">
            <v>#VALUE!</v>
          </cell>
          <cell r="DE131" t="e">
            <v>#VALUE!</v>
          </cell>
          <cell r="DF131" t="e">
            <v>#VALUE!</v>
          </cell>
          <cell r="DG131" t="e">
            <v>#VALUE!</v>
          </cell>
          <cell r="DH131" t="e">
            <v>#VALUE!</v>
          </cell>
          <cell r="DI131" t="e">
            <v>#VALUE!</v>
          </cell>
          <cell r="DJ131" t="e">
            <v>#VALUE!</v>
          </cell>
          <cell r="DK131" t="e">
            <v>#VALUE!</v>
          </cell>
          <cell r="DL131" t="e">
            <v>#VALUE!</v>
          </cell>
          <cell r="DM131" t="e">
            <v>#VALUE!</v>
          </cell>
        </row>
        <row r="132">
          <cell r="C132" t="str">
            <v>F7.1-3.E.02</v>
          </cell>
          <cell r="D132" t="str">
            <v>Wasseranlagen</v>
          </cell>
          <cell r="E132" t="str">
            <v>E3.E.02</v>
          </cell>
          <cell r="F132" t="str">
            <v>E3.E.02 * PFAKT</v>
          </cell>
          <cell r="G132">
            <v>0</v>
          </cell>
          <cell r="H132">
            <v>0</v>
          </cell>
          <cell r="J132" t="str">
            <v>€/Instandsetzung</v>
          </cell>
          <cell r="K132">
            <v>30</v>
          </cell>
          <cell r="L132" t="str">
            <v>PTECHNIK</v>
          </cell>
          <cell r="M132">
            <v>2</v>
          </cell>
          <cell r="N132">
            <v>1.0049261083743843</v>
          </cell>
          <cell r="O132">
            <v>0</v>
          </cell>
          <cell r="P132" t="str">
            <v>€</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B132" t="e">
            <v>#VALUE!</v>
          </cell>
          <cell r="BC132" t="e">
            <v>#VALUE!</v>
          </cell>
          <cell r="BD132" t="e">
            <v>#VALUE!</v>
          </cell>
          <cell r="BE132" t="e">
            <v>#VALUE!</v>
          </cell>
          <cell r="BF132" t="e">
            <v>#VALUE!</v>
          </cell>
          <cell r="BG132" t="e">
            <v>#VALUE!</v>
          </cell>
          <cell r="BH132" t="e">
            <v>#VALUE!</v>
          </cell>
          <cell r="BI132" t="e">
            <v>#VALUE!</v>
          </cell>
          <cell r="BJ132" t="e">
            <v>#VALUE!</v>
          </cell>
          <cell r="BK132" t="e">
            <v>#VALUE!</v>
          </cell>
          <cell r="BL132" t="e">
            <v>#VALUE!</v>
          </cell>
          <cell r="BM132" t="e">
            <v>#VALUE!</v>
          </cell>
          <cell r="BN132" t="e">
            <v>#VALUE!</v>
          </cell>
          <cell r="BO132" t="e">
            <v>#VALUE!</v>
          </cell>
          <cell r="BP132" t="e">
            <v>#VALUE!</v>
          </cell>
          <cell r="BQ132" t="e">
            <v>#VALUE!</v>
          </cell>
          <cell r="BR132" t="e">
            <v>#VALUE!</v>
          </cell>
          <cell r="BS132" t="e">
            <v>#VALUE!</v>
          </cell>
          <cell r="BT132" t="e">
            <v>#VALUE!</v>
          </cell>
          <cell r="BU132" t="e">
            <v>#VALUE!</v>
          </cell>
          <cell r="BV132" t="e">
            <v>#VALUE!</v>
          </cell>
          <cell r="BW132" t="e">
            <v>#VALUE!</v>
          </cell>
          <cell r="BX132" t="e">
            <v>#VALUE!</v>
          </cell>
          <cell r="BY132" t="e">
            <v>#VALUE!</v>
          </cell>
          <cell r="BZ132" t="e">
            <v>#VALUE!</v>
          </cell>
          <cell r="CA132" t="e">
            <v>#VALUE!</v>
          </cell>
          <cell r="CB132" t="e">
            <v>#VALUE!</v>
          </cell>
          <cell r="CC132" t="e">
            <v>#VALUE!</v>
          </cell>
          <cell r="CD132" t="e">
            <v>#VALUE!</v>
          </cell>
          <cell r="CE132" t="e">
            <v>#VALUE!</v>
          </cell>
          <cell r="CF132" t="e">
            <v>#VALUE!</v>
          </cell>
          <cell r="CG132" t="e">
            <v>#VALUE!</v>
          </cell>
          <cell r="CH132" t="e">
            <v>#VALUE!</v>
          </cell>
          <cell r="CI132" t="e">
            <v>#VALUE!</v>
          </cell>
          <cell r="CJ132" t="e">
            <v>#VALUE!</v>
          </cell>
          <cell r="CK132" t="e">
            <v>#VALUE!</v>
          </cell>
          <cell r="CL132" t="e">
            <v>#VALUE!</v>
          </cell>
          <cell r="CM132" t="e">
            <v>#VALUE!</v>
          </cell>
          <cell r="CN132" t="e">
            <v>#VALUE!</v>
          </cell>
          <cell r="CO132" t="e">
            <v>#VALUE!</v>
          </cell>
          <cell r="CP132" t="e">
            <v>#VALUE!</v>
          </cell>
          <cell r="CQ132" t="e">
            <v>#VALUE!</v>
          </cell>
          <cell r="CR132" t="e">
            <v>#VALUE!</v>
          </cell>
          <cell r="CS132" t="e">
            <v>#VALUE!</v>
          </cell>
          <cell r="CT132" t="e">
            <v>#VALUE!</v>
          </cell>
          <cell r="CU132" t="e">
            <v>#VALUE!</v>
          </cell>
          <cell r="CV132" t="e">
            <v>#VALUE!</v>
          </cell>
          <cell r="CW132" t="e">
            <v>#VALUE!</v>
          </cell>
          <cell r="CX132" t="e">
            <v>#VALUE!</v>
          </cell>
          <cell r="CY132" t="e">
            <v>#VALUE!</v>
          </cell>
          <cell r="CZ132" t="e">
            <v>#VALUE!</v>
          </cell>
          <cell r="DA132" t="e">
            <v>#VALUE!</v>
          </cell>
          <cell r="DB132" t="e">
            <v>#VALUE!</v>
          </cell>
          <cell r="DC132" t="e">
            <v>#VALUE!</v>
          </cell>
          <cell r="DD132" t="e">
            <v>#VALUE!</v>
          </cell>
          <cell r="DE132" t="e">
            <v>#VALUE!</v>
          </cell>
          <cell r="DF132" t="e">
            <v>#VALUE!</v>
          </cell>
          <cell r="DG132" t="e">
            <v>#VALUE!</v>
          </cell>
          <cell r="DH132" t="e">
            <v>#VALUE!</v>
          </cell>
          <cell r="DI132" t="e">
            <v>#VALUE!</v>
          </cell>
          <cell r="DJ132" t="e">
            <v>#VALUE!</v>
          </cell>
          <cell r="DK132" t="e">
            <v>#VALUE!</v>
          </cell>
          <cell r="DL132" t="e">
            <v>#VALUE!</v>
          </cell>
          <cell r="DM132" t="e">
            <v>#VALUE!</v>
          </cell>
        </row>
        <row r="133">
          <cell r="C133" t="str">
            <v>F7.1-3.E.03</v>
          </cell>
          <cell r="D133" t="str">
            <v>Gasanlagen</v>
          </cell>
          <cell r="E133" t="str">
            <v>E3.E.03</v>
          </cell>
          <cell r="F133" t="str">
            <v>E3.E.03 * PFAKT</v>
          </cell>
          <cell r="G133">
            <v>0</v>
          </cell>
          <cell r="H133">
            <v>0</v>
          </cell>
          <cell r="J133" t="str">
            <v>€/Instandsetzung</v>
          </cell>
          <cell r="K133">
            <v>20</v>
          </cell>
          <cell r="L133" t="str">
            <v>PTECHNIK</v>
          </cell>
          <cell r="M133">
            <v>2</v>
          </cell>
          <cell r="N133">
            <v>1.0049261083743843</v>
          </cell>
          <cell r="O133">
            <v>0</v>
          </cell>
          <cell r="P133" t="str">
            <v>€</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t="e">
            <v>#VALUE!</v>
          </cell>
          <cell r="BC133" t="e">
            <v>#VALUE!</v>
          </cell>
          <cell r="BD133" t="e">
            <v>#VALUE!</v>
          </cell>
          <cell r="BE133" t="e">
            <v>#VALUE!</v>
          </cell>
          <cell r="BF133" t="e">
            <v>#VALUE!</v>
          </cell>
          <cell r="BG133" t="e">
            <v>#VALUE!</v>
          </cell>
          <cell r="BH133" t="e">
            <v>#VALUE!</v>
          </cell>
          <cell r="BI133" t="e">
            <v>#VALUE!</v>
          </cell>
          <cell r="BJ133" t="e">
            <v>#VALUE!</v>
          </cell>
          <cell r="BK133" t="e">
            <v>#VALUE!</v>
          </cell>
          <cell r="BL133" t="e">
            <v>#VALUE!</v>
          </cell>
          <cell r="BM133" t="e">
            <v>#VALUE!</v>
          </cell>
          <cell r="BN133" t="e">
            <v>#VALUE!</v>
          </cell>
          <cell r="BO133" t="e">
            <v>#VALUE!</v>
          </cell>
          <cell r="BP133" t="e">
            <v>#VALUE!</v>
          </cell>
          <cell r="BQ133" t="e">
            <v>#VALUE!</v>
          </cell>
          <cell r="BR133" t="e">
            <v>#VALUE!</v>
          </cell>
          <cell r="BS133" t="e">
            <v>#VALUE!</v>
          </cell>
          <cell r="BT133" t="e">
            <v>#VALUE!</v>
          </cell>
          <cell r="BU133" t="e">
            <v>#VALUE!</v>
          </cell>
          <cell r="BV133" t="e">
            <v>#VALUE!</v>
          </cell>
          <cell r="BW133" t="e">
            <v>#VALUE!</v>
          </cell>
          <cell r="BX133" t="e">
            <v>#VALUE!</v>
          </cell>
          <cell r="BY133" t="e">
            <v>#VALUE!</v>
          </cell>
          <cell r="BZ133" t="e">
            <v>#VALUE!</v>
          </cell>
          <cell r="CA133" t="e">
            <v>#VALUE!</v>
          </cell>
          <cell r="CB133" t="e">
            <v>#VALUE!</v>
          </cell>
          <cell r="CC133" t="e">
            <v>#VALUE!</v>
          </cell>
          <cell r="CD133" t="e">
            <v>#VALUE!</v>
          </cell>
          <cell r="CE133" t="e">
            <v>#VALUE!</v>
          </cell>
          <cell r="CF133" t="e">
            <v>#VALUE!</v>
          </cell>
          <cell r="CG133" t="e">
            <v>#VALUE!</v>
          </cell>
          <cell r="CH133" t="e">
            <v>#VALUE!</v>
          </cell>
          <cell r="CI133" t="e">
            <v>#VALUE!</v>
          </cell>
          <cell r="CJ133" t="e">
            <v>#VALUE!</v>
          </cell>
          <cell r="CK133" t="e">
            <v>#VALUE!</v>
          </cell>
          <cell r="CL133" t="e">
            <v>#VALUE!</v>
          </cell>
          <cell r="CM133" t="e">
            <v>#VALUE!</v>
          </cell>
          <cell r="CN133" t="e">
            <v>#VALUE!</v>
          </cell>
          <cell r="CO133" t="e">
            <v>#VALUE!</v>
          </cell>
          <cell r="CP133" t="e">
            <v>#VALUE!</v>
          </cell>
          <cell r="CQ133" t="e">
            <v>#VALUE!</v>
          </cell>
          <cell r="CR133" t="e">
            <v>#VALUE!</v>
          </cell>
          <cell r="CS133" t="e">
            <v>#VALUE!</v>
          </cell>
          <cell r="CT133" t="e">
            <v>#VALUE!</v>
          </cell>
          <cell r="CU133" t="e">
            <v>#VALUE!</v>
          </cell>
          <cell r="CV133" t="e">
            <v>#VALUE!</v>
          </cell>
          <cell r="CW133" t="e">
            <v>#VALUE!</v>
          </cell>
          <cell r="CX133" t="e">
            <v>#VALUE!</v>
          </cell>
          <cell r="CY133" t="e">
            <v>#VALUE!</v>
          </cell>
          <cell r="CZ133" t="e">
            <v>#VALUE!</v>
          </cell>
          <cell r="DA133" t="e">
            <v>#VALUE!</v>
          </cell>
          <cell r="DB133" t="e">
            <v>#VALUE!</v>
          </cell>
          <cell r="DC133" t="e">
            <v>#VALUE!</v>
          </cell>
          <cell r="DD133" t="e">
            <v>#VALUE!</v>
          </cell>
          <cell r="DE133" t="e">
            <v>#VALUE!</v>
          </cell>
          <cell r="DF133" t="e">
            <v>#VALUE!</v>
          </cell>
          <cell r="DG133" t="e">
            <v>#VALUE!</v>
          </cell>
          <cell r="DH133" t="e">
            <v>#VALUE!</v>
          </cell>
          <cell r="DI133" t="e">
            <v>#VALUE!</v>
          </cell>
          <cell r="DJ133" t="e">
            <v>#VALUE!</v>
          </cell>
          <cell r="DK133" t="e">
            <v>#VALUE!</v>
          </cell>
          <cell r="DL133" t="e">
            <v>#VALUE!</v>
          </cell>
          <cell r="DM133" t="e">
            <v>#VALUE!</v>
          </cell>
        </row>
        <row r="134">
          <cell r="C134" t="str">
            <v>F7.1-3.E.04</v>
          </cell>
          <cell r="D134" t="str">
            <v>Feuerlöschanlagen</v>
          </cell>
          <cell r="E134" t="str">
            <v>E3.E.04</v>
          </cell>
          <cell r="F134" t="str">
            <v>E3.E.04 * PFAKT</v>
          </cell>
          <cell r="G134">
            <v>0</v>
          </cell>
          <cell r="H134">
            <v>0</v>
          </cell>
          <cell r="J134" t="str">
            <v>€/Instandsetzung</v>
          </cell>
          <cell r="K134">
            <v>20</v>
          </cell>
          <cell r="L134" t="str">
            <v>PTECHNIK</v>
          </cell>
          <cell r="M134">
            <v>2</v>
          </cell>
          <cell r="N134">
            <v>1.0049261083743843</v>
          </cell>
          <cell r="O134">
            <v>0</v>
          </cell>
          <cell r="P134" t="str">
            <v>€</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t="e">
            <v>#VALUE!</v>
          </cell>
          <cell r="BC134" t="e">
            <v>#VALUE!</v>
          </cell>
          <cell r="BD134" t="e">
            <v>#VALUE!</v>
          </cell>
          <cell r="BE134" t="e">
            <v>#VALUE!</v>
          </cell>
          <cell r="BF134" t="e">
            <v>#VALUE!</v>
          </cell>
          <cell r="BG134" t="e">
            <v>#VALUE!</v>
          </cell>
          <cell r="BH134" t="e">
            <v>#VALUE!</v>
          </cell>
          <cell r="BI134" t="e">
            <v>#VALUE!</v>
          </cell>
          <cell r="BJ134" t="e">
            <v>#VALUE!</v>
          </cell>
          <cell r="BK134" t="e">
            <v>#VALUE!</v>
          </cell>
          <cell r="BL134" t="e">
            <v>#VALUE!</v>
          </cell>
          <cell r="BM134" t="e">
            <v>#VALUE!</v>
          </cell>
          <cell r="BN134" t="e">
            <v>#VALUE!</v>
          </cell>
          <cell r="BO134" t="e">
            <v>#VALUE!</v>
          </cell>
          <cell r="BP134" t="e">
            <v>#VALUE!</v>
          </cell>
          <cell r="BQ134" t="e">
            <v>#VALUE!</v>
          </cell>
          <cell r="BR134" t="e">
            <v>#VALUE!</v>
          </cell>
          <cell r="BS134" t="e">
            <v>#VALUE!</v>
          </cell>
          <cell r="BT134" t="e">
            <v>#VALUE!</v>
          </cell>
          <cell r="BU134" t="e">
            <v>#VALUE!</v>
          </cell>
          <cell r="BV134" t="e">
            <v>#VALUE!</v>
          </cell>
          <cell r="BW134" t="e">
            <v>#VALUE!</v>
          </cell>
          <cell r="BX134" t="e">
            <v>#VALUE!</v>
          </cell>
          <cell r="BY134" t="e">
            <v>#VALUE!</v>
          </cell>
          <cell r="BZ134" t="e">
            <v>#VALUE!</v>
          </cell>
          <cell r="CA134" t="e">
            <v>#VALUE!</v>
          </cell>
          <cell r="CB134" t="e">
            <v>#VALUE!</v>
          </cell>
          <cell r="CC134" t="e">
            <v>#VALUE!</v>
          </cell>
          <cell r="CD134" t="e">
            <v>#VALUE!</v>
          </cell>
          <cell r="CE134" t="e">
            <v>#VALUE!</v>
          </cell>
          <cell r="CF134" t="e">
            <v>#VALUE!</v>
          </cell>
          <cell r="CG134" t="e">
            <v>#VALUE!</v>
          </cell>
          <cell r="CH134" t="e">
            <v>#VALUE!</v>
          </cell>
          <cell r="CI134" t="e">
            <v>#VALUE!</v>
          </cell>
          <cell r="CJ134" t="e">
            <v>#VALUE!</v>
          </cell>
          <cell r="CK134" t="e">
            <v>#VALUE!</v>
          </cell>
          <cell r="CL134" t="e">
            <v>#VALUE!</v>
          </cell>
          <cell r="CM134" t="e">
            <v>#VALUE!</v>
          </cell>
          <cell r="CN134" t="e">
            <v>#VALUE!</v>
          </cell>
          <cell r="CO134" t="e">
            <v>#VALUE!</v>
          </cell>
          <cell r="CP134" t="e">
            <v>#VALUE!</v>
          </cell>
          <cell r="CQ134" t="e">
            <v>#VALUE!</v>
          </cell>
          <cell r="CR134" t="e">
            <v>#VALUE!</v>
          </cell>
          <cell r="CS134" t="e">
            <v>#VALUE!</v>
          </cell>
          <cell r="CT134" t="e">
            <v>#VALUE!</v>
          </cell>
          <cell r="CU134" t="e">
            <v>#VALUE!</v>
          </cell>
          <cell r="CV134" t="e">
            <v>#VALUE!</v>
          </cell>
          <cell r="CW134" t="e">
            <v>#VALUE!</v>
          </cell>
          <cell r="CX134" t="e">
            <v>#VALUE!</v>
          </cell>
          <cell r="CY134" t="e">
            <v>#VALUE!</v>
          </cell>
          <cell r="CZ134" t="e">
            <v>#VALUE!</v>
          </cell>
          <cell r="DA134" t="e">
            <v>#VALUE!</v>
          </cell>
          <cell r="DB134" t="e">
            <v>#VALUE!</v>
          </cell>
          <cell r="DC134" t="e">
            <v>#VALUE!</v>
          </cell>
          <cell r="DD134" t="e">
            <v>#VALUE!</v>
          </cell>
          <cell r="DE134" t="e">
            <v>#VALUE!</v>
          </cell>
          <cell r="DF134" t="e">
            <v>#VALUE!</v>
          </cell>
          <cell r="DG134" t="e">
            <v>#VALUE!</v>
          </cell>
          <cell r="DH134" t="e">
            <v>#VALUE!</v>
          </cell>
          <cell r="DI134" t="e">
            <v>#VALUE!</v>
          </cell>
          <cell r="DJ134" t="e">
            <v>#VALUE!</v>
          </cell>
          <cell r="DK134" t="e">
            <v>#VALUE!</v>
          </cell>
          <cell r="DL134" t="e">
            <v>#VALUE!</v>
          </cell>
          <cell r="DM134" t="e">
            <v>#VALUE!</v>
          </cell>
        </row>
        <row r="135">
          <cell r="C135" t="str">
            <v>F7.1-3.E.S</v>
          </cell>
          <cell r="D135" t="str">
            <v>Sonstige Sanitär-/Gasanlagen</v>
          </cell>
          <cell r="E135" t="str">
            <v>E3.E.S</v>
          </cell>
          <cell r="F135" t="str">
            <v>E3.E.S * PFAKT</v>
          </cell>
          <cell r="G135">
            <v>51676.944641856819</v>
          </cell>
          <cell r="H135">
            <v>51676.944641856819</v>
          </cell>
          <cell r="J135" t="str">
            <v>€/Instandsetzung</v>
          </cell>
          <cell r="K135">
            <v>20</v>
          </cell>
          <cell r="L135" t="str">
            <v>PTECHNIK</v>
          </cell>
          <cell r="M135">
            <v>2</v>
          </cell>
          <cell r="N135">
            <v>1.0049261083743843</v>
          </cell>
          <cell r="O135">
            <v>57013.725270531584</v>
          </cell>
          <cell r="P135" t="str">
            <v>€</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57013.725270531584</v>
          </cell>
          <cell r="AL135">
            <v>57013.725270531584</v>
          </cell>
          <cell r="AM135">
            <v>57013.725270531584</v>
          </cell>
          <cell r="AN135">
            <v>57013.725270531584</v>
          </cell>
          <cell r="AO135">
            <v>57013.725270531584</v>
          </cell>
          <cell r="AP135">
            <v>57013.725270531584</v>
          </cell>
          <cell r="AQ135">
            <v>57013.725270531584</v>
          </cell>
          <cell r="AR135">
            <v>57013.725270531584</v>
          </cell>
          <cell r="AS135">
            <v>57013.725270531584</v>
          </cell>
          <cell r="AT135">
            <v>57013.725270531584</v>
          </cell>
          <cell r="AU135">
            <v>57013.725270531584</v>
          </cell>
          <cell r="AV135">
            <v>57013.725270531584</v>
          </cell>
          <cell r="AW135">
            <v>57013.725270531584</v>
          </cell>
          <cell r="AX135">
            <v>57013.725270531584</v>
          </cell>
          <cell r="AY135">
            <v>57013.725270531584</v>
          </cell>
          <cell r="AZ135">
            <v>57013.725270531584</v>
          </cell>
          <cell r="BA135">
            <v>57013.725270531584</v>
          </cell>
          <cell r="BB135" t="e">
            <v>#VALUE!</v>
          </cell>
          <cell r="BC135" t="e">
            <v>#VALUE!</v>
          </cell>
          <cell r="BD135" t="e">
            <v>#VALUE!</v>
          </cell>
          <cell r="BE135" t="e">
            <v>#VALUE!</v>
          </cell>
          <cell r="BF135" t="e">
            <v>#VALUE!</v>
          </cell>
          <cell r="BG135" t="e">
            <v>#VALUE!</v>
          </cell>
          <cell r="BH135" t="e">
            <v>#VALUE!</v>
          </cell>
          <cell r="BI135" t="e">
            <v>#VALUE!</v>
          </cell>
          <cell r="BJ135" t="e">
            <v>#VALUE!</v>
          </cell>
          <cell r="BK135" t="e">
            <v>#VALUE!</v>
          </cell>
          <cell r="BL135" t="e">
            <v>#VALUE!</v>
          </cell>
          <cell r="BM135" t="e">
            <v>#VALUE!</v>
          </cell>
          <cell r="BN135" t="e">
            <v>#VALUE!</v>
          </cell>
          <cell r="BO135" t="e">
            <v>#VALUE!</v>
          </cell>
          <cell r="BP135" t="e">
            <v>#VALUE!</v>
          </cell>
          <cell r="BQ135" t="e">
            <v>#VALUE!</v>
          </cell>
          <cell r="BR135" t="e">
            <v>#VALUE!</v>
          </cell>
          <cell r="BS135" t="e">
            <v>#VALUE!</v>
          </cell>
          <cell r="BT135" t="e">
            <v>#VALUE!</v>
          </cell>
          <cell r="BU135" t="e">
            <v>#VALUE!</v>
          </cell>
          <cell r="BV135" t="e">
            <v>#VALUE!</v>
          </cell>
          <cell r="BW135" t="e">
            <v>#VALUE!</v>
          </cell>
          <cell r="BX135" t="e">
            <v>#VALUE!</v>
          </cell>
          <cell r="BY135" t="e">
            <v>#VALUE!</v>
          </cell>
          <cell r="BZ135" t="e">
            <v>#VALUE!</v>
          </cell>
          <cell r="CA135" t="e">
            <v>#VALUE!</v>
          </cell>
          <cell r="CB135" t="e">
            <v>#VALUE!</v>
          </cell>
          <cell r="CC135" t="e">
            <v>#VALUE!</v>
          </cell>
          <cell r="CD135" t="e">
            <v>#VALUE!</v>
          </cell>
          <cell r="CE135" t="e">
            <v>#VALUE!</v>
          </cell>
          <cell r="CF135" t="e">
            <v>#VALUE!</v>
          </cell>
          <cell r="CG135" t="e">
            <v>#VALUE!</v>
          </cell>
          <cell r="CH135" t="e">
            <v>#VALUE!</v>
          </cell>
          <cell r="CI135" t="e">
            <v>#VALUE!</v>
          </cell>
          <cell r="CJ135" t="e">
            <v>#VALUE!</v>
          </cell>
          <cell r="CK135" t="e">
            <v>#VALUE!</v>
          </cell>
          <cell r="CL135" t="e">
            <v>#VALUE!</v>
          </cell>
          <cell r="CM135" t="e">
            <v>#VALUE!</v>
          </cell>
          <cell r="CN135" t="e">
            <v>#VALUE!</v>
          </cell>
          <cell r="CO135" t="e">
            <v>#VALUE!</v>
          </cell>
          <cell r="CP135" t="e">
            <v>#VALUE!</v>
          </cell>
          <cell r="CQ135" t="e">
            <v>#VALUE!</v>
          </cell>
          <cell r="CR135" t="e">
            <v>#VALUE!</v>
          </cell>
          <cell r="CS135" t="e">
            <v>#VALUE!</v>
          </cell>
          <cell r="CT135" t="e">
            <v>#VALUE!</v>
          </cell>
          <cell r="CU135" t="e">
            <v>#VALUE!</v>
          </cell>
          <cell r="CV135" t="e">
            <v>#VALUE!</v>
          </cell>
          <cell r="CW135" t="e">
            <v>#VALUE!</v>
          </cell>
          <cell r="CX135" t="e">
            <v>#VALUE!</v>
          </cell>
          <cell r="CY135" t="e">
            <v>#VALUE!</v>
          </cell>
          <cell r="CZ135" t="e">
            <v>#VALUE!</v>
          </cell>
          <cell r="DA135" t="e">
            <v>#VALUE!</v>
          </cell>
          <cell r="DB135" t="e">
            <v>#VALUE!</v>
          </cell>
          <cell r="DC135" t="e">
            <v>#VALUE!</v>
          </cell>
          <cell r="DD135" t="e">
            <v>#VALUE!</v>
          </cell>
          <cell r="DE135" t="e">
            <v>#VALUE!</v>
          </cell>
          <cell r="DF135" t="e">
            <v>#VALUE!</v>
          </cell>
          <cell r="DG135" t="e">
            <v>#VALUE!</v>
          </cell>
          <cell r="DH135" t="e">
            <v>#VALUE!</v>
          </cell>
          <cell r="DI135" t="e">
            <v>#VALUE!</v>
          </cell>
          <cell r="DJ135" t="e">
            <v>#VALUE!</v>
          </cell>
          <cell r="DK135" t="e">
            <v>#VALUE!</v>
          </cell>
          <cell r="DL135" t="e">
            <v>#VALUE!</v>
          </cell>
          <cell r="DM135" t="e">
            <v>#VALUE!</v>
          </cell>
        </row>
        <row r="136">
          <cell r="C136" t="str">
            <v>F7.1-3.F</v>
          </cell>
          <cell r="D136" t="str">
            <v>Starkstromanlagen</v>
          </cell>
          <cell r="E136" t="str">
            <v>E3.F</v>
          </cell>
          <cell r="F136" t="str">
            <v>E3.F * PFAKT</v>
          </cell>
          <cell r="G136">
            <v>84425.725124024</v>
          </cell>
          <cell r="H136">
            <v>84425.725124024</v>
          </cell>
          <cell r="J136" t="str">
            <v>€/Instandsetzung</v>
          </cell>
          <cell r="K136">
            <v>14</v>
          </cell>
          <cell r="L136" t="str">
            <v>PTECHNIK</v>
          </cell>
          <cell r="M136">
            <v>2</v>
          </cell>
          <cell r="N136">
            <v>1.0049261083743843</v>
          </cell>
          <cell r="O136">
            <v>187317.51998143631</v>
          </cell>
          <cell r="P136" t="str">
            <v>€</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90438.346322588506</v>
          </cell>
          <cell r="AF136">
            <v>90438.346322588506</v>
          </cell>
          <cell r="AG136">
            <v>90438.346322588506</v>
          </cell>
          <cell r="AH136">
            <v>90438.346322588506</v>
          </cell>
          <cell r="AI136">
            <v>90438.346322588506</v>
          </cell>
          <cell r="AJ136">
            <v>90438.346322588506</v>
          </cell>
          <cell r="AK136">
            <v>90438.346322588506</v>
          </cell>
          <cell r="AL136">
            <v>90438.346322588506</v>
          </cell>
          <cell r="AM136">
            <v>90438.346322588506</v>
          </cell>
          <cell r="AN136">
            <v>90438.346322588506</v>
          </cell>
          <cell r="AO136">
            <v>90438.346322588506</v>
          </cell>
          <cell r="AP136">
            <v>90438.346322588506</v>
          </cell>
          <cell r="AQ136">
            <v>90438.346322588506</v>
          </cell>
          <cell r="AR136">
            <v>90438.346322588506</v>
          </cell>
          <cell r="AS136">
            <v>187317.51998143631</v>
          </cell>
          <cell r="AT136">
            <v>187317.51998143631</v>
          </cell>
          <cell r="AU136">
            <v>187317.51998143631</v>
          </cell>
          <cell r="AV136">
            <v>187317.51998143631</v>
          </cell>
          <cell r="AW136">
            <v>187317.51998143631</v>
          </cell>
          <cell r="AX136">
            <v>187317.51998143631</v>
          </cell>
          <cell r="AY136">
            <v>187317.51998143631</v>
          </cell>
          <cell r="AZ136">
            <v>187317.51998143631</v>
          </cell>
          <cell r="BA136">
            <v>187317.51998143631</v>
          </cell>
          <cell r="BB136" t="e">
            <v>#VALUE!</v>
          </cell>
          <cell r="BC136" t="e">
            <v>#VALUE!</v>
          </cell>
          <cell r="BD136" t="e">
            <v>#VALUE!</v>
          </cell>
          <cell r="BE136" t="e">
            <v>#VALUE!</v>
          </cell>
          <cell r="BF136" t="e">
            <v>#VALUE!</v>
          </cell>
          <cell r="BG136" t="e">
            <v>#VALUE!</v>
          </cell>
          <cell r="BH136" t="e">
            <v>#VALUE!</v>
          </cell>
          <cell r="BI136" t="e">
            <v>#VALUE!</v>
          </cell>
          <cell r="BJ136" t="e">
            <v>#VALUE!</v>
          </cell>
          <cell r="BK136" t="e">
            <v>#VALUE!</v>
          </cell>
          <cell r="BL136" t="e">
            <v>#VALUE!</v>
          </cell>
          <cell r="BM136" t="e">
            <v>#VALUE!</v>
          </cell>
          <cell r="BN136" t="e">
            <v>#VALUE!</v>
          </cell>
          <cell r="BO136" t="e">
            <v>#VALUE!</v>
          </cell>
          <cell r="BP136" t="e">
            <v>#VALUE!</v>
          </cell>
          <cell r="BQ136" t="e">
            <v>#VALUE!</v>
          </cell>
          <cell r="BR136" t="e">
            <v>#VALUE!</v>
          </cell>
          <cell r="BS136" t="e">
            <v>#VALUE!</v>
          </cell>
          <cell r="BT136" t="e">
            <v>#VALUE!</v>
          </cell>
          <cell r="BU136" t="e">
            <v>#VALUE!</v>
          </cell>
          <cell r="BV136" t="e">
            <v>#VALUE!</v>
          </cell>
          <cell r="BW136" t="e">
            <v>#VALUE!</v>
          </cell>
          <cell r="BX136" t="e">
            <v>#VALUE!</v>
          </cell>
          <cell r="BY136" t="e">
            <v>#VALUE!</v>
          </cell>
          <cell r="BZ136" t="e">
            <v>#VALUE!</v>
          </cell>
          <cell r="CA136" t="e">
            <v>#VALUE!</v>
          </cell>
          <cell r="CB136" t="e">
            <v>#VALUE!</v>
          </cell>
          <cell r="CC136" t="e">
            <v>#VALUE!</v>
          </cell>
          <cell r="CD136" t="e">
            <v>#VALUE!</v>
          </cell>
          <cell r="CE136" t="e">
            <v>#VALUE!</v>
          </cell>
          <cell r="CF136" t="e">
            <v>#VALUE!</v>
          </cell>
          <cell r="CG136" t="e">
            <v>#VALUE!</v>
          </cell>
          <cell r="CH136" t="e">
            <v>#VALUE!</v>
          </cell>
          <cell r="CI136" t="e">
            <v>#VALUE!</v>
          </cell>
          <cell r="CJ136" t="e">
            <v>#VALUE!</v>
          </cell>
          <cell r="CK136" t="e">
            <v>#VALUE!</v>
          </cell>
          <cell r="CL136" t="e">
            <v>#VALUE!</v>
          </cell>
          <cell r="CM136" t="e">
            <v>#VALUE!</v>
          </cell>
          <cell r="CN136" t="e">
            <v>#VALUE!</v>
          </cell>
          <cell r="CO136" t="e">
            <v>#VALUE!</v>
          </cell>
          <cell r="CP136" t="e">
            <v>#VALUE!</v>
          </cell>
          <cell r="CQ136" t="e">
            <v>#VALUE!</v>
          </cell>
          <cell r="CR136" t="e">
            <v>#VALUE!</v>
          </cell>
          <cell r="CS136" t="e">
            <v>#VALUE!</v>
          </cell>
          <cell r="CT136" t="e">
            <v>#VALUE!</v>
          </cell>
          <cell r="CU136" t="e">
            <v>#VALUE!</v>
          </cell>
          <cell r="CV136" t="e">
            <v>#VALUE!</v>
          </cell>
          <cell r="CW136" t="e">
            <v>#VALUE!</v>
          </cell>
          <cell r="CX136" t="e">
            <v>#VALUE!</v>
          </cell>
          <cell r="CY136" t="e">
            <v>#VALUE!</v>
          </cell>
          <cell r="CZ136" t="e">
            <v>#VALUE!</v>
          </cell>
          <cell r="DA136" t="e">
            <v>#VALUE!</v>
          </cell>
          <cell r="DB136" t="e">
            <v>#VALUE!</v>
          </cell>
          <cell r="DC136" t="e">
            <v>#VALUE!</v>
          </cell>
          <cell r="DD136" t="e">
            <v>#VALUE!</v>
          </cell>
          <cell r="DE136" t="e">
            <v>#VALUE!</v>
          </cell>
          <cell r="DF136" t="e">
            <v>#VALUE!</v>
          </cell>
          <cell r="DG136" t="e">
            <v>#VALUE!</v>
          </cell>
          <cell r="DH136" t="e">
            <v>#VALUE!</v>
          </cell>
          <cell r="DI136" t="e">
            <v>#VALUE!</v>
          </cell>
          <cell r="DJ136" t="e">
            <v>#VALUE!</v>
          </cell>
          <cell r="DK136" t="e">
            <v>#VALUE!</v>
          </cell>
          <cell r="DL136" t="e">
            <v>#VALUE!</v>
          </cell>
          <cell r="DM136" t="e">
            <v>#VALUE!</v>
          </cell>
        </row>
        <row r="137">
          <cell r="C137" t="str">
            <v>F7.1-3.Fa</v>
          </cell>
          <cell r="D137" t="str">
            <v>Eigenstromversorgung</v>
          </cell>
        </row>
        <row r="138">
          <cell r="C138" t="str">
            <v>F7.1-3.Fs</v>
          </cell>
          <cell r="E138" t="str">
            <v>E3.F</v>
          </cell>
        </row>
        <row r="139">
          <cell r="C139" t="str">
            <v>F7.1-3.G</v>
          </cell>
          <cell r="D139" t="str">
            <v>Fernmelde- und Informationstechnische Anlagen</v>
          </cell>
          <cell r="O139">
            <v>67839.200234647447</v>
          </cell>
          <cell r="P139" t="str">
            <v>€</v>
          </cell>
        </row>
        <row r="140">
          <cell r="C140" t="str">
            <v>F7.1-3.G.01</v>
          </cell>
          <cell r="D140" t="str">
            <v>Telekommunikationsanlagen</v>
          </cell>
          <cell r="E140" t="str">
            <v>E3.G.01</v>
          </cell>
          <cell r="F140" t="str">
            <v>E3.G.01 * PFAKT</v>
          </cell>
          <cell r="G140">
            <v>0</v>
          </cell>
          <cell r="H140">
            <v>0</v>
          </cell>
          <cell r="J140" t="str">
            <v>€/Instandsetzung</v>
          </cell>
          <cell r="K140">
            <v>10</v>
          </cell>
          <cell r="L140" t="str">
            <v>PTECHNIK</v>
          </cell>
          <cell r="M140">
            <v>2</v>
          </cell>
          <cell r="N140">
            <v>1.0049261083743843</v>
          </cell>
          <cell r="O140">
            <v>0</v>
          </cell>
          <cell r="P140" t="str">
            <v>€</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t="e">
            <v>#VALUE!</v>
          </cell>
          <cell r="BC140" t="e">
            <v>#VALUE!</v>
          </cell>
          <cell r="BD140" t="e">
            <v>#VALUE!</v>
          </cell>
          <cell r="BE140" t="e">
            <v>#VALUE!</v>
          </cell>
          <cell r="BF140" t="e">
            <v>#VALUE!</v>
          </cell>
          <cell r="BG140" t="e">
            <v>#VALUE!</v>
          </cell>
          <cell r="BH140" t="e">
            <v>#VALUE!</v>
          </cell>
          <cell r="BI140" t="e">
            <v>#VALUE!</v>
          </cell>
          <cell r="BJ140" t="e">
            <v>#VALUE!</v>
          </cell>
          <cell r="BK140" t="e">
            <v>#VALUE!</v>
          </cell>
          <cell r="BL140" t="e">
            <v>#VALUE!</v>
          </cell>
          <cell r="BM140" t="e">
            <v>#VALUE!</v>
          </cell>
          <cell r="BN140" t="e">
            <v>#VALUE!</v>
          </cell>
          <cell r="BO140" t="e">
            <v>#VALUE!</v>
          </cell>
          <cell r="BP140" t="e">
            <v>#VALUE!</v>
          </cell>
          <cell r="BQ140" t="e">
            <v>#VALUE!</v>
          </cell>
          <cell r="BR140" t="e">
            <v>#VALUE!</v>
          </cell>
          <cell r="BS140" t="e">
            <v>#VALUE!</v>
          </cell>
          <cell r="BT140" t="e">
            <v>#VALUE!</v>
          </cell>
          <cell r="BU140" t="e">
            <v>#VALUE!</v>
          </cell>
          <cell r="BV140" t="e">
            <v>#VALUE!</v>
          </cell>
          <cell r="BW140" t="e">
            <v>#VALUE!</v>
          </cell>
          <cell r="BX140" t="e">
            <v>#VALUE!</v>
          </cell>
          <cell r="BY140" t="e">
            <v>#VALUE!</v>
          </cell>
          <cell r="BZ140" t="e">
            <v>#VALUE!</v>
          </cell>
          <cell r="CA140" t="e">
            <v>#VALUE!</v>
          </cell>
          <cell r="CB140" t="e">
            <v>#VALUE!</v>
          </cell>
          <cell r="CC140" t="e">
            <v>#VALUE!</v>
          </cell>
          <cell r="CD140" t="e">
            <v>#VALUE!</v>
          </cell>
          <cell r="CE140" t="e">
            <v>#VALUE!</v>
          </cell>
          <cell r="CF140" t="e">
            <v>#VALUE!</v>
          </cell>
          <cell r="CG140" t="e">
            <v>#VALUE!</v>
          </cell>
          <cell r="CH140" t="e">
            <v>#VALUE!</v>
          </cell>
          <cell r="CI140" t="e">
            <v>#VALUE!</v>
          </cell>
          <cell r="CJ140" t="e">
            <v>#VALUE!</v>
          </cell>
          <cell r="CK140" t="e">
            <v>#VALUE!</v>
          </cell>
          <cell r="CL140" t="e">
            <v>#VALUE!</v>
          </cell>
          <cell r="CM140" t="e">
            <v>#VALUE!</v>
          </cell>
          <cell r="CN140" t="e">
            <v>#VALUE!</v>
          </cell>
          <cell r="CO140" t="e">
            <v>#VALUE!</v>
          </cell>
          <cell r="CP140" t="e">
            <v>#VALUE!</v>
          </cell>
          <cell r="CQ140" t="e">
            <v>#VALUE!</v>
          </cell>
          <cell r="CR140" t="e">
            <v>#VALUE!</v>
          </cell>
          <cell r="CS140" t="e">
            <v>#VALUE!</v>
          </cell>
          <cell r="CT140" t="e">
            <v>#VALUE!</v>
          </cell>
          <cell r="CU140" t="e">
            <v>#VALUE!</v>
          </cell>
          <cell r="CV140" t="e">
            <v>#VALUE!</v>
          </cell>
          <cell r="CW140" t="e">
            <v>#VALUE!</v>
          </cell>
          <cell r="CX140" t="e">
            <v>#VALUE!</v>
          </cell>
          <cell r="CY140" t="e">
            <v>#VALUE!</v>
          </cell>
          <cell r="CZ140" t="e">
            <v>#VALUE!</v>
          </cell>
          <cell r="DA140" t="e">
            <v>#VALUE!</v>
          </cell>
          <cell r="DB140" t="e">
            <v>#VALUE!</v>
          </cell>
          <cell r="DC140" t="e">
            <v>#VALUE!</v>
          </cell>
          <cell r="DD140" t="e">
            <v>#VALUE!</v>
          </cell>
          <cell r="DE140" t="e">
            <v>#VALUE!</v>
          </cell>
          <cell r="DF140" t="e">
            <v>#VALUE!</v>
          </cell>
          <cell r="DG140" t="e">
            <v>#VALUE!</v>
          </cell>
          <cell r="DH140" t="e">
            <v>#VALUE!</v>
          </cell>
          <cell r="DI140" t="e">
            <v>#VALUE!</v>
          </cell>
          <cell r="DJ140" t="e">
            <v>#VALUE!</v>
          </cell>
          <cell r="DK140" t="e">
            <v>#VALUE!</v>
          </cell>
          <cell r="DL140" t="e">
            <v>#VALUE!</v>
          </cell>
          <cell r="DM140" t="e">
            <v>#VALUE!</v>
          </cell>
        </row>
        <row r="141">
          <cell r="C141" t="str">
            <v>F7.1-3.G.02</v>
          </cell>
          <cell r="D141" t="str">
            <v>Such-/Signalanlagen</v>
          </cell>
          <cell r="E141" t="str">
            <v>E3.G.02</v>
          </cell>
          <cell r="F141" t="str">
            <v>E3.G.02 * PFAKT</v>
          </cell>
          <cell r="G141">
            <v>0</v>
          </cell>
          <cell r="H141">
            <v>0</v>
          </cell>
          <cell r="J141" t="str">
            <v>€/Instandsetzung</v>
          </cell>
          <cell r="K141">
            <v>20</v>
          </cell>
          <cell r="L141" t="str">
            <v>PTECHNIK</v>
          </cell>
          <cell r="M141">
            <v>2</v>
          </cell>
          <cell r="N141">
            <v>1.0049261083743843</v>
          </cell>
          <cell r="O141">
            <v>0</v>
          </cell>
          <cell r="P141" t="str">
            <v>€</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t="e">
            <v>#VALUE!</v>
          </cell>
          <cell r="BC141" t="e">
            <v>#VALUE!</v>
          </cell>
          <cell r="BD141" t="e">
            <v>#VALUE!</v>
          </cell>
          <cell r="BE141" t="e">
            <v>#VALUE!</v>
          </cell>
          <cell r="BF141" t="e">
            <v>#VALUE!</v>
          </cell>
          <cell r="BG141" t="e">
            <v>#VALUE!</v>
          </cell>
          <cell r="BH141" t="e">
            <v>#VALUE!</v>
          </cell>
          <cell r="BI141" t="e">
            <v>#VALUE!</v>
          </cell>
          <cell r="BJ141" t="e">
            <v>#VALUE!</v>
          </cell>
          <cell r="BK141" t="e">
            <v>#VALUE!</v>
          </cell>
          <cell r="BL141" t="e">
            <v>#VALUE!</v>
          </cell>
          <cell r="BM141" t="e">
            <v>#VALUE!</v>
          </cell>
          <cell r="BN141" t="e">
            <v>#VALUE!</v>
          </cell>
          <cell r="BO141" t="e">
            <v>#VALUE!</v>
          </cell>
          <cell r="BP141" t="e">
            <v>#VALUE!</v>
          </cell>
          <cell r="BQ141" t="e">
            <v>#VALUE!</v>
          </cell>
          <cell r="BR141" t="e">
            <v>#VALUE!</v>
          </cell>
          <cell r="BS141" t="e">
            <v>#VALUE!</v>
          </cell>
          <cell r="BT141" t="e">
            <v>#VALUE!</v>
          </cell>
          <cell r="BU141" t="e">
            <v>#VALUE!</v>
          </cell>
          <cell r="BV141" t="e">
            <v>#VALUE!</v>
          </cell>
          <cell r="BW141" t="e">
            <v>#VALUE!</v>
          </cell>
          <cell r="BX141" t="e">
            <v>#VALUE!</v>
          </cell>
          <cell r="BY141" t="e">
            <v>#VALUE!</v>
          </cell>
          <cell r="BZ141" t="e">
            <v>#VALUE!</v>
          </cell>
          <cell r="CA141" t="e">
            <v>#VALUE!</v>
          </cell>
          <cell r="CB141" t="e">
            <v>#VALUE!</v>
          </cell>
          <cell r="CC141" t="e">
            <v>#VALUE!</v>
          </cell>
          <cell r="CD141" t="e">
            <v>#VALUE!</v>
          </cell>
          <cell r="CE141" t="e">
            <v>#VALUE!</v>
          </cell>
          <cell r="CF141" t="e">
            <v>#VALUE!</v>
          </cell>
          <cell r="CG141" t="e">
            <v>#VALUE!</v>
          </cell>
          <cell r="CH141" t="e">
            <v>#VALUE!</v>
          </cell>
          <cell r="CI141" t="e">
            <v>#VALUE!</v>
          </cell>
          <cell r="CJ141" t="e">
            <v>#VALUE!</v>
          </cell>
          <cell r="CK141" t="e">
            <v>#VALUE!</v>
          </cell>
          <cell r="CL141" t="e">
            <v>#VALUE!</v>
          </cell>
          <cell r="CM141" t="e">
            <v>#VALUE!</v>
          </cell>
          <cell r="CN141" t="e">
            <v>#VALUE!</v>
          </cell>
          <cell r="CO141" t="e">
            <v>#VALUE!</v>
          </cell>
          <cell r="CP141" t="e">
            <v>#VALUE!</v>
          </cell>
          <cell r="CQ141" t="e">
            <v>#VALUE!</v>
          </cell>
          <cell r="CR141" t="e">
            <v>#VALUE!</v>
          </cell>
          <cell r="CS141" t="e">
            <v>#VALUE!</v>
          </cell>
          <cell r="CT141" t="e">
            <v>#VALUE!</v>
          </cell>
          <cell r="CU141" t="e">
            <v>#VALUE!</v>
          </cell>
          <cell r="CV141" t="e">
            <v>#VALUE!</v>
          </cell>
          <cell r="CW141" t="e">
            <v>#VALUE!</v>
          </cell>
          <cell r="CX141" t="e">
            <v>#VALUE!</v>
          </cell>
          <cell r="CY141" t="e">
            <v>#VALUE!</v>
          </cell>
          <cell r="CZ141" t="e">
            <v>#VALUE!</v>
          </cell>
          <cell r="DA141" t="e">
            <v>#VALUE!</v>
          </cell>
          <cell r="DB141" t="e">
            <v>#VALUE!</v>
          </cell>
          <cell r="DC141" t="e">
            <v>#VALUE!</v>
          </cell>
          <cell r="DD141" t="e">
            <v>#VALUE!</v>
          </cell>
          <cell r="DE141" t="e">
            <v>#VALUE!</v>
          </cell>
          <cell r="DF141" t="e">
            <v>#VALUE!</v>
          </cell>
          <cell r="DG141" t="e">
            <v>#VALUE!</v>
          </cell>
          <cell r="DH141" t="e">
            <v>#VALUE!</v>
          </cell>
          <cell r="DI141" t="e">
            <v>#VALUE!</v>
          </cell>
          <cell r="DJ141" t="e">
            <v>#VALUE!</v>
          </cell>
          <cell r="DK141" t="e">
            <v>#VALUE!</v>
          </cell>
          <cell r="DL141" t="e">
            <v>#VALUE!</v>
          </cell>
          <cell r="DM141" t="e">
            <v>#VALUE!</v>
          </cell>
        </row>
        <row r="142">
          <cell r="C142" t="str">
            <v>F7.1-3.G.03</v>
          </cell>
          <cell r="D142" t="str">
            <v>Zeitdienstanlagen</v>
          </cell>
          <cell r="E142" t="str">
            <v>E3.G.03</v>
          </cell>
          <cell r="F142" t="str">
            <v>E3.G.03 * PFAKT</v>
          </cell>
          <cell r="G142">
            <v>0</v>
          </cell>
          <cell r="H142">
            <v>0</v>
          </cell>
          <cell r="J142" t="str">
            <v>€/Instandsetzung</v>
          </cell>
          <cell r="K142">
            <v>14</v>
          </cell>
          <cell r="L142" t="str">
            <v>PTECHNIK</v>
          </cell>
          <cell r="M142">
            <v>2</v>
          </cell>
          <cell r="N142">
            <v>1.0049261083743843</v>
          </cell>
          <cell r="O142">
            <v>0</v>
          </cell>
          <cell r="P142" t="str">
            <v>€</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t="e">
            <v>#VALUE!</v>
          </cell>
          <cell r="BC142" t="e">
            <v>#VALUE!</v>
          </cell>
          <cell r="BD142" t="e">
            <v>#VALUE!</v>
          </cell>
          <cell r="BE142" t="e">
            <v>#VALUE!</v>
          </cell>
          <cell r="BF142" t="e">
            <v>#VALUE!</v>
          </cell>
          <cell r="BG142" t="e">
            <v>#VALUE!</v>
          </cell>
          <cell r="BH142" t="e">
            <v>#VALUE!</v>
          </cell>
          <cell r="BI142" t="e">
            <v>#VALUE!</v>
          </cell>
          <cell r="BJ142" t="e">
            <v>#VALUE!</v>
          </cell>
          <cell r="BK142" t="e">
            <v>#VALUE!</v>
          </cell>
          <cell r="BL142" t="e">
            <v>#VALUE!</v>
          </cell>
          <cell r="BM142" t="e">
            <v>#VALUE!</v>
          </cell>
          <cell r="BN142" t="e">
            <v>#VALUE!</v>
          </cell>
          <cell r="BO142" t="e">
            <v>#VALUE!</v>
          </cell>
          <cell r="BP142" t="e">
            <v>#VALUE!</v>
          </cell>
          <cell r="BQ142" t="e">
            <v>#VALUE!</v>
          </cell>
          <cell r="BR142" t="e">
            <v>#VALUE!</v>
          </cell>
          <cell r="BS142" t="e">
            <v>#VALUE!</v>
          </cell>
          <cell r="BT142" t="e">
            <v>#VALUE!</v>
          </cell>
          <cell r="BU142" t="e">
            <v>#VALUE!</v>
          </cell>
          <cell r="BV142" t="e">
            <v>#VALUE!</v>
          </cell>
          <cell r="BW142" t="e">
            <v>#VALUE!</v>
          </cell>
          <cell r="BX142" t="e">
            <v>#VALUE!</v>
          </cell>
          <cell r="BY142" t="e">
            <v>#VALUE!</v>
          </cell>
          <cell r="BZ142" t="e">
            <v>#VALUE!</v>
          </cell>
          <cell r="CA142" t="e">
            <v>#VALUE!</v>
          </cell>
          <cell r="CB142" t="e">
            <v>#VALUE!</v>
          </cell>
          <cell r="CC142" t="e">
            <v>#VALUE!</v>
          </cell>
          <cell r="CD142" t="e">
            <v>#VALUE!</v>
          </cell>
          <cell r="CE142" t="e">
            <v>#VALUE!</v>
          </cell>
          <cell r="CF142" t="e">
            <v>#VALUE!</v>
          </cell>
          <cell r="CG142" t="e">
            <v>#VALUE!</v>
          </cell>
          <cell r="CH142" t="e">
            <v>#VALUE!</v>
          </cell>
          <cell r="CI142" t="e">
            <v>#VALUE!</v>
          </cell>
          <cell r="CJ142" t="e">
            <v>#VALUE!</v>
          </cell>
          <cell r="CK142" t="e">
            <v>#VALUE!</v>
          </cell>
          <cell r="CL142" t="e">
            <v>#VALUE!</v>
          </cell>
          <cell r="CM142" t="e">
            <v>#VALUE!</v>
          </cell>
          <cell r="CN142" t="e">
            <v>#VALUE!</v>
          </cell>
          <cell r="CO142" t="e">
            <v>#VALUE!</v>
          </cell>
          <cell r="CP142" t="e">
            <v>#VALUE!</v>
          </cell>
          <cell r="CQ142" t="e">
            <v>#VALUE!</v>
          </cell>
          <cell r="CR142" t="e">
            <v>#VALUE!</v>
          </cell>
          <cell r="CS142" t="e">
            <v>#VALUE!</v>
          </cell>
          <cell r="CT142" t="e">
            <v>#VALUE!</v>
          </cell>
          <cell r="CU142" t="e">
            <v>#VALUE!</v>
          </cell>
          <cell r="CV142" t="e">
            <v>#VALUE!</v>
          </cell>
          <cell r="CW142" t="e">
            <v>#VALUE!</v>
          </cell>
          <cell r="CX142" t="e">
            <v>#VALUE!</v>
          </cell>
          <cell r="CY142" t="e">
            <v>#VALUE!</v>
          </cell>
          <cell r="CZ142" t="e">
            <v>#VALUE!</v>
          </cell>
          <cell r="DA142" t="e">
            <v>#VALUE!</v>
          </cell>
          <cell r="DB142" t="e">
            <v>#VALUE!</v>
          </cell>
          <cell r="DC142" t="e">
            <v>#VALUE!</v>
          </cell>
          <cell r="DD142" t="e">
            <v>#VALUE!</v>
          </cell>
          <cell r="DE142" t="e">
            <v>#VALUE!</v>
          </cell>
          <cell r="DF142" t="e">
            <v>#VALUE!</v>
          </cell>
          <cell r="DG142" t="e">
            <v>#VALUE!</v>
          </cell>
          <cell r="DH142" t="e">
            <v>#VALUE!</v>
          </cell>
          <cell r="DI142" t="e">
            <v>#VALUE!</v>
          </cell>
          <cell r="DJ142" t="e">
            <v>#VALUE!</v>
          </cell>
          <cell r="DK142" t="e">
            <v>#VALUE!</v>
          </cell>
          <cell r="DL142" t="e">
            <v>#VALUE!</v>
          </cell>
          <cell r="DM142" t="e">
            <v>#VALUE!</v>
          </cell>
        </row>
        <row r="143">
          <cell r="C143" t="str">
            <v>F7.1-3.G.04</v>
          </cell>
          <cell r="D143" t="str">
            <v>Elektroakustische Anlagen</v>
          </cell>
          <cell r="E143" t="str">
            <v>E3.G.04</v>
          </cell>
          <cell r="F143" t="str">
            <v>E3.G.04 * PFAKT</v>
          </cell>
          <cell r="G143">
            <v>0</v>
          </cell>
          <cell r="H143">
            <v>0</v>
          </cell>
          <cell r="J143" t="str">
            <v>€/Instandsetzung</v>
          </cell>
          <cell r="K143">
            <v>15</v>
          </cell>
          <cell r="L143" t="str">
            <v>PTECHNIK</v>
          </cell>
          <cell r="M143">
            <v>2</v>
          </cell>
          <cell r="N143">
            <v>1.0049261083743843</v>
          </cell>
          <cell r="O143">
            <v>0</v>
          </cell>
          <cell r="P143" t="str">
            <v>€</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t="e">
            <v>#VALUE!</v>
          </cell>
          <cell r="BC143" t="e">
            <v>#VALUE!</v>
          </cell>
          <cell r="BD143" t="e">
            <v>#VALUE!</v>
          </cell>
          <cell r="BE143" t="e">
            <v>#VALUE!</v>
          </cell>
          <cell r="BF143" t="e">
            <v>#VALUE!</v>
          </cell>
          <cell r="BG143" t="e">
            <v>#VALUE!</v>
          </cell>
          <cell r="BH143" t="e">
            <v>#VALUE!</v>
          </cell>
          <cell r="BI143" t="e">
            <v>#VALUE!</v>
          </cell>
          <cell r="BJ143" t="e">
            <v>#VALUE!</v>
          </cell>
          <cell r="BK143" t="e">
            <v>#VALUE!</v>
          </cell>
          <cell r="BL143" t="e">
            <v>#VALUE!</v>
          </cell>
          <cell r="BM143" t="e">
            <v>#VALUE!</v>
          </cell>
          <cell r="BN143" t="e">
            <v>#VALUE!</v>
          </cell>
          <cell r="BO143" t="e">
            <v>#VALUE!</v>
          </cell>
          <cell r="BP143" t="e">
            <v>#VALUE!</v>
          </cell>
          <cell r="BQ143" t="e">
            <v>#VALUE!</v>
          </cell>
          <cell r="BR143" t="e">
            <v>#VALUE!</v>
          </cell>
          <cell r="BS143" t="e">
            <v>#VALUE!</v>
          </cell>
          <cell r="BT143" t="e">
            <v>#VALUE!</v>
          </cell>
          <cell r="BU143" t="e">
            <v>#VALUE!</v>
          </cell>
          <cell r="BV143" t="e">
            <v>#VALUE!</v>
          </cell>
          <cell r="BW143" t="e">
            <v>#VALUE!</v>
          </cell>
          <cell r="BX143" t="e">
            <v>#VALUE!</v>
          </cell>
          <cell r="BY143" t="e">
            <v>#VALUE!</v>
          </cell>
          <cell r="BZ143" t="e">
            <v>#VALUE!</v>
          </cell>
          <cell r="CA143" t="e">
            <v>#VALUE!</v>
          </cell>
          <cell r="CB143" t="e">
            <v>#VALUE!</v>
          </cell>
          <cell r="CC143" t="e">
            <v>#VALUE!</v>
          </cell>
          <cell r="CD143" t="e">
            <v>#VALUE!</v>
          </cell>
          <cell r="CE143" t="e">
            <v>#VALUE!</v>
          </cell>
          <cell r="CF143" t="e">
            <v>#VALUE!</v>
          </cell>
          <cell r="CG143" t="e">
            <v>#VALUE!</v>
          </cell>
          <cell r="CH143" t="e">
            <v>#VALUE!</v>
          </cell>
          <cell r="CI143" t="e">
            <v>#VALUE!</v>
          </cell>
          <cell r="CJ143" t="e">
            <v>#VALUE!</v>
          </cell>
          <cell r="CK143" t="e">
            <v>#VALUE!</v>
          </cell>
          <cell r="CL143" t="e">
            <v>#VALUE!</v>
          </cell>
          <cell r="CM143" t="e">
            <v>#VALUE!</v>
          </cell>
          <cell r="CN143" t="e">
            <v>#VALUE!</v>
          </cell>
          <cell r="CO143" t="e">
            <v>#VALUE!</v>
          </cell>
          <cell r="CP143" t="e">
            <v>#VALUE!</v>
          </cell>
          <cell r="CQ143" t="e">
            <v>#VALUE!</v>
          </cell>
          <cell r="CR143" t="e">
            <v>#VALUE!</v>
          </cell>
          <cell r="CS143" t="e">
            <v>#VALUE!</v>
          </cell>
          <cell r="CT143" t="e">
            <v>#VALUE!</v>
          </cell>
          <cell r="CU143" t="e">
            <v>#VALUE!</v>
          </cell>
          <cell r="CV143" t="e">
            <v>#VALUE!</v>
          </cell>
          <cell r="CW143" t="e">
            <v>#VALUE!</v>
          </cell>
          <cell r="CX143" t="e">
            <v>#VALUE!</v>
          </cell>
          <cell r="CY143" t="e">
            <v>#VALUE!</v>
          </cell>
          <cell r="CZ143" t="e">
            <v>#VALUE!</v>
          </cell>
          <cell r="DA143" t="e">
            <v>#VALUE!</v>
          </cell>
          <cell r="DB143" t="e">
            <v>#VALUE!</v>
          </cell>
          <cell r="DC143" t="e">
            <v>#VALUE!</v>
          </cell>
          <cell r="DD143" t="e">
            <v>#VALUE!</v>
          </cell>
          <cell r="DE143" t="e">
            <v>#VALUE!</v>
          </cell>
          <cell r="DF143" t="e">
            <v>#VALUE!</v>
          </cell>
          <cell r="DG143" t="e">
            <v>#VALUE!</v>
          </cell>
          <cell r="DH143" t="e">
            <v>#VALUE!</v>
          </cell>
          <cell r="DI143" t="e">
            <v>#VALUE!</v>
          </cell>
          <cell r="DJ143" t="e">
            <v>#VALUE!</v>
          </cell>
          <cell r="DK143" t="e">
            <v>#VALUE!</v>
          </cell>
          <cell r="DL143" t="e">
            <v>#VALUE!</v>
          </cell>
          <cell r="DM143" t="e">
            <v>#VALUE!</v>
          </cell>
        </row>
        <row r="144">
          <cell r="C144" t="str">
            <v>F7.1-3.G.05</v>
          </cell>
          <cell r="D144" t="str">
            <v>Fernseh-/Antennenanlagen</v>
          </cell>
          <cell r="E144" t="str">
            <v>E3.G.05</v>
          </cell>
          <cell r="F144" t="str">
            <v>E3.G.05 * PFAKT</v>
          </cell>
          <cell r="G144">
            <v>0</v>
          </cell>
          <cell r="H144">
            <v>0</v>
          </cell>
          <cell r="J144" t="str">
            <v>€/Instandsetzung</v>
          </cell>
          <cell r="K144">
            <v>16</v>
          </cell>
          <cell r="L144" t="str">
            <v>PTECHNIK</v>
          </cell>
          <cell r="M144">
            <v>2</v>
          </cell>
          <cell r="N144">
            <v>1.0049261083743843</v>
          </cell>
          <cell r="O144">
            <v>0</v>
          </cell>
          <cell r="P144" t="str">
            <v>€</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t="e">
            <v>#VALUE!</v>
          </cell>
          <cell r="BC144" t="e">
            <v>#VALUE!</v>
          </cell>
          <cell r="BD144" t="e">
            <v>#VALUE!</v>
          </cell>
          <cell r="BE144" t="e">
            <v>#VALUE!</v>
          </cell>
          <cell r="BF144" t="e">
            <v>#VALUE!</v>
          </cell>
          <cell r="BG144" t="e">
            <v>#VALUE!</v>
          </cell>
          <cell r="BH144" t="e">
            <v>#VALUE!</v>
          </cell>
          <cell r="BI144" t="e">
            <v>#VALUE!</v>
          </cell>
          <cell r="BJ144" t="e">
            <v>#VALUE!</v>
          </cell>
          <cell r="BK144" t="e">
            <v>#VALUE!</v>
          </cell>
          <cell r="BL144" t="e">
            <v>#VALUE!</v>
          </cell>
          <cell r="BM144" t="e">
            <v>#VALUE!</v>
          </cell>
          <cell r="BN144" t="e">
            <v>#VALUE!</v>
          </cell>
          <cell r="BO144" t="e">
            <v>#VALUE!</v>
          </cell>
          <cell r="BP144" t="e">
            <v>#VALUE!</v>
          </cell>
          <cell r="BQ144" t="e">
            <v>#VALUE!</v>
          </cell>
          <cell r="BR144" t="e">
            <v>#VALUE!</v>
          </cell>
          <cell r="BS144" t="e">
            <v>#VALUE!</v>
          </cell>
          <cell r="BT144" t="e">
            <v>#VALUE!</v>
          </cell>
          <cell r="BU144" t="e">
            <v>#VALUE!</v>
          </cell>
          <cell r="BV144" t="e">
            <v>#VALUE!</v>
          </cell>
          <cell r="BW144" t="e">
            <v>#VALUE!</v>
          </cell>
          <cell r="BX144" t="e">
            <v>#VALUE!</v>
          </cell>
          <cell r="BY144" t="e">
            <v>#VALUE!</v>
          </cell>
          <cell r="BZ144" t="e">
            <v>#VALUE!</v>
          </cell>
          <cell r="CA144" t="e">
            <v>#VALUE!</v>
          </cell>
          <cell r="CB144" t="e">
            <v>#VALUE!</v>
          </cell>
          <cell r="CC144" t="e">
            <v>#VALUE!</v>
          </cell>
          <cell r="CD144" t="e">
            <v>#VALUE!</v>
          </cell>
          <cell r="CE144" t="e">
            <v>#VALUE!</v>
          </cell>
          <cell r="CF144" t="e">
            <v>#VALUE!</v>
          </cell>
          <cell r="CG144" t="e">
            <v>#VALUE!</v>
          </cell>
          <cell r="CH144" t="e">
            <v>#VALUE!</v>
          </cell>
          <cell r="CI144" t="e">
            <v>#VALUE!</v>
          </cell>
          <cell r="CJ144" t="e">
            <v>#VALUE!</v>
          </cell>
          <cell r="CK144" t="e">
            <v>#VALUE!</v>
          </cell>
          <cell r="CL144" t="e">
            <v>#VALUE!</v>
          </cell>
          <cell r="CM144" t="e">
            <v>#VALUE!</v>
          </cell>
          <cell r="CN144" t="e">
            <v>#VALUE!</v>
          </cell>
          <cell r="CO144" t="e">
            <v>#VALUE!</v>
          </cell>
          <cell r="CP144" t="e">
            <v>#VALUE!</v>
          </cell>
          <cell r="CQ144" t="e">
            <v>#VALUE!</v>
          </cell>
          <cell r="CR144" t="e">
            <v>#VALUE!</v>
          </cell>
          <cell r="CS144" t="e">
            <v>#VALUE!</v>
          </cell>
          <cell r="CT144" t="e">
            <v>#VALUE!</v>
          </cell>
          <cell r="CU144" t="e">
            <v>#VALUE!</v>
          </cell>
          <cell r="CV144" t="e">
            <v>#VALUE!</v>
          </cell>
          <cell r="CW144" t="e">
            <v>#VALUE!</v>
          </cell>
          <cell r="CX144" t="e">
            <v>#VALUE!</v>
          </cell>
          <cell r="CY144" t="e">
            <v>#VALUE!</v>
          </cell>
          <cell r="CZ144" t="e">
            <v>#VALUE!</v>
          </cell>
          <cell r="DA144" t="e">
            <v>#VALUE!</v>
          </cell>
          <cell r="DB144" t="e">
            <v>#VALUE!</v>
          </cell>
          <cell r="DC144" t="e">
            <v>#VALUE!</v>
          </cell>
          <cell r="DD144" t="e">
            <v>#VALUE!</v>
          </cell>
          <cell r="DE144" t="e">
            <v>#VALUE!</v>
          </cell>
          <cell r="DF144" t="e">
            <v>#VALUE!</v>
          </cell>
          <cell r="DG144" t="e">
            <v>#VALUE!</v>
          </cell>
          <cell r="DH144" t="e">
            <v>#VALUE!</v>
          </cell>
          <cell r="DI144" t="e">
            <v>#VALUE!</v>
          </cell>
          <cell r="DJ144" t="e">
            <v>#VALUE!</v>
          </cell>
          <cell r="DK144" t="e">
            <v>#VALUE!</v>
          </cell>
          <cell r="DL144" t="e">
            <v>#VALUE!</v>
          </cell>
          <cell r="DM144" t="e">
            <v>#VALUE!</v>
          </cell>
        </row>
        <row r="145">
          <cell r="C145" t="str">
            <v>F7.1-3.G.06</v>
          </cell>
          <cell r="D145" t="str">
            <v>Gefahrenmelde-/Alarmanlagen</v>
          </cell>
          <cell r="E145" t="str">
            <v>E3.G.06</v>
          </cell>
          <cell r="F145" t="str">
            <v>E3.G.06 * PFAKT</v>
          </cell>
          <cell r="G145">
            <v>0</v>
          </cell>
          <cell r="H145">
            <v>0</v>
          </cell>
          <cell r="J145" t="str">
            <v>€/Instandsetzung</v>
          </cell>
          <cell r="K145">
            <v>10</v>
          </cell>
          <cell r="L145" t="str">
            <v>PTECHNIK</v>
          </cell>
          <cell r="M145">
            <v>2</v>
          </cell>
          <cell r="N145">
            <v>1.0049261083743843</v>
          </cell>
          <cell r="O145">
            <v>0</v>
          </cell>
          <cell r="P145" t="str">
            <v>€</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t="e">
            <v>#VALUE!</v>
          </cell>
          <cell r="BC145" t="e">
            <v>#VALUE!</v>
          </cell>
          <cell r="BD145" t="e">
            <v>#VALUE!</v>
          </cell>
          <cell r="BE145" t="e">
            <v>#VALUE!</v>
          </cell>
          <cell r="BF145" t="e">
            <v>#VALUE!</v>
          </cell>
          <cell r="BG145" t="e">
            <v>#VALUE!</v>
          </cell>
          <cell r="BH145" t="e">
            <v>#VALUE!</v>
          </cell>
          <cell r="BI145" t="e">
            <v>#VALUE!</v>
          </cell>
          <cell r="BJ145" t="e">
            <v>#VALUE!</v>
          </cell>
          <cell r="BK145" t="e">
            <v>#VALUE!</v>
          </cell>
          <cell r="BL145" t="e">
            <v>#VALUE!</v>
          </cell>
          <cell r="BM145" t="e">
            <v>#VALUE!</v>
          </cell>
          <cell r="BN145" t="e">
            <v>#VALUE!</v>
          </cell>
          <cell r="BO145" t="e">
            <v>#VALUE!</v>
          </cell>
          <cell r="BP145" t="e">
            <v>#VALUE!</v>
          </cell>
          <cell r="BQ145" t="e">
            <v>#VALUE!</v>
          </cell>
          <cell r="BR145" t="e">
            <v>#VALUE!</v>
          </cell>
          <cell r="BS145" t="e">
            <v>#VALUE!</v>
          </cell>
          <cell r="BT145" t="e">
            <v>#VALUE!</v>
          </cell>
          <cell r="BU145" t="e">
            <v>#VALUE!</v>
          </cell>
          <cell r="BV145" t="e">
            <v>#VALUE!</v>
          </cell>
          <cell r="BW145" t="e">
            <v>#VALUE!</v>
          </cell>
          <cell r="BX145" t="e">
            <v>#VALUE!</v>
          </cell>
          <cell r="BY145" t="e">
            <v>#VALUE!</v>
          </cell>
          <cell r="BZ145" t="e">
            <v>#VALUE!</v>
          </cell>
          <cell r="CA145" t="e">
            <v>#VALUE!</v>
          </cell>
          <cell r="CB145" t="e">
            <v>#VALUE!</v>
          </cell>
          <cell r="CC145" t="e">
            <v>#VALUE!</v>
          </cell>
          <cell r="CD145" t="e">
            <v>#VALUE!</v>
          </cell>
          <cell r="CE145" t="e">
            <v>#VALUE!</v>
          </cell>
          <cell r="CF145" t="e">
            <v>#VALUE!</v>
          </cell>
          <cell r="CG145" t="e">
            <v>#VALUE!</v>
          </cell>
          <cell r="CH145" t="e">
            <v>#VALUE!</v>
          </cell>
          <cell r="CI145" t="e">
            <v>#VALUE!</v>
          </cell>
          <cell r="CJ145" t="e">
            <v>#VALUE!</v>
          </cell>
          <cell r="CK145" t="e">
            <v>#VALUE!</v>
          </cell>
          <cell r="CL145" t="e">
            <v>#VALUE!</v>
          </cell>
          <cell r="CM145" t="e">
            <v>#VALUE!</v>
          </cell>
          <cell r="CN145" t="e">
            <v>#VALUE!</v>
          </cell>
          <cell r="CO145" t="e">
            <v>#VALUE!</v>
          </cell>
          <cell r="CP145" t="e">
            <v>#VALUE!</v>
          </cell>
          <cell r="CQ145" t="e">
            <v>#VALUE!</v>
          </cell>
          <cell r="CR145" t="e">
            <v>#VALUE!</v>
          </cell>
          <cell r="CS145" t="e">
            <v>#VALUE!</v>
          </cell>
          <cell r="CT145" t="e">
            <v>#VALUE!</v>
          </cell>
          <cell r="CU145" t="e">
            <v>#VALUE!</v>
          </cell>
          <cell r="CV145" t="e">
            <v>#VALUE!</v>
          </cell>
          <cell r="CW145" t="e">
            <v>#VALUE!</v>
          </cell>
          <cell r="CX145" t="e">
            <v>#VALUE!</v>
          </cell>
          <cell r="CY145" t="e">
            <v>#VALUE!</v>
          </cell>
          <cell r="CZ145" t="e">
            <v>#VALUE!</v>
          </cell>
          <cell r="DA145" t="e">
            <v>#VALUE!</v>
          </cell>
          <cell r="DB145" t="e">
            <v>#VALUE!</v>
          </cell>
          <cell r="DC145" t="e">
            <v>#VALUE!</v>
          </cell>
          <cell r="DD145" t="e">
            <v>#VALUE!</v>
          </cell>
          <cell r="DE145" t="e">
            <v>#VALUE!</v>
          </cell>
          <cell r="DF145" t="e">
            <v>#VALUE!</v>
          </cell>
          <cell r="DG145" t="e">
            <v>#VALUE!</v>
          </cell>
          <cell r="DH145" t="e">
            <v>#VALUE!</v>
          </cell>
          <cell r="DI145" t="e">
            <v>#VALUE!</v>
          </cell>
          <cell r="DJ145" t="e">
            <v>#VALUE!</v>
          </cell>
          <cell r="DK145" t="e">
            <v>#VALUE!</v>
          </cell>
          <cell r="DL145" t="e">
            <v>#VALUE!</v>
          </cell>
          <cell r="DM145" t="e">
            <v>#VALUE!</v>
          </cell>
        </row>
        <row r="146">
          <cell r="C146" t="str">
            <v>F7.1-3.G.07</v>
          </cell>
          <cell r="D146" t="str">
            <v>Übertragungsnetze</v>
          </cell>
          <cell r="E146" t="str">
            <v>E3.G.07</v>
          </cell>
          <cell r="F146" t="str">
            <v>E3.G.07 * PFAKT</v>
          </cell>
          <cell r="G146">
            <v>0</v>
          </cell>
          <cell r="H146">
            <v>0</v>
          </cell>
          <cell r="J146" t="str">
            <v>€/Instandsetzung</v>
          </cell>
          <cell r="K146">
            <v>10</v>
          </cell>
          <cell r="L146" t="str">
            <v>PTECHNIK</v>
          </cell>
          <cell r="M146">
            <v>2</v>
          </cell>
          <cell r="N146">
            <v>1.0049261083743843</v>
          </cell>
          <cell r="O146">
            <v>0</v>
          </cell>
          <cell r="P146" t="str">
            <v>€</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t="e">
            <v>#VALUE!</v>
          </cell>
          <cell r="BC146" t="e">
            <v>#VALUE!</v>
          </cell>
          <cell r="BD146" t="e">
            <v>#VALUE!</v>
          </cell>
          <cell r="BE146" t="e">
            <v>#VALUE!</v>
          </cell>
          <cell r="BF146" t="e">
            <v>#VALUE!</v>
          </cell>
          <cell r="BG146" t="e">
            <v>#VALUE!</v>
          </cell>
          <cell r="BH146" t="e">
            <v>#VALUE!</v>
          </cell>
          <cell r="BI146" t="e">
            <v>#VALUE!</v>
          </cell>
          <cell r="BJ146" t="e">
            <v>#VALUE!</v>
          </cell>
          <cell r="BK146" t="e">
            <v>#VALUE!</v>
          </cell>
          <cell r="BL146" t="e">
            <v>#VALUE!</v>
          </cell>
          <cell r="BM146" t="e">
            <v>#VALUE!</v>
          </cell>
          <cell r="BN146" t="e">
            <v>#VALUE!</v>
          </cell>
          <cell r="BO146" t="e">
            <v>#VALUE!</v>
          </cell>
          <cell r="BP146" t="e">
            <v>#VALUE!</v>
          </cell>
          <cell r="BQ146" t="e">
            <v>#VALUE!</v>
          </cell>
          <cell r="BR146" t="e">
            <v>#VALUE!</v>
          </cell>
          <cell r="BS146" t="e">
            <v>#VALUE!</v>
          </cell>
          <cell r="BT146" t="e">
            <v>#VALUE!</v>
          </cell>
          <cell r="BU146" t="e">
            <v>#VALUE!</v>
          </cell>
          <cell r="BV146" t="e">
            <v>#VALUE!</v>
          </cell>
          <cell r="BW146" t="e">
            <v>#VALUE!</v>
          </cell>
          <cell r="BX146" t="e">
            <v>#VALUE!</v>
          </cell>
          <cell r="BY146" t="e">
            <v>#VALUE!</v>
          </cell>
          <cell r="BZ146" t="e">
            <v>#VALUE!</v>
          </cell>
          <cell r="CA146" t="e">
            <v>#VALUE!</v>
          </cell>
          <cell r="CB146" t="e">
            <v>#VALUE!</v>
          </cell>
          <cell r="CC146" t="e">
            <v>#VALUE!</v>
          </cell>
          <cell r="CD146" t="e">
            <v>#VALUE!</v>
          </cell>
          <cell r="CE146" t="e">
            <v>#VALUE!</v>
          </cell>
          <cell r="CF146" t="e">
            <v>#VALUE!</v>
          </cell>
          <cell r="CG146" t="e">
            <v>#VALUE!</v>
          </cell>
          <cell r="CH146" t="e">
            <v>#VALUE!</v>
          </cell>
          <cell r="CI146" t="e">
            <v>#VALUE!</v>
          </cell>
          <cell r="CJ146" t="e">
            <v>#VALUE!</v>
          </cell>
          <cell r="CK146" t="e">
            <v>#VALUE!</v>
          </cell>
          <cell r="CL146" t="e">
            <v>#VALUE!</v>
          </cell>
          <cell r="CM146" t="e">
            <v>#VALUE!</v>
          </cell>
          <cell r="CN146" t="e">
            <v>#VALUE!</v>
          </cell>
          <cell r="CO146" t="e">
            <v>#VALUE!</v>
          </cell>
          <cell r="CP146" t="e">
            <v>#VALUE!</v>
          </cell>
          <cell r="CQ146" t="e">
            <v>#VALUE!</v>
          </cell>
          <cell r="CR146" t="e">
            <v>#VALUE!</v>
          </cell>
          <cell r="CS146" t="e">
            <v>#VALUE!</v>
          </cell>
          <cell r="CT146" t="e">
            <v>#VALUE!</v>
          </cell>
          <cell r="CU146" t="e">
            <v>#VALUE!</v>
          </cell>
          <cell r="CV146" t="e">
            <v>#VALUE!</v>
          </cell>
          <cell r="CW146" t="e">
            <v>#VALUE!</v>
          </cell>
          <cell r="CX146" t="e">
            <v>#VALUE!</v>
          </cell>
          <cell r="CY146" t="e">
            <v>#VALUE!</v>
          </cell>
          <cell r="CZ146" t="e">
            <v>#VALUE!</v>
          </cell>
          <cell r="DA146" t="e">
            <v>#VALUE!</v>
          </cell>
          <cell r="DB146" t="e">
            <v>#VALUE!</v>
          </cell>
          <cell r="DC146" t="e">
            <v>#VALUE!</v>
          </cell>
          <cell r="DD146" t="e">
            <v>#VALUE!</v>
          </cell>
          <cell r="DE146" t="e">
            <v>#VALUE!</v>
          </cell>
          <cell r="DF146" t="e">
            <v>#VALUE!</v>
          </cell>
          <cell r="DG146" t="e">
            <v>#VALUE!</v>
          </cell>
          <cell r="DH146" t="e">
            <v>#VALUE!</v>
          </cell>
          <cell r="DI146" t="e">
            <v>#VALUE!</v>
          </cell>
          <cell r="DJ146" t="e">
            <v>#VALUE!</v>
          </cell>
          <cell r="DK146" t="e">
            <v>#VALUE!</v>
          </cell>
          <cell r="DL146" t="e">
            <v>#VALUE!</v>
          </cell>
          <cell r="DM146" t="e">
            <v>#VALUE!</v>
          </cell>
        </row>
        <row r="147">
          <cell r="C147" t="str">
            <v>F7.1-3.G.S</v>
          </cell>
          <cell r="D147" t="str">
            <v>Sonstige Informationstechnische Anlagen</v>
          </cell>
          <cell r="E147" t="str">
            <v>E3.G.S</v>
          </cell>
          <cell r="F147" t="str">
            <v>E3.G.S * PFAKT</v>
          </cell>
          <cell r="G147">
            <v>29898.657149423841</v>
          </cell>
          <cell r="H147">
            <v>29898.657149423841</v>
          </cell>
          <cell r="J147" t="str">
            <v>€/Instandsetzung</v>
          </cell>
          <cell r="K147">
            <v>17</v>
          </cell>
          <cell r="L147" t="str">
            <v>PTECHNIK</v>
          </cell>
          <cell r="M147">
            <v>2</v>
          </cell>
          <cell r="N147">
            <v>1.0049261083743843</v>
          </cell>
          <cell r="O147">
            <v>67839.200234647447</v>
          </cell>
          <cell r="P147" t="str">
            <v>€</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32503.631437720767</v>
          </cell>
          <cell r="AI147">
            <v>32503.631437720767</v>
          </cell>
          <cell r="AJ147">
            <v>32503.631437720767</v>
          </cell>
          <cell r="AK147">
            <v>32503.631437720767</v>
          </cell>
          <cell r="AL147">
            <v>32503.631437720767</v>
          </cell>
          <cell r="AM147">
            <v>32503.631437720767</v>
          </cell>
          <cell r="AN147">
            <v>32503.631437720767</v>
          </cell>
          <cell r="AO147">
            <v>32503.631437720767</v>
          </cell>
          <cell r="AP147">
            <v>32503.631437720767</v>
          </cell>
          <cell r="AQ147">
            <v>32503.631437720767</v>
          </cell>
          <cell r="AR147">
            <v>32503.631437720767</v>
          </cell>
          <cell r="AS147">
            <v>32503.631437720767</v>
          </cell>
          <cell r="AT147">
            <v>32503.631437720767</v>
          </cell>
          <cell r="AU147">
            <v>32503.631437720767</v>
          </cell>
          <cell r="AV147">
            <v>32503.631437720767</v>
          </cell>
          <cell r="AW147">
            <v>32503.631437720767</v>
          </cell>
          <cell r="AX147">
            <v>32503.631437720767</v>
          </cell>
          <cell r="AY147">
            <v>67839.200234647447</v>
          </cell>
          <cell r="AZ147">
            <v>67839.200234647447</v>
          </cell>
          <cell r="BA147">
            <v>67839.200234647447</v>
          </cell>
          <cell r="BB147" t="e">
            <v>#VALUE!</v>
          </cell>
          <cell r="BC147" t="e">
            <v>#VALUE!</v>
          </cell>
          <cell r="BD147" t="e">
            <v>#VALUE!</v>
          </cell>
          <cell r="BE147" t="e">
            <v>#VALUE!</v>
          </cell>
          <cell r="BF147" t="e">
            <v>#VALUE!</v>
          </cell>
          <cell r="BG147" t="e">
            <v>#VALUE!</v>
          </cell>
          <cell r="BH147" t="e">
            <v>#VALUE!</v>
          </cell>
          <cell r="BI147" t="e">
            <v>#VALUE!</v>
          </cell>
          <cell r="BJ147" t="e">
            <v>#VALUE!</v>
          </cell>
          <cell r="BK147" t="e">
            <v>#VALUE!</v>
          </cell>
          <cell r="BL147" t="e">
            <v>#VALUE!</v>
          </cell>
          <cell r="BM147" t="e">
            <v>#VALUE!</v>
          </cell>
          <cell r="BN147" t="e">
            <v>#VALUE!</v>
          </cell>
          <cell r="BO147" t="e">
            <v>#VALUE!</v>
          </cell>
          <cell r="BP147" t="e">
            <v>#VALUE!</v>
          </cell>
          <cell r="BQ147" t="e">
            <v>#VALUE!</v>
          </cell>
          <cell r="BR147" t="e">
            <v>#VALUE!</v>
          </cell>
          <cell r="BS147" t="e">
            <v>#VALUE!</v>
          </cell>
          <cell r="BT147" t="e">
            <v>#VALUE!</v>
          </cell>
          <cell r="BU147" t="e">
            <v>#VALUE!</v>
          </cell>
          <cell r="BV147" t="e">
            <v>#VALUE!</v>
          </cell>
          <cell r="BW147" t="e">
            <v>#VALUE!</v>
          </cell>
          <cell r="BX147" t="e">
            <v>#VALUE!</v>
          </cell>
          <cell r="BY147" t="e">
            <v>#VALUE!</v>
          </cell>
          <cell r="BZ147" t="e">
            <v>#VALUE!</v>
          </cell>
          <cell r="CA147" t="e">
            <v>#VALUE!</v>
          </cell>
          <cell r="CB147" t="e">
            <v>#VALUE!</v>
          </cell>
          <cell r="CC147" t="e">
            <v>#VALUE!</v>
          </cell>
          <cell r="CD147" t="e">
            <v>#VALUE!</v>
          </cell>
          <cell r="CE147" t="e">
            <v>#VALUE!</v>
          </cell>
          <cell r="CF147" t="e">
            <v>#VALUE!</v>
          </cell>
          <cell r="CG147" t="e">
            <v>#VALUE!</v>
          </cell>
          <cell r="CH147" t="e">
            <v>#VALUE!</v>
          </cell>
          <cell r="CI147" t="e">
            <v>#VALUE!</v>
          </cell>
          <cell r="CJ147" t="e">
            <v>#VALUE!</v>
          </cell>
          <cell r="CK147" t="e">
            <v>#VALUE!</v>
          </cell>
          <cell r="CL147" t="e">
            <v>#VALUE!</v>
          </cell>
          <cell r="CM147" t="e">
            <v>#VALUE!</v>
          </cell>
          <cell r="CN147" t="e">
            <v>#VALUE!</v>
          </cell>
          <cell r="CO147" t="e">
            <v>#VALUE!</v>
          </cell>
          <cell r="CP147" t="e">
            <v>#VALUE!</v>
          </cell>
          <cell r="CQ147" t="e">
            <v>#VALUE!</v>
          </cell>
          <cell r="CR147" t="e">
            <v>#VALUE!</v>
          </cell>
          <cell r="CS147" t="e">
            <v>#VALUE!</v>
          </cell>
          <cell r="CT147" t="e">
            <v>#VALUE!</v>
          </cell>
          <cell r="CU147" t="e">
            <v>#VALUE!</v>
          </cell>
          <cell r="CV147" t="e">
            <v>#VALUE!</v>
          </cell>
          <cell r="CW147" t="e">
            <v>#VALUE!</v>
          </cell>
          <cell r="CX147" t="e">
            <v>#VALUE!</v>
          </cell>
          <cell r="CY147" t="e">
            <v>#VALUE!</v>
          </cell>
          <cell r="CZ147" t="e">
            <v>#VALUE!</v>
          </cell>
          <cell r="DA147" t="e">
            <v>#VALUE!</v>
          </cell>
          <cell r="DB147" t="e">
            <v>#VALUE!</v>
          </cell>
          <cell r="DC147" t="e">
            <v>#VALUE!</v>
          </cell>
          <cell r="DD147" t="e">
            <v>#VALUE!</v>
          </cell>
          <cell r="DE147" t="e">
            <v>#VALUE!</v>
          </cell>
          <cell r="DF147" t="e">
            <v>#VALUE!</v>
          </cell>
          <cell r="DG147" t="e">
            <v>#VALUE!</v>
          </cell>
          <cell r="DH147" t="e">
            <v>#VALUE!</v>
          </cell>
          <cell r="DI147" t="e">
            <v>#VALUE!</v>
          </cell>
          <cell r="DJ147" t="e">
            <v>#VALUE!</v>
          </cell>
          <cell r="DK147" t="e">
            <v>#VALUE!</v>
          </cell>
          <cell r="DL147" t="e">
            <v>#VALUE!</v>
          </cell>
          <cell r="DM147" t="e">
            <v>#VALUE!</v>
          </cell>
        </row>
        <row r="148">
          <cell r="C148" t="str">
            <v>F7.1-3.H</v>
          </cell>
          <cell r="D148" t="str">
            <v>Gebäudeautomation</v>
          </cell>
          <cell r="E148" t="str">
            <v>E3.H</v>
          </cell>
          <cell r="F148" t="str">
            <v>E3.H * PFAKT</v>
          </cell>
          <cell r="G148">
            <v>15486.739348298113</v>
          </cell>
          <cell r="H148">
            <v>15486.739348298113</v>
          </cell>
          <cell r="J148" t="str">
            <v>€/Instandsetzung</v>
          </cell>
          <cell r="K148">
            <v>18</v>
          </cell>
          <cell r="L148" t="str">
            <v>PTECHNIK</v>
          </cell>
          <cell r="M148">
            <v>2</v>
          </cell>
          <cell r="N148">
            <v>1.0049261083743843</v>
          </cell>
          <cell r="O148">
            <v>35402.67452527921</v>
          </cell>
          <cell r="P148" t="str">
            <v>€</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16918.985576640858</v>
          </cell>
          <cell r="AJ148">
            <v>16918.985576640858</v>
          </cell>
          <cell r="AK148">
            <v>16918.985576640858</v>
          </cell>
          <cell r="AL148">
            <v>16918.985576640858</v>
          </cell>
          <cell r="AM148">
            <v>16918.985576640858</v>
          </cell>
          <cell r="AN148">
            <v>16918.985576640858</v>
          </cell>
          <cell r="AO148">
            <v>16918.985576640858</v>
          </cell>
          <cell r="AP148">
            <v>16918.985576640858</v>
          </cell>
          <cell r="AQ148">
            <v>16918.985576640858</v>
          </cell>
          <cell r="AR148">
            <v>16918.985576640858</v>
          </cell>
          <cell r="AS148">
            <v>16918.985576640858</v>
          </cell>
          <cell r="AT148">
            <v>16918.985576640858</v>
          </cell>
          <cell r="AU148">
            <v>16918.985576640858</v>
          </cell>
          <cell r="AV148">
            <v>16918.985576640858</v>
          </cell>
          <cell r="AW148">
            <v>16918.985576640858</v>
          </cell>
          <cell r="AX148">
            <v>16918.985576640858</v>
          </cell>
          <cell r="AY148">
            <v>16918.985576640858</v>
          </cell>
          <cell r="AZ148">
            <v>16918.985576640858</v>
          </cell>
          <cell r="BA148">
            <v>35402.67452527921</v>
          </cell>
          <cell r="BB148" t="e">
            <v>#VALUE!</v>
          </cell>
          <cell r="BC148" t="e">
            <v>#VALUE!</v>
          </cell>
          <cell r="BD148" t="e">
            <v>#VALUE!</v>
          </cell>
          <cell r="BE148" t="e">
            <v>#VALUE!</v>
          </cell>
          <cell r="BF148" t="e">
            <v>#VALUE!</v>
          </cell>
          <cell r="BG148" t="e">
            <v>#VALUE!</v>
          </cell>
          <cell r="BH148" t="e">
            <v>#VALUE!</v>
          </cell>
          <cell r="BI148" t="e">
            <v>#VALUE!</v>
          </cell>
          <cell r="BJ148" t="e">
            <v>#VALUE!</v>
          </cell>
          <cell r="BK148" t="e">
            <v>#VALUE!</v>
          </cell>
          <cell r="BL148" t="e">
            <v>#VALUE!</v>
          </cell>
          <cell r="BM148" t="e">
            <v>#VALUE!</v>
          </cell>
          <cell r="BN148" t="e">
            <v>#VALUE!</v>
          </cell>
          <cell r="BO148" t="e">
            <v>#VALUE!</v>
          </cell>
          <cell r="BP148" t="e">
            <v>#VALUE!</v>
          </cell>
          <cell r="BQ148" t="e">
            <v>#VALUE!</v>
          </cell>
          <cell r="BR148" t="e">
            <v>#VALUE!</v>
          </cell>
          <cell r="BS148" t="e">
            <v>#VALUE!</v>
          </cell>
          <cell r="BT148" t="e">
            <v>#VALUE!</v>
          </cell>
          <cell r="BU148" t="e">
            <v>#VALUE!</v>
          </cell>
          <cell r="BV148" t="e">
            <v>#VALUE!</v>
          </cell>
          <cell r="BW148" t="e">
            <v>#VALUE!</v>
          </cell>
          <cell r="BX148" t="e">
            <v>#VALUE!</v>
          </cell>
          <cell r="BY148" t="e">
            <v>#VALUE!</v>
          </cell>
          <cell r="BZ148" t="e">
            <v>#VALUE!</v>
          </cell>
          <cell r="CA148" t="e">
            <v>#VALUE!</v>
          </cell>
          <cell r="CB148" t="e">
            <v>#VALUE!</v>
          </cell>
          <cell r="CC148" t="e">
            <v>#VALUE!</v>
          </cell>
          <cell r="CD148" t="e">
            <v>#VALUE!</v>
          </cell>
          <cell r="CE148" t="e">
            <v>#VALUE!</v>
          </cell>
          <cell r="CF148" t="e">
            <v>#VALUE!</v>
          </cell>
          <cell r="CG148" t="e">
            <v>#VALUE!</v>
          </cell>
          <cell r="CH148" t="e">
            <v>#VALUE!</v>
          </cell>
          <cell r="CI148" t="e">
            <v>#VALUE!</v>
          </cell>
          <cell r="CJ148" t="e">
            <v>#VALUE!</v>
          </cell>
          <cell r="CK148" t="e">
            <v>#VALUE!</v>
          </cell>
          <cell r="CL148" t="e">
            <v>#VALUE!</v>
          </cell>
          <cell r="CM148" t="e">
            <v>#VALUE!</v>
          </cell>
          <cell r="CN148" t="e">
            <v>#VALUE!</v>
          </cell>
          <cell r="CO148" t="e">
            <v>#VALUE!</v>
          </cell>
          <cell r="CP148" t="e">
            <v>#VALUE!</v>
          </cell>
          <cell r="CQ148" t="e">
            <v>#VALUE!</v>
          </cell>
          <cell r="CR148" t="e">
            <v>#VALUE!</v>
          </cell>
          <cell r="CS148" t="e">
            <v>#VALUE!</v>
          </cell>
          <cell r="CT148" t="e">
            <v>#VALUE!</v>
          </cell>
          <cell r="CU148" t="e">
            <v>#VALUE!</v>
          </cell>
          <cell r="CV148" t="e">
            <v>#VALUE!</v>
          </cell>
          <cell r="CW148" t="e">
            <v>#VALUE!</v>
          </cell>
          <cell r="CX148" t="e">
            <v>#VALUE!</v>
          </cell>
          <cell r="CY148" t="e">
            <v>#VALUE!</v>
          </cell>
          <cell r="CZ148" t="e">
            <v>#VALUE!</v>
          </cell>
          <cell r="DA148" t="e">
            <v>#VALUE!</v>
          </cell>
          <cell r="DB148" t="e">
            <v>#VALUE!</v>
          </cell>
          <cell r="DC148" t="e">
            <v>#VALUE!</v>
          </cell>
          <cell r="DD148" t="e">
            <v>#VALUE!</v>
          </cell>
          <cell r="DE148" t="e">
            <v>#VALUE!</v>
          </cell>
          <cell r="DF148" t="e">
            <v>#VALUE!</v>
          </cell>
          <cell r="DG148" t="e">
            <v>#VALUE!</v>
          </cell>
          <cell r="DH148" t="e">
            <v>#VALUE!</v>
          </cell>
          <cell r="DI148" t="e">
            <v>#VALUE!</v>
          </cell>
          <cell r="DJ148" t="e">
            <v>#VALUE!</v>
          </cell>
          <cell r="DK148" t="e">
            <v>#VALUE!</v>
          </cell>
          <cell r="DL148" t="e">
            <v>#VALUE!</v>
          </cell>
          <cell r="DM148" t="e">
            <v>#VALUE!</v>
          </cell>
        </row>
        <row r="149">
          <cell r="C149" t="str">
            <v>F7.1-3.S</v>
          </cell>
          <cell r="D149" t="str">
            <v>Sonstige Anlagen Bauwerk - Technik</v>
          </cell>
          <cell r="E149" t="str">
            <v>E3.S</v>
          </cell>
          <cell r="F149" t="str">
            <v>E3.S * PFAKT</v>
          </cell>
          <cell r="G149">
            <v>7868.0676709010113</v>
          </cell>
          <cell r="H149">
            <v>7868.0676709010113</v>
          </cell>
          <cell r="J149" t="str">
            <v>€/Instandsetzung</v>
          </cell>
          <cell r="K149">
            <v>20</v>
          </cell>
          <cell r="L149" t="str">
            <v>PTECHNIK</v>
          </cell>
          <cell r="M149">
            <v>2</v>
          </cell>
          <cell r="N149">
            <v>1.0049261083743843</v>
          </cell>
          <cell r="O149">
            <v>8680.6186338531807</v>
          </cell>
          <cell r="P149" t="str">
            <v>€</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8680.6186338531807</v>
          </cell>
          <cell r="AL149">
            <v>8680.6186338531807</v>
          </cell>
          <cell r="AM149">
            <v>8680.6186338531807</v>
          </cell>
          <cell r="AN149">
            <v>8680.6186338531807</v>
          </cell>
          <cell r="AO149">
            <v>8680.6186338531807</v>
          </cell>
          <cell r="AP149">
            <v>8680.6186338531807</v>
          </cell>
          <cell r="AQ149">
            <v>8680.6186338531807</v>
          </cell>
          <cell r="AR149">
            <v>8680.6186338531807</v>
          </cell>
          <cell r="AS149">
            <v>8680.6186338531807</v>
          </cell>
          <cell r="AT149">
            <v>8680.6186338531807</v>
          </cell>
          <cell r="AU149">
            <v>8680.6186338531807</v>
          </cell>
          <cell r="AV149">
            <v>8680.6186338531807</v>
          </cell>
          <cell r="AW149">
            <v>8680.6186338531807</v>
          </cell>
          <cell r="AX149">
            <v>8680.6186338531807</v>
          </cell>
          <cell r="AY149">
            <v>8680.6186338531807</v>
          </cell>
          <cell r="AZ149">
            <v>8680.6186338531807</v>
          </cell>
          <cell r="BA149">
            <v>8680.6186338531807</v>
          </cell>
          <cell r="BB149" t="e">
            <v>#VALUE!</v>
          </cell>
          <cell r="BC149" t="e">
            <v>#VALUE!</v>
          </cell>
          <cell r="BD149" t="e">
            <v>#VALUE!</v>
          </cell>
          <cell r="BE149" t="e">
            <v>#VALUE!</v>
          </cell>
          <cell r="BF149" t="e">
            <v>#VALUE!</v>
          </cell>
          <cell r="BG149" t="e">
            <v>#VALUE!</v>
          </cell>
          <cell r="BH149" t="e">
            <v>#VALUE!</v>
          </cell>
          <cell r="BI149" t="e">
            <v>#VALUE!</v>
          </cell>
          <cell r="BJ149" t="e">
            <v>#VALUE!</v>
          </cell>
          <cell r="BK149" t="e">
            <v>#VALUE!</v>
          </cell>
          <cell r="BL149" t="e">
            <v>#VALUE!</v>
          </cell>
          <cell r="BM149" t="e">
            <v>#VALUE!</v>
          </cell>
          <cell r="BN149" t="e">
            <v>#VALUE!</v>
          </cell>
          <cell r="BO149" t="e">
            <v>#VALUE!</v>
          </cell>
          <cell r="BP149" t="e">
            <v>#VALUE!</v>
          </cell>
          <cell r="BQ149" t="e">
            <v>#VALUE!</v>
          </cell>
          <cell r="BR149" t="e">
            <v>#VALUE!</v>
          </cell>
          <cell r="BS149" t="e">
            <v>#VALUE!</v>
          </cell>
          <cell r="BT149" t="e">
            <v>#VALUE!</v>
          </cell>
          <cell r="BU149" t="e">
            <v>#VALUE!</v>
          </cell>
          <cell r="BV149" t="e">
            <v>#VALUE!</v>
          </cell>
          <cell r="BW149" t="e">
            <v>#VALUE!</v>
          </cell>
          <cell r="BX149" t="e">
            <v>#VALUE!</v>
          </cell>
          <cell r="BY149" t="e">
            <v>#VALUE!</v>
          </cell>
          <cell r="BZ149" t="e">
            <v>#VALUE!</v>
          </cell>
          <cell r="CA149" t="e">
            <v>#VALUE!</v>
          </cell>
          <cell r="CB149" t="e">
            <v>#VALUE!</v>
          </cell>
          <cell r="CC149" t="e">
            <v>#VALUE!</v>
          </cell>
          <cell r="CD149" t="e">
            <v>#VALUE!</v>
          </cell>
          <cell r="CE149" t="e">
            <v>#VALUE!</v>
          </cell>
          <cell r="CF149" t="e">
            <v>#VALUE!</v>
          </cell>
          <cell r="CG149" t="e">
            <v>#VALUE!</v>
          </cell>
          <cell r="CH149" t="e">
            <v>#VALUE!</v>
          </cell>
          <cell r="CI149" t="e">
            <v>#VALUE!</v>
          </cell>
          <cell r="CJ149" t="e">
            <v>#VALUE!</v>
          </cell>
          <cell r="CK149" t="e">
            <v>#VALUE!</v>
          </cell>
          <cell r="CL149" t="e">
            <v>#VALUE!</v>
          </cell>
          <cell r="CM149" t="e">
            <v>#VALUE!</v>
          </cell>
          <cell r="CN149" t="e">
            <v>#VALUE!</v>
          </cell>
          <cell r="CO149" t="e">
            <v>#VALUE!</v>
          </cell>
          <cell r="CP149" t="e">
            <v>#VALUE!</v>
          </cell>
          <cell r="CQ149" t="e">
            <v>#VALUE!</v>
          </cell>
          <cell r="CR149" t="e">
            <v>#VALUE!</v>
          </cell>
          <cell r="CS149" t="e">
            <v>#VALUE!</v>
          </cell>
          <cell r="CT149" t="e">
            <v>#VALUE!</v>
          </cell>
          <cell r="CU149" t="e">
            <v>#VALUE!</v>
          </cell>
          <cell r="CV149" t="e">
            <v>#VALUE!</v>
          </cell>
          <cell r="CW149" t="e">
            <v>#VALUE!</v>
          </cell>
          <cell r="CX149" t="e">
            <v>#VALUE!</v>
          </cell>
          <cell r="CY149" t="e">
            <v>#VALUE!</v>
          </cell>
          <cell r="CZ149" t="e">
            <v>#VALUE!</v>
          </cell>
          <cell r="DA149" t="e">
            <v>#VALUE!</v>
          </cell>
          <cell r="DB149" t="e">
            <v>#VALUE!</v>
          </cell>
          <cell r="DC149" t="e">
            <v>#VALUE!</v>
          </cell>
          <cell r="DD149" t="e">
            <v>#VALUE!</v>
          </cell>
          <cell r="DE149" t="e">
            <v>#VALUE!</v>
          </cell>
          <cell r="DF149" t="e">
            <v>#VALUE!</v>
          </cell>
          <cell r="DG149" t="e">
            <v>#VALUE!</v>
          </cell>
          <cell r="DH149" t="e">
            <v>#VALUE!</v>
          </cell>
          <cell r="DI149" t="e">
            <v>#VALUE!</v>
          </cell>
          <cell r="DJ149" t="e">
            <v>#VALUE!</v>
          </cell>
          <cell r="DK149" t="e">
            <v>#VALUE!</v>
          </cell>
          <cell r="DL149" t="e">
            <v>#VALUE!</v>
          </cell>
          <cell r="DM149" t="e">
            <v>#VALUE!</v>
          </cell>
        </row>
        <row r="150">
          <cell r="C150" t="str">
            <v>F7.1-4</v>
          </cell>
          <cell r="D150" t="str">
            <v>Bauwerk Ausbau</v>
          </cell>
          <cell r="O150">
            <v>482633.07524492638</v>
          </cell>
          <cell r="P150" t="str">
            <v>€</v>
          </cell>
        </row>
        <row r="151">
          <cell r="C151" t="str">
            <v>F7.1-4.A</v>
          </cell>
          <cell r="D151" t="str">
            <v>Allgemein Bauwerk - Ausbau</v>
          </cell>
          <cell r="E151" t="str">
            <v>E4.A</v>
          </cell>
          <cell r="F151" t="str">
            <v>E4.A * PFAKT</v>
          </cell>
          <cell r="G151">
            <v>0</v>
          </cell>
          <cell r="H151">
            <v>0</v>
          </cell>
          <cell r="J151" t="str">
            <v>€/Instandsetzung</v>
          </cell>
          <cell r="K151">
            <v>30</v>
          </cell>
          <cell r="L151" t="str">
            <v>PBAU</v>
          </cell>
          <cell r="M151">
            <v>3.3</v>
          </cell>
          <cell r="N151">
            <v>1.0177339901477833</v>
          </cell>
          <cell r="O151">
            <v>0</v>
          </cell>
          <cell r="P151" t="str">
            <v>€</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t="e">
            <v>#VALUE!</v>
          </cell>
          <cell r="BC151" t="e">
            <v>#VALUE!</v>
          </cell>
          <cell r="BD151" t="e">
            <v>#VALUE!</v>
          </cell>
          <cell r="BE151" t="e">
            <v>#VALUE!</v>
          </cell>
          <cell r="BF151" t="e">
            <v>#VALUE!</v>
          </cell>
          <cell r="BG151" t="e">
            <v>#VALUE!</v>
          </cell>
          <cell r="BH151" t="e">
            <v>#VALUE!</v>
          </cell>
          <cell r="BI151" t="e">
            <v>#VALUE!</v>
          </cell>
          <cell r="BJ151" t="e">
            <v>#VALUE!</v>
          </cell>
          <cell r="BK151" t="e">
            <v>#VALUE!</v>
          </cell>
          <cell r="BL151" t="e">
            <v>#VALUE!</v>
          </cell>
          <cell r="BM151" t="e">
            <v>#VALUE!</v>
          </cell>
          <cell r="BN151" t="e">
            <v>#VALUE!</v>
          </cell>
          <cell r="BO151" t="e">
            <v>#VALUE!</v>
          </cell>
          <cell r="BP151" t="e">
            <v>#VALUE!</v>
          </cell>
          <cell r="BQ151" t="e">
            <v>#VALUE!</v>
          </cell>
          <cell r="BR151" t="e">
            <v>#VALUE!</v>
          </cell>
          <cell r="BS151" t="e">
            <v>#VALUE!</v>
          </cell>
          <cell r="BT151" t="e">
            <v>#VALUE!</v>
          </cell>
          <cell r="BU151" t="e">
            <v>#VALUE!</v>
          </cell>
          <cell r="BV151" t="e">
            <v>#VALUE!</v>
          </cell>
          <cell r="BW151" t="e">
            <v>#VALUE!</v>
          </cell>
          <cell r="BX151" t="e">
            <v>#VALUE!</v>
          </cell>
          <cell r="BY151" t="e">
            <v>#VALUE!</v>
          </cell>
          <cell r="BZ151" t="e">
            <v>#VALUE!</v>
          </cell>
          <cell r="CA151" t="e">
            <v>#VALUE!</v>
          </cell>
          <cell r="CB151" t="e">
            <v>#VALUE!</v>
          </cell>
          <cell r="CC151" t="e">
            <v>#VALUE!</v>
          </cell>
          <cell r="CD151" t="e">
            <v>#VALUE!</v>
          </cell>
          <cell r="CE151" t="e">
            <v>#VALUE!</v>
          </cell>
          <cell r="CF151" t="e">
            <v>#VALUE!</v>
          </cell>
          <cell r="CG151" t="e">
            <v>#VALUE!</v>
          </cell>
          <cell r="CH151" t="e">
            <v>#VALUE!</v>
          </cell>
          <cell r="CI151" t="e">
            <v>#VALUE!</v>
          </cell>
          <cell r="CJ151" t="e">
            <v>#VALUE!</v>
          </cell>
          <cell r="CK151" t="e">
            <v>#VALUE!</v>
          </cell>
          <cell r="CL151" t="e">
            <v>#VALUE!</v>
          </cell>
          <cell r="CM151" t="e">
            <v>#VALUE!</v>
          </cell>
          <cell r="CN151" t="e">
            <v>#VALUE!</v>
          </cell>
          <cell r="CO151" t="e">
            <v>#VALUE!</v>
          </cell>
          <cell r="CP151" t="e">
            <v>#VALUE!</v>
          </cell>
          <cell r="CQ151" t="e">
            <v>#VALUE!</v>
          </cell>
          <cell r="CR151" t="e">
            <v>#VALUE!</v>
          </cell>
          <cell r="CS151" t="e">
            <v>#VALUE!</v>
          </cell>
          <cell r="CT151" t="e">
            <v>#VALUE!</v>
          </cell>
          <cell r="CU151" t="e">
            <v>#VALUE!</v>
          </cell>
          <cell r="CV151" t="e">
            <v>#VALUE!</v>
          </cell>
          <cell r="CW151" t="e">
            <v>#VALUE!</v>
          </cell>
          <cell r="CX151" t="e">
            <v>#VALUE!</v>
          </cell>
          <cell r="CY151" t="e">
            <v>#VALUE!</v>
          </cell>
          <cell r="CZ151" t="e">
            <v>#VALUE!</v>
          </cell>
          <cell r="DA151" t="e">
            <v>#VALUE!</v>
          </cell>
          <cell r="DB151" t="e">
            <v>#VALUE!</v>
          </cell>
          <cell r="DC151" t="e">
            <v>#VALUE!</v>
          </cell>
          <cell r="DD151" t="e">
            <v>#VALUE!</v>
          </cell>
          <cell r="DE151" t="e">
            <v>#VALUE!</v>
          </cell>
          <cell r="DF151" t="e">
            <v>#VALUE!</v>
          </cell>
          <cell r="DG151" t="e">
            <v>#VALUE!</v>
          </cell>
          <cell r="DH151" t="e">
            <v>#VALUE!</v>
          </cell>
          <cell r="DI151" t="e">
            <v>#VALUE!</v>
          </cell>
          <cell r="DJ151" t="e">
            <v>#VALUE!</v>
          </cell>
          <cell r="DK151" t="e">
            <v>#VALUE!</v>
          </cell>
          <cell r="DL151" t="e">
            <v>#VALUE!</v>
          </cell>
          <cell r="DM151" t="e">
            <v>#VALUE!</v>
          </cell>
        </row>
        <row r="152">
          <cell r="C152" t="str">
            <v>F7.1-4.B</v>
          </cell>
          <cell r="D152" t="str">
            <v>Dachverkleidung</v>
          </cell>
          <cell r="O152">
            <v>320380.492567198</v>
          </cell>
          <cell r="P152" t="str">
            <v>€</v>
          </cell>
        </row>
        <row r="153">
          <cell r="C153" t="str">
            <v>F7.1-4.B.01</v>
          </cell>
          <cell r="D153" t="str">
            <v>Dachbeläge</v>
          </cell>
          <cell r="O153">
            <v>320380.492567198</v>
          </cell>
          <cell r="P153" t="str">
            <v>€</v>
          </cell>
        </row>
        <row r="154">
          <cell r="C154" t="str">
            <v>F7.1-4.B.01.a</v>
          </cell>
          <cell r="D154" t="str">
            <v>Dachbelag 1</v>
          </cell>
          <cell r="E154" t="str">
            <v>E4.B.01.a</v>
          </cell>
          <cell r="F154" t="str">
            <v>E4.B.01.a * PFAKT</v>
          </cell>
          <cell r="G154">
            <v>206447.24087468957</v>
          </cell>
          <cell r="H154">
            <v>206447.24087468957</v>
          </cell>
          <cell r="J154" t="str">
            <v>€/Instandsetzung</v>
          </cell>
          <cell r="K154">
            <v>25</v>
          </cell>
          <cell r="L154" t="str">
            <v>PBAU</v>
          </cell>
          <cell r="M154">
            <v>3.3</v>
          </cell>
          <cell r="N154">
            <v>1.0177339901477833</v>
          </cell>
          <cell r="O154">
            <v>320380.492567198</v>
          </cell>
          <cell r="P154" t="str">
            <v>€</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320380.492567198</v>
          </cell>
          <cell r="AQ154">
            <v>320380.492567198</v>
          </cell>
          <cell r="AR154">
            <v>320380.492567198</v>
          </cell>
          <cell r="AS154">
            <v>320380.492567198</v>
          </cell>
          <cell r="AT154">
            <v>320380.492567198</v>
          </cell>
          <cell r="AU154">
            <v>320380.492567198</v>
          </cell>
          <cell r="AV154">
            <v>320380.492567198</v>
          </cell>
          <cell r="AW154">
            <v>320380.492567198</v>
          </cell>
          <cell r="AX154">
            <v>320380.492567198</v>
          </cell>
          <cell r="AY154">
            <v>320380.492567198</v>
          </cell>
          <cell r="AZ154">
            <v>320380.492567198</v>
          </cell>
          <cell r="BA154">
            <v>320380.492567198</v>
          </cell>
          <cell r="BB154" t="e">
            <v>#VALUE!</v>
          </cell>
          <cell r="BC154" t="e">
            <v>#VALUE!</v>
          </cell>
          <cell r="BD154" t="e">
            <v>#VALUE!</v>
          </cell>
          <cell r="BE154" t="e">
            <v>#VALUE!</v>
          </cell>
          <cell r="BF154" t="e">
            <v>#VALUE!</v>
          </cell>
          <cell r="BG154" t="e">
            <v>#VALUE!</v>
          </cell>
          <cell r="BH154" t="e">
            <v>#VALUE!</v>
          </cell>
          <cell r="BI154" t="e">
            <v>#VALUE!</v>
          </cell>
          <cell r="BJ154" t="e">
            <v>#VALUE!</v>
          </cell>
          <cell r="BK154" t="e">
            <v>#VALUE!</v>
          </cell>
          <cell r="BL154" t="e">
            <v>#VALUE!</v>
          </cell>
          <cell r="BM154" t="e">
            <v>#VALUE!</v>
          </cell>
          <cell r="BN154" t="e">
            <v>#VALUE!</v>
          </cell>
          <cell r="BO154" t="e">
            <v>#VALUE!</v>
          </cell>
          <cell r="BP154" t="e">
            <v>#VALUE!</v>
          </cell>
          <cell r="BQ154" t="e">
            <v>#VALUE!</v>
          </cell>
          <cell r="BR154" t="e">
            <v>#VALUE!</v>
          </cell>
          <cell r="BS154" t="e">
            <v>#VALUE!</v>
          </cell>
          <cell r="BT154" t="e">
            <v>#VALUE!</v>
          </cell>
          <cell r="BU154" t="e">
            <v>#VALUE!</v>
          </cell>
          <cell r="BV154" t="e">
            <v>#VALUE!</v>
          </cell>
          <cell r="BW154" t="e">
            <v>#VALUE!</v>
          </cell>
          <cell r="BX154" t="e">
            <v>#VALUE!</v>
          </cell>
          <cell r="BY154" t="e">
            <v>#VALUE!</v>
          </cell>
          <cell r="BZ154" t="e">
            <v>#VALUE!</v>
          </cell>
          <cell r="CA154" t="e">
            <v>#VALUE!</v>
          </cell>
          <cell r="CB154" t="e">
            <v>#VALUE!</v>
          </cell>
          <cell r="CC154" t="e">
            <v>#VALUE!</v>
          </cell>
          <cell r="CD154" t="e">
            <v>#VALUE!</v>
          </cell>
          <cell r="CE154" t="e">
            <v>#VALUE!</v>
          </cell>
          <cell r="CF154" t="e">
            <v>#VALUE!</v>
          </cell>
          <cell r="CG154" t="e">
            <v>#VALUE!</v>
          </cell>
          <cell r="CH154" t="e">
            <v>#VALUE!</v>
          </cell>
          <cell r="CI154" t="e">
            <v>#VALUE!</v>
          </cell>
          <cell r="CJ154" t="e">
            <v>#VALUE!</v>
          </cell>
          <cell r="CK154" t="e">
            <v>#VALUE!</v>
          </cell>
          <cell r="CL154" t="e">
            <v>#VALUE!</v>
          </cell>
          <cell r="CM154" t="e">
            <v>#VALUE!</v>
          </cell>
          <cell r="CN154" t="e">
            <v>#VALUE!</v>
          </cell>
          <cell r="CO154" t="e">
            <v>#VALUE!</v>
          </cell>
          <cell r="CP154" t="e">
            <v>#VALUE!</v>
          </cell>
          <cell r="CQ154" t="e">
            <v>#VALUE!</v>
          </cell>
          <cell r="CR154" t="e">
            <v>#VALUE!</v>
          </cell>
          <cell r="CS154" t="e">
            <v>#VALUE!</v>
          </cell>
          <cell r="CT154" t="e">
            <v>#VALUE!</v>
          </cell>
          <cell r="CU154" t="e">
            <v>#VALUE!</v>
          </cell>
          <cell r="CV154" t="e">
            <v>#VALUE!</v>
          </cell>
          <cell r="CW154" t="e">
            <v>#VALUE!</v>
          </cell>
          <cell r="CX154" t="e">
            <v>#VALUE!</v>
          </cell>
          <cell r="CY154" t="e">
            <v>#VALUE!</v>
          </cell>
          <cell r="CZ154" t="e">
            <v>#VALUE!</v>
          </cell>
          <cell r="DA154" t="e">
            <v>#VALUE!</v>
          </cell>
          <cell r="DB154" t="e">
            <v>#VALUE!</v>
          </cell>
          <cell r="DC154" t="e">
            <v>#VALUE!</v>
          </cell>
          <cell r="DD154" t="e">
            <v>#VALUE!</v>
          </cell>
          <cell r="DE154" t="e">
            <v>#VALUE!</v>
          </cell>
          <cell r="DF154" t="e">
            <v>#VALUE!</v>
          </cell>
          <cell r="DG154" t="e">
            <v>#VALUE!</v>
          </cell>
          <cell r="DH154" t="e">
            <v>#VALUE!</v>
          </cell>
          <cell r="DI154" t="e">
            <v>#VALUE!</v>
          </cell>
          <cell r="DJ154" t="e">
            <v>#VALUE!</v>
          </cell>
          <cell r="DK154" t="e">
            <v>#VALUE!</v>
          </cell>
          <cell r="DL154" t="e">
            <v>#VALUE!</v>
          </cell>
          <cell r="DM154" t="e">
            <v>#VALUE!</v>
          </cell>
        </row>
        <row r="155">
          <cell r="C155" t="str">
            <v>F7.1-4.B.01.b</v>
          </cell>
          <cell r="D155" t="str">
            <v>Dachbelag 2</v>
          </cell>
          <cell r="E155" t="str">
            <v>E4.B.01.b</v>
          </cell>
          <cell r="F155" t="str">
            <v>E4.B.01.b * PFAKT</v>
          </cell>
          <cell r="G155">
            <v>0</v>
          </cell>
          <cell r="H155">
            <v>0</v>
          </cell>
          <cell r="J155" t="str">
            <v>€/Instandsetzung</v>
          </cell>
          <cell r="K155">
            <v>1000</v>
          </cell>
          <cell r="L155" t="str">
            <v>PBAU</v>
          </cell>
          <cell r="M155">
            <v>3.3</v>
          </cell>
          <cell r="N155">
            <v>1.0177339901477833</v>
          </cell>
          <cell r="O155">
            <v>0</v>
          </cell>
          <cell r="P155" t="str">
            <v>€</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t="e">
            <v>#VALUE!</v>
          </cell>
          <cell r="BC155" t="e">
            <v>#VALUE!</v>
          </cell>
          <cell r="BD155" t="e">
            <v>#VALUE!</v>
          </cell>
          <cell r="BE155" t="e">
            <v>#VALUE!</v>
          </cell>
          <cell r="BF155" t="e">
            <v>#VALUE!</v>
          </cell>
          <cell r="BG155" t="e">
            <v>#VALUE!</v>
          </cell>
          <cell r="BH155" t="e">
            <v>#VALUE!</v>
          </cell>
          <cell r="BI155" t="e">
            <v>#VALUE!</v>
          </cell>
          <cell r="BJ155" t="e">
            <v>#VALUE!</v>
          </cell>
          <cell r="BK155" t="e">
            <v>#VALUE!</v>
          </cell>
          <cell r="BL155" t="e">
            <v>#VALUE!</v>
          </cell>
          <cell r="BM155" t="e">
            <v>#VALUE!</v>
          </cell>
          <cell r="BN155" t="e">
            <v>#VALUE!</v>
          </cell>
          <cell r="BO155" t="e">
            <v>#VALUE!</v>
          </cell>
          <cell r="BP155" t="e">
            <v>#VALUE!</v>
          </cell>
          <cell r="BQ155" t="e">
            <v>#VALUE!</v>
          </cell>
          <cell r="BR155" t="e">
            <v>#VALUE!</v>
          </cell>
          <cell r="BS155" t="e">
            <v>#VALUE!</v>
          </cell>
          <cell r="BT155" t="e">
            <v>#VALUE!</v>
          </cell>
          <cell r="BU155" t="e">
            <v>#VALUE!</v>
          </cell>
          <cell r="BV155" t="e">
            <v>#VALUE!</v>
          </cell>
          <cell r="BW155" t="e">
            <v>#VALUE!</v>
          </cell>
          <cell r="BX155" t="e">
            <v>#VALUE!</v>
          </cell>
          <cell r="BY155" t="e">
            <v>#VALUE!</v>
          </cell>
          <cell r="BZ155" t="e">
            <v>#VALUE!</v>
          </cell>
          <cell r="CA155" t="e">
            <v>#VALUE!</v>
          </cell>
          <cell r="CB155" t="e">
            <v>#VALUE!</v>
          </cell>
          <cell r="CC155" t="e">
            <v>#VALUE!</v>
          </cell>
          <cell r="CD155" t="e">
            <v>#VALUE!</v>
          </cell>
          <cell r="CE155" t="e">
            <v>#VALUE!</v>
          </cell>
          <cell r="CF155" t="e">
            <v>#VALUE!</v>
          </cell>
          <cell r="CG155" t="e">
            <v>#VALUE!</v>
          </cell>
          <cell r="CH155" t="e">
            <v>#VALUE!</v>
          </cell>
          <cell r="CI155" t="e">
            <v>#VALUE!</v>
          </cell>
          <cell r="CJ155" t="e">
            <v>#VALUE!</v>
          </cell>
          <cell r="CK155" t="e">
            <v>#VALUE!</v>
          </cell>
          <cell r="CL155" t="e">
            <v>#VALUE!</v>
          </cell>
          <cell r="CM155" t="e">
            <v>#VALUE!</v>
          </cell>
          <cell r="CN155" t="e">
            <v>#VALUE!</v>
          </cell>
          <cell r="CO155" t="e">
            <v>#VALUE!</v>
          </cell>
          <cell r="CP155" t="e">
            <v>#VALUE!</v>
          </cell>
          <cell r="CQ155" t="e">
            <v>#VALUE!</v>
          </cell>
          <cell r="CR155" t="e">
            <v>#VALUE!</v>
          </cell>
          <cell r="CS155" t="e">
            <v>#VALUE!</v>
          </cell>
          <cell r="CT155" t="e">
            <v>#VALUE!</v>
          </cell>
          <cell r="CU155" t="e">
            <v>#VALUE!</v>
          </cell>
          <cell r="CV155" t="e">
            <v>#VALUE!</v>
          </cell>
          <cell r="CW155" t="e">
            <v>#VALUE!</v>
          </cell>
          <cell r="CX155" t="e">
            <v>#VALUE!</v>
          </cell>
          <cell r="CY155" t="e">
            <v>#VALUE!</v>
          </cell>
          <cell r="CZ155" t="e">
            <v>#VALUE!</v>
          </cell>
          <cell r="DA155" t="e">
            <v>#VALUE!</v>
          </cell>
          <cell r="DB155" t="e">
            <v>#VALUE!</v>
          </cell>
          <cell r="DC155" t="e">
            <v>#VALUE!</v>
          </cell>
          <cell r="DD155" t="e">
            <v>#VALUE!</v>
          </cell>
          <cell r="DE155" t="e">
            <v>#VALUE!</v>
          </cell>
          <cell r="DF155" t="e">
            <v>#VALUE!</v>
          </cell>
          <cell r="DG155" t="e">
            <v>#VALUE!</v>
          </cell>
          <cell r="DH155" t="e">
            <v>#VALUE!</v>
          </cell>
          <cell r="DI155" t="e">
            <v>#VALUE!</v>
          </cell>
          <cell r="DJ155" t="e">
            <v>#VALUE!</v>
          </cell>
          <cell r="DK155" t="e">
            <v>#VALUE!</v>
          </cell>
          <cell r="DL155" t="e">
            <v>#VALUE!</v>
          </cell>
          <cell r="DM155" t="e">
            <v>#VALUE!</v>
          </cell>
        </row>
        <row r="156">
          <cell r="C156" t="str">
            <v>F7.1-4.B.02</v>
          </cell>
          <cell r="D156" t="str">
            <v>Dachfenster/-öffnungen</v>
          </cell>
          <cell r="E156" t="str">
            <v>E4.B.02</v>
          </cell>
          <cell r="F156" t="str">
            <v>E4.B.02 * PFAKT</v>
          </cell>
          <cell r="G156">
            <v>0</v>
          </cell>
          <cell r="H156">
            <v>0</v>
          </cell>
          <cell r="J156" t="str">
            <v>€/Instandsetzung</v>
          </cell>
          <cell r="K156">
            <v>161.92347165959501</v>
          </cell>
          <cell r="L156" t="str">
            <v>PBAU</v>
          </cell>
          <cell r="M156">
            <v>3.3</v>
          </cell>
          <cell r="N156">
            <v>1.0177339901477833</v>
          </cell>
          <cell r="O156">
            <v>0</v>
          </cell>
          <cell r="P156" t="str">
            <v>€</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t="e">
            <v>#VALUE!</v>
          </cell>
          <cell r="BC156" t="e">
            <v>#VALUE!</v>
          </cell>
          <cell r="BD156" t="e">
            <v>#VALUE!</v>
          </cell>
          <cell r="BE156" t="e">
            <v>#VALUE!</v>
          </cell>
          <cell r="BF156" t="e">
            <v>#VALUE!</v>
          </cell>
          <cell r="BG156" t="e">
            <v>#VALUE!</v>
          </cell>
          <cell r="BH156" t="e">
            <v>#VALUE!</v>
          </cell>
          <cell r="BI156" t="e">
            <v>#VALUE!</v>
          </cell>
          <cell r="BJ156" t="e">
            <v>#VALUE!</v>
          </cell>
          <cell r="BK156" t="e">
            <v>#VALUE!</v>
          </cell>
          <cell r="BL156" t="e">
            <v>#VALUE!</v>
          </cell>
          <cell r="BM156" t="e">
            <v>#VALUE!</v>
          </cell>
          <cell r="BN156" t="e">
            <v>#VALUE!</v>
          </cell>
          <cell r="BO156" t="e">
            <v>#VALUE!</v>
          </cell>
          <cell r="BP156" t="e">
            <v>#VALUE!</v>
          </cell>
          <cell r="BQ156" t="e">
            <v>#VALUE!</v>
          </cell>
          <cell r="BR156" t="e">
            <v>#VALUE!</v>
          </cell>
          <cell r="BS156" t="e">
            <v>#VALUE!</v>
          </cell>
          <cell r="BT156" t="e">
            <v>#VALUE!</v>
          </cell>
          <cell r="BU156" t="e">
            <v>#VALUE!</v>
          </cell>
          <cell r="BV156" t="e">
            <v>#VALUE!</v>
          </cell>
          <cell r="BW156" t="e">
            <v>#VALUE!</v>
          </cell>
          <cell r="BX156" t="e">
            <v>#VALUE!</v>
          </cell>
          <cell r="BY156" t="e">
            <v>#VALUE!</v>
          </cell>
          <cell r="BZ156" t="e">
            <v>#VALUE!</v>
          </cell>
          <cell r="CA156" t="e">
            <v>#VALUE!</v>
          </cell>
          <cell r="CB156" t="e">
            <v>#VALUE!</v>
          </cell>
          <cell r="CC156" t="e">
            <v>#VALUE!</v>
          </cell>
          <cell r="CD156" t="e">
            <v>#VALUE!</v>
          </cell>
          <cell r="CE156" t="e">
            <v>#VALUE!</v>
          </cell>
          <cell r="CF156" t="e">
            <v>#VALUE!</v>
          </cell>
          <cell r="CG156" t="e">
            <v>#VALUE!</v>
          </cell>
          <cell r="CH156" t="e">
            <v>#VALUE!</v>
          </cell>
          <cell r="CI156" t="e">
            <v>#VALUE!</v>
          </cell>
          <cell r="CJ156" t="e">
            <v>#VALUE!</v>
          </cell>
          <cell r="CK156" t="e">
            <v>#VALUE!</v>
          </cell>
          <cell r="CL156" t="e">
            <v>#VALUE!</v>
          </cell>
          <cell r="CM156" t="e">
            <v>#VALUE!</v>
          </cell>
          <cell r="CN156" t="e">
            <v>#VALUE!</v>
          </cell>
          <cell r="CO156" t="e">
            <v>#VALUE!</v>
          </cell>
          <cell r="CP156" t="e">
            <v>#VALUE!</v>
          </cell>
          <cell r="CQ156" t="e">
            <v>#VALUE!</v>
          </cell>
          <cell r="CR156" t="e">
            <v>#VALUE!</v>
          </cell>
          <cell r="CS156" t="e">
            <v>#VALUE!</v>
          </cell>
          <cell r="CT156" t="e">
            <v>#VALUE!</v>
          </cell>
          <cell r="CU156" t="e">
            <v>#VALUE!</v>
          </cell>
          <cell r="CV156" t="e">
            <v>#VALUE!</v>
          </cell>
          <cell r="CW156" t="e">
            <v>#VALUE!</v>
          </cell>
          <cell r="CX156" t="e">
            <v>#VALUE!</v>
          </cell>
          <cell r="CY156" t="e">
            <v>#VALUE!</v>
          </cell>
          <cell r="CZ156" t="e">
            <v>#VALUE!</v>
          </cell>
          <cell r="DA156" t="e">
            <v>#VALUE!</v>
          </cell>
          <cell r="DB156" t="e">
            <v>#VALUE!</v>
          </cell>
          <cell r="DC156" t="e">
            <v>#VALUE!</v>
          </cell>
          <cell r="DD156" t="e">
            <v>#VALUE!</v>
          </cell>
          <cell r="DE156" t="e">
            <v>#VALUE!</v>
          </cell>
          <cell r="DF156" t="e">
            <v>#VALUE!</v>
          </cell>
          <cell r="DG156" t="e">
            <v>#VALUE!</v>
          </cell>
          <cell r="DH156" t="e">
            <v>#VALUE!</v>
          </cell>
          <cell r="DI156" t="e">
            <v>#VALUE!</v>
          </cell>
          <cell r="DJ156" t="e">
            <v>#VALUE!</v>
          </cell>
          <cell r="DK156" t="e">
            <v>#VALUE!</v>
          </cell>
          <cell r="DL156" t="e">
            <v>#VALUE!</v>
          </cell>
          <cell r="DM156" t="e">
            <v>#VALUE!</v>
          </cell>
        </row>
        <row r="157">
          <cell r="C157" t="str">
            <v>F7.1-4.B.03</v>
          </cell>
          <cell r="D157" t="str">
            <v>Balkon-/Terrassenbeläge</v>
          </cell>
          <cell r="E157" t="str">
            <v>E4.B.03</v>
          </cell>
          <cell r="F157" t="str">
            <v>E4.B.03 * PFAKT</v>
          </cell>
          <cell r="G157">
            <v>0</v>
          </cell>
          <cell r="H157">
            <v>0</v>
          </cell>
          <cell r="J157" t="str">
            <v>€/Instandsetzung</v>
          </cell>
          <cell r="K157">
            <v>15</v>
          </cell>
          <cell r="L157" t="str">
            <v>PBAU</v>
          </cell>
          <cell r="M157">
            <v>3.3</v>
          </cell>
          <cell r="N157">
            <v>1.0177339901477833</v>
          </cell>
          <cell r="O157">
            <v>0</v>
          </cell>
          <cell r="P157" t="str">
            <v>€</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t="e">
            <v>#VALUE!</v>
          </cell>
          <cell r="BC157" t="e">
            <v>#VALUE!</v>
          </cell>
          <cell r="BD157" t="e">
            <v>#VALUE!</v>
          </cell>
          <cell r="BE157" t="e">
            <v>#VALUE!</v>
          </cell>
          <cell r="BF157" t="e">
            <v>#VALUE!</v>
          </cell>
          <cell r="BG157" t="e">
            <v>#VALUE!</v>
          </cell>
          <cell r="BH157" t="e">
            <v>#VALUE!</v>
          </cell>
          <cell r="BI157" t="e">
            <v>#VALUE!</v>
          </cell>
          <cell r="BJ157" t="e">
            <v>#VALUE!</v>
          </cell>
          <cell r="BK157" t="e">
            <v>#VALUE!</v>
          </cell>
          <cell r="BL157" t="e">
            <v>#VALUE!</v>
          </cell>
          <cell r="BM157" t="e">
            <v>#VALUE!</v>
          </cell>
          <cell r="BN157" t="e">
            <v>#VALUE!</v>
          </cell>
          <cell r="BO157" t="e">
            <v>#VALUE!</v>
          </cell>
          <cell r="BP157" t="e">
            <v>#VALUE!</v>
          </cell>
          <cell r="BQ157" t="e">
            <v>#VALUE!</v>
          </cell>
          <cell r="BR157" t="e">
            <v>#VALUE!</v>
          </cell>
          <cell r="BS157" t="e">
            <v>#VALUE!</v>
          </cell>
          <cell r="BT157" t="e">
            <v>#VALUE!</v>
          </cell>
          <cell r="BU157" t="e">
            <v>#VALUE!</v>
          </cell>
          <cell r="BV157" t="e">
            <v>#VALUE!</v>
          </cell>
          <cell r="BW157" t="e">
            <v>#VALUE!</v>
          </cell>
          <cell r="BX157" t="e">
            <v>#VALUE!</v>
          </cell>
          <cell r="BY157" t="e">
            <v>#VALUE!</v>
          </cell>
          <cell r="BZ157" t="e">
            <v>#VALUE!</v>
          </cell>
          <cell r="CA157" t="e">
            <v>#VALUE!</v>
          </cell>
          <cell r="CB157" t="e">
            <v>#VALUE!</v>
          </cell>
          <cell r="CC157" t="e">
            <v>#VALUE!</v>
          </cell>
          <cell r="CD157" t="e">
            <v>#VALUE!</v>
          </cell>
          <cell r="CE157" t="e">
            <v>#VALUE!</v>
          </cell>
          <cell r="CF157" t="e">
            <v>#VALUE!</v>
          </cell>
          <cell r="CG157" t="e">
            <v>#VALUE!</v>
          </cell>
          <cell r="CH157" t="e">
            <v>#VALUE!</v>
          </cell>
          <cell r="CI157" t="e">
            <v>#VALUE!</v>
          </cell>
          <cell r="CJ157" t="e">
            <v>#VALUE!</v>
          </cell>
          <cell r="CK157" t="e">
            <v>#VALUE!</v>
          </cell>
          <cell r="CL157" t="e">
            <v>#VALUE!</v>
          </cell>
          <cell r="CM157" t="e">
            <v>#VALUE!</v>
          </cell>
          <cell r="CN157" t="e">
            <v>#VALUE!</v>
          </cell>
          <cell r="CO157" t="e">
            <v>#VALUE!</v>
          </cell>
          <cell r="CP157" t="e">
            <v>#VALUE!</v>
          </cell>
          <cell r="CQ157" t="e">
            <v>#VALUE!</v>
          </cell>
          <cell r="CR157" t="e">
            <v>#VALUE!</v>
          </cell>
          <cell r="CS157" t="e">
            <v>#VALUE!</v>
          </cell>
          <cell r="CT157" t="e">
            <v>#VALUE!</v>
          </cell>
          <cell r="CU157" t="e">
            <v>#VALUE!</v>
          </cell>
          <cell r="CV157" t="e">
            <v>#VALUE!</v>
          </cell>
          <cell r="CW157" t="e">
            <v>#VALUE!</v>
          </cell>
          <cell r="CX157" t="e">
            <v>#VALUE!</v>
          </cell>
          <cell r="CY157" t="e">
            <v>#VALUE!</v>
          </cell>
          <cell r="CZ157" t="e">
            <v>#VALUE!</v>
          </cell>
          <cell r="DA157" t="e">
            <v>#VALUE!</v>
          </cell>
          <cell r="DB157" t="e">
            <v>#VALUE!</v>
          </cell>
          <cell r="DC157" t="e">
            <v>#VALUE!</v>
          </cell>
          <cell r="DD157" t="e">
            <v>#VALUE!</v>
          </cell>
          <cell r="DE157" t="e">
            <v>#VALUE!</v>
          </cell>
          <cell r="DF157" t="e">
            <v>#VALUE!</v>
          </cell>
          <cell r="DG157" t="e">
            <v>#VALUE!</v>
          </cell>
          <cell r="DH157" t="e">
            <v>#VALUE!</v>
          </cell>
          <cell r="DI157" t="e">
            <v>#VALUE!</v>
          </cell>
          <cell r="DJ157" t="e">
            <v>#VALUE!</v>
          </cell>
          <cell r="DK157" t="e">
            <v>#VALUE!</v>
          </cell>
          <cell r="DL157" t="e">
            <v>#VALUE!</v>
          </cell>
          <cell r="DM157" t="e">
            <v>#VALUE!</v>
          </cell>
        </row>
        <row r="158">
          <cell r="C158" t="str">
            <v>F7.1-4.B.S</v>
          </cell>
          <cell r="D158" t="str">
            <v>Sonstige Dachverkleidung</v>
          </cell>
          <cell r="E158" t="str">
            <v>E4.B.S</v>
          </cell>
          <cell r="F158" t="str">
            <v>E4.B.S * PFAKT</v>
          </cell>
          <cell r="G158">
            <v>0</v>
          </cell>
          <cell r="H158">
            <v>0</v>
          </cell>
          <cell r="J158" t="str">
            <v>€/Instandsetzung</v>
          </cell>
          <cell r="K158">
            <v>30</v>
          </cell>
          <cell r="L158" t="str">
            <v>PBAU</v>
          </cell>
          <cell r="M158">
            <v>3.3</v>
          </cell>
          <cell r="N158">
            <v>1.0177339901477833</v>
          </cell>
          <cell r="O158">
            <v>0</v>
          </cell>
          <cell r="P158" t="str">
            <v>€</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t="e">
            <v>#VALUE!</v>
          </cell>
          <cell r="BC158" t="e">
            <v>#VALUE!</v>
          </cell>
          <cell r="BD158" t="e">
            <v>#VALUE!</v>
          </cell>
          <cell r="BE158" t="e">
            <v>#VALUE!</v>
          </cell>
          <cell r="BF158" t="e">
            <v>#VALUE!</v>
          </cell>
          <cell r="BG158" t="e">
            <v>#VALUE!</v>
          </cell>
          <cell r="BH158" t="e">
            <v>#VALUE!</v>
          </cell>
          <cell r="BI158" t="e">
            <v>#VALUE!</v>
          </cell>
          <cell r="BJ158" t="e">
            <v>#VALUE!</v>
          </cell>
          <cell r="BK158" t="e">
            <v>#VALUE!</v>
          </cell>
          <cell r="BL158" t="e">
            <v>#VALUE!</v>
          </cell>
          <cell r="BM158" t="e">
            <v>#VALUE!</v>
          </cell>
          <cell r="BN158" t="e">
            <v>#VALUE!</v>
          </cell>
          <cell r="BO158" t="e">
            <v>#VALUE!</v>
          </cell>
          <cell r="BP158" t="e">
            <v>#VALUE!</v>
          </cell>
          <cell r="BQ158" t="e">
            <v>#VALUE!</v>
          </cell>
          <cell r="BR158" t="e">
            <v>#VALUE!</v>
          </cell>
          <cell r="BS158" t="e">
            <v>#VALUE!</v>
          </cell>
          <cell r="BT158" t="e">
            <v>#VALUE!</v>
          </cell>
          <cell r="BU158" t="e">
            <v>#VALUE!</v>
          </cell>
          <cell r="BV158" t="e">
            <v>#VALUE!</v>
          </cell>
          <cell r="BW158" t="e">
            <v>#VALUE!</v>
          </cell>
          <cell r="BX158" t="e">
            <v>#VALUE!</v>
          </cell>
          <cell r="BY158" t="e">
            <v>#VALUE!</v>
          </cell>
          <cell r="BZ158" t="e">
            <v>#VALUE!</v>
          </cell>
          <cell r="CA158" t="e">
            <v>#VALUE!</v>
          </cell>
          <cell r="CB158" t="e">
            <v>#VALUE!</v>
          </cell>
          <cell r="CC158" t="e">
            <v>#VALUE!</v>
          </cell>
          <cell r="CD158" t="e">
            <v>#VALUE!</v>
          </cell>
          <cell r="CE158" t="e">
            <v>#VALUE!</v>
          </cell>
          <cell r="CF158" t="e">
            <v>#VALUE!</v>
          </cell>
          <cell r="CG158" t="e">
            <v>#VALUE!</v>
          </cell>
          <cell r="CH158" t="e">
            <v>#VALUE!</v>
          </cell>
          <cell r="CI158" t="e">
            <v>#VALUE!</v>
          </cell>
          <cell r="CJ158" t="e">
            <v>#VALUE!</v>
          </cell>
          <cell r="CK158" t="e">
            <v>#VALUE!</v>
          </cell>
          <cell r="CL158" t="e">
            <v>#VALUE!</v>
          </cell>
          <cell r="CM158" t="e">
            <v>#VALUE!</v>
          </cell>
          <cell r="CN158" t="e">
            <v>#VALUE!</v>
          </cell>
          <cell r="CO158" t="e">
            <v>#VALUE!</v>
          </cell>
          <cell r="CP158" t="e">
            <v>#VALUE!</v>
          </cell>
          <cell r="CQ158" t="e">
            <v>#VALUE!</v>
          </cell>
          <cell r="CR158" t="e">
            <v>#VALUE!</v>
          </cell>
          <cell r="CS158" t="e">
            <v>#VALUE!</v>
          </cell>
          <cell r="CT158" t="e">
            <v>#VALUE!</v>
          </cell>
          <cell r="CU158" t="e">
            <v>#VALUE!</v>
          </cell>
          <cell r="CV158" t="e">
            <v>#VALUE!</v>
          </cell>
          <cell r="CW158" t="e">
            <v>#VALUE!</v>
          </cell>
          <cell r="CX158" t="e">
            <v>#VALUE!</v>
          </cell>
          <cell r="CY158" t="e">
            <v>#VALUE!</v>
          </cell>
          <cell r="CZ158" t="e">
            <v>#VALUE!</v>
          </cell>
          <cell r="DA158" t="e">
            <v>#VALUE!</v>
          </cell>
          <cell r="DB158" t="e">
            <v>#VALUE!</v>
          </cell>
          <cell r="DC158" t="e">
            <v>#VALUE!</v>
          </cell>
          <cell r="DD158" t="e">
            <v>#VALUE!</v>
          </cell>
          <cell r="DE158" t="e">
            <v>#VALUE!</v>
          </cell>
          <cell r="DF158" t="e">
            <v>#VALUE!</v>
          </cell>
          <cell r="DG158" t="e">
            <v>#VALUE!</v>
          </cell>
          <cell r="DH158" t="e">
            <v>#VALUE!</v>
          </cell>
          <cell r="DI158" t="e">
            <v>#VALUE!</v>
          </cell>
          <cell r="DJ158" t="e">
            <v>#VALUE!</v>
          </cell>
          <cell r="DK158" t="e">
            <v>#VALUE!</v>
          </cell>
          <cell r="DL158" t="e">
            <v>#VALUE!</v>
          </cell>
          <cell r="DM158" t="e">
            <v>#VALUE!</v>
          </cell>
        </row>
        <row r="159">
          <cell r="C159" t="str">
            <v>F7.1-4.C</v>
          </cell>
          <cell r="D159" t="str">
            <v>Fassadenhülle</v>
          </cell>
          <cell r="E159" t="str">
            <v>E4.C</v>
          </cell>
          <cell r="F159" t="str">
            <v>E4.C * PFAKT</v>
          </cell>
          <cell r="G159">
            <v>157929.53061523978</v>
          </cell>
          <cell r="H159">
            <v>157929.53061523978</v>
          </cell>
          <cell r="J159" t="str">
            <v>€/Instandsetzung</v>
          </cell>
          <cell r="K159">
            <v>1000</v>
          </cell>
          <cell r="L159" t="str">
            <v>PBAU</v>
          </cell>
          <cell r="M159">
            <v>3.3</v>
          </cell>
          <cell r="N159">
            <v>1.0177339901477833</v>
          </cell>
          <cell r="O159">
            <v>0</v>
          </cell>
          <cell r="P159" t="str">
            <v>€</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t="e">
            <v>#VALUE!</v>
          </cell>
          <cell r="BC159" t="e">
            <v>#VALUE!</v>
          </cell>
          <cell r="BD159" t="e">
            <v>#VALUE!</v>
          </cell>
          <cell r="BE159" t="e">
            <v>#VALUE!</v>
          </cell>
          <cell r="BF159" t="e">
            <v>#VALUE!</v>
          </cell>
          <cell r="BG159" t="e">
            <v>#VALUE!</v>
          </cell>
          <cell r="BH159" t="e">
            <v>#VALUE!</v>
          </cell>
          <cell r="BI159" t="e">
            <v>#VALUE!</v>
          </cell>
          <cell r="BJ159" t="e">
            <v>#VALUE!</v>
          </cell>
          <cell r="BK159" t="e">
            <v>#VALUE!</v>
          </cell>
          <cell r="BL159" t="e">
            <v>#VALUE!</v>
          </cell>
          <cell r="BM159" t="e">
            <v>#VALUE!</v>
          </cell>
          <cell r="BN159" t="e">
            <v>#VALUE!</v>
          </cell>
          <cell r="BO159" t="e">
            <v>#VALUE!</v>
          </cell>
          <cell r="BP159" t="e">
            <v>#VALUE!</v>
          </cell>
          <cell r="BQ159" t="e">
            <v>#VALUE!</v>
          </cell>
          <cell r="BR159" t="e">
            <v>#VALUE!</v>
          </cell>
          <cell r="BS159" t="e">
            <v>#VALUE!</v>
          </cell>
          <cell r="BT159" t="e">
            <v>#VALUE!</v>
          </cell>
          <cell r="BU159" t="e">
            <v>#VALUE!</v>
          </cell>
          <cell r="BV159" t="e">
            <v>#VALUE!</v>
          </cell>
          <cell r="BW159" t="e">
            <v>#VALUE!</v>
          </cell>
          <cell r="BX159" t="e">
            <v>#VALUE!</v>
          </cell>
          <cell r="BY159" t="e">
            <v>#VALUE!</v>
          </cell>
          <cell r="BZ159" t="e">
            <v>#VALUE!</v>
          </cell>
          <cell r="CA159" t="e">
            <v>#VALUE!</v>
          </cell>
          <cell r="CB159" t="e">
            <v>#VALUE!</v>
          </cell>
          <cell r="CC159" t="e">
            <v>#VALUE!</v>
          </cell>
          <cell r="CD159" t="e">
            <v>#VALUE!</v>
          </cell>
          <cell r="CE159" t="e">
            <v>#VALUE!</v>
          </cell>
          <cell r="CF159" t="e">
            <v>#VALUE!</v>
          </cell>
          <cell r="CG159" t="e">
            <v>#VALUE!</v>
          </cell>
          <cell r="CH159" t="e">
            <v>#VALUE!</v>
          </cell>
          <cell r="CI159" t="e">
            <v>#VALUE!</v>
          </cell>
          <cell r="CJ159" t="e">
            <v>#VALUE!</v>
          </cell>
          <cell r="CK159" t="e">
            <v>#VALUE!</v>
          </cell>
          <cell r="CL159" t="e">
            <v>#VALUE!</v>
          </cell>
          <cell r="CM159" t="e">
            <v>#VALUE!</v>
          </cell>
          <cell r="CN159" t="e">
            <v>#VALUE!</v>
          </cell>
          <cell r="CO159" t="e">
            <v>#VALUE!</v>
          </cell>
          <cell r="CP159" t="e">
            <v>#VALUE!</v>
          </cell>
          <cell r="CQ159" t="e">
            <v>#VALUE!</v>
          </cell>
          <cell r="CR159" t="e">
            <v>#VALUE!</v>
          </cell>
          <cell r="CS159" t="e">
            <v>#VALUE!</v>
          </cell>
          <cell r="CT159" t="e">
            <v>#VALUE!</v>
          </cell>
          <cell r="CU159" t="e">
            <v>#VALUE!</v>
          </cell>
          <cell r="CV159" t="e">
            <v>#VALUE!</v>
          </cell>
          <cell r="CW159" t="e">
            <v>#VALUE!</v>
          </cell>
          <cell r="CX159" t="e">
            <v>#VALUE!</v>
          </cell>
          <cell r="CY159" t="e">
            <v>#VALUE!</v>
          </cell>
          <cell r="CZ159" t="e">
            <v>#VALUE!</v>
          </cell>
          <cell r="DA159" t="e">
            <v>#VALUE!</v>
          </cell>
          <cell r="DB159" t="e">
            <v>#VALUE!</v>
          </cell>
          <cell r="DC159" t="e">
            <v>#VALUE!</v>
          </cell>
          <cell r="DD159" t="e">
            <v>#VALUE!</v>
          </cell>
          <cell r="DE159" t="e">
            <v>#VALUE!</v>
          </cell>
          <cell r="DF159" t="e">
            <v>#VALUE!</v>
          </cell>
          <cell r="DG159" t="e">
            <v>#VALUE!</v>
          </cell>
          <cell r="DH159" t="e">
            <v>#VALUE!</v>
          </cell>
          <cell r="DI159" t="e">
            <v>#VALUE!</v>
          </cell>
          <cell r="DJ159" t="e">
            <v>#VALUE!</v>
          </cell>
          <cell r="DK159" t="e">
            <v>#VALUE!</v>
          </cell>
          <cell r="DL159" t="e">
            <v>#VALUE!</v>
          </cell>
          <cell r="DM159" t="e">
            <v>#VALUE!</v>
          </cell>
        </row>
        <row r="160">
          <cell r="C160" t="str">
            <v>F7.1-4.D</v>
          </cell>
          <cell r="D160" t="str">
            <v>Innenausbau</v>
          </cell>
          <cell r="O160">
            <v>162252.58267772835</v>
          </cell>
          <cell r="P160" t="str">
            <v>€</v>
          </cell>
        </row>
        <row r="161">
          <cell r="C161" t="str">
            <v>F7.1-4.D.01</v>
          </cell>
          <cell r="D161" t="str">
            <v>Bodenbeläge</v>
          </cell>
          <cell r="E161" t="str">
            <v>E4.D.01</v>
          </cell>
          <cell r="F161" t="str">
            <v>E4.D.01 * PFAKT</v>
          </cell>
          <cell r="G161">
            <v>0</v>
          </cell>
          <cell r="H161">
            <v>0</v>
          </cell>
          <cell r="J161" t="str">
            <v>€/Instandsetzung</v>
          </cell>
          <cell r="K161">
            <v>20</v>
          </cell>
          <cell r="L161" t="str">
            <v>PBAU</v>
          </cell>
          <cell r="M161">
            <v>3.3</v>
          </cell>
          <cell r="N161">
            <v>1.0177339901477833</v>
          </cell>
          <cell r="O161">
            <v>0</v>
          </cell>
          <cell r="P161" t="str">
            <v>€</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t="e">
            <v>#VALUE!</v>
          </cell>
          <cell r="BC161" t="e">
            <v>#VALUE!</v>
          </cell>
          <cell r="BD161" t="e">
            <v>#VALUE!</v>
          </cell>
          <cell r="BE161" t="e">
            <v>#VALUE!</v>
          </cell>
          <cell r="BF161" t="e">
            <v>#VALUE!</v>
          </cell>
          <cell r="BG161" t="e">
            <v>#VALUE!</v>
          </cell>
          <cell r="BH161" t="e">
            <v>#VALUE!</v>
          </cell>
          <cell r="BI161" t="e">
            <v>#VALUE!</v>
          </cell>
          <cell r="BJ161" t="e">
            <v>#VALUE!</v>
          </cell>
          <cell r="BK161" t="e">
            <v>#VALUE!</v>
          </cell>
          <cell r="BL161" t="e">
            <v>#VALUE!</v>
          </cell>
          <cell r="BM161" t="e">
            <v>#VALUE!</v>
          </cell>
          <cell r="BN161" t="e">
            <v>#VALUE!</v>
          </cell>
          <cell r="BO161" t="e">
            <v>#VALUE!</v>
          </cell>
          <cell r="BP161" t="e">
            <v>#VALUE!</v>
          </cell>
          <cell r="BQ161" t="e">
            <v>#VALUE!</v>
          </cell>
          <cell r="BR161" t="e">
            <v>#VALUE!</v>
          </cell>
          <cell r="BS161" t="e">
            <v>#VALUE!</v>
          </cell>
          <cell r="BT161" t="e">
            <v>#VALUE!</v>
          </cell>
          <cell r="BU161" t="e">
            <v>#VALUE!</v>
          </cell>
          <cell r="BV161" t="e">
            <v>#VALUE!</v>
          </cell>
          <cell r="BW161" t="e">
            <v>#VALUE!</v>
          </cell>
          <cell r="BX161" t="e">
            <v>#VALUE!</v>
          </cell>
          <cell r="BY161" t="e">
            <v>#VALUE!</v>
          </cell>
          <cell r="BZ161" t="e">
            <v>#VALUE!</v>
          </cell>
          <cell r="CA161" t="e">
            <v>#VALUE!</v>
          </cell>
          <cell r="CB161" t="e">
            <v>#VALUE!</v>
          </cell>
          <cell r="CC161" t="e">
            <v>#VALUE!</v>
          </cell>
          <cell r="CD161" t="e">
            <v>#VALUE!</v>
          </cell>
          <cell r="CE161" t="e">
            <v>#VALUE!</v>
          </cell>
          <cell r="CF161" t="e">
            <v>#VALUE!</v>
          </cell>
          <cell r="CG161" t="e">
            <v>#VALUE!</v>
          </cell>
          <cell r="CH161" t="e">
            <v>#VALUE!</v>
          </cell>
          <cell r="CI161" t="e">
            <v>#VALUE!</v>
          </cell>
          <cell r="CJ161" t="e">
            <v>#VALUE!</v>
          </cell>
          <cell r="CK161" t="e">
            <v>#VALUE!</v>
          </cell>
          <cell r="CL161" t="e">
            <v>#VALUE!</v>
          </cell>
          <cell r="CM161" t="e">
            <v>#VALUE!</v>
          </cell>
          <cell r="CN161" t="e">
            <v>#VALUE!</v>
          </cell>
          <cell r="CO161" t="e">
            <v>#VALUE!</v>
          </cell>
          <cell r="CP161" t="e">
            <v>#VALUE!</v>
          </cell>
          <cell r="CQ161" t="e">
            <v>#VALUE!</v>
          </cell>
          <cell r="CR161" t="e">
            <v>#VALUE!</v>
          </cell>
          <cell r="CS161" t="e">
            <v>#VALUE!</v>
          </cell>
          <cell r="CT161" t="e">
            <v>#VALUE!</v>
          </cell>
          <cell r="CU161" t="e">
            <v>#VALUE!</v>
          </cell>
          <cell r="CV161" t="e">
            <v>#VALUE!</v>
          </cell>
          <cell r="CW161" t="e">
            <v>#VALUE!</v>
          </cell>
          <cell r="CX161" t="e">
            <v>#VALUE!</v>
          </cell>
          <cell r="CY161" t="e">
            <v>#VALUE!</v>
          </cell>
          <cell r="CZ161" t="e">
            <v>#VALUE!</v>
          </cell>
          <cell r="DA161" t="e">
            <v>#VALUE!</v>
          </cell>
          <cell r="DB161" t="e">
            <v>#VALUE!</v>
          </cell>
          <cell r="DC161" t="e">
            <v>#VALUE!</v>
          </cell>
          <cell r="DD161" t="e">
            <v>#VALUE!</v>
          </cell>
          <cell r="DE161" t="e">
            <v>#VALUE!</v>
          </cell>
          <cell r="DF161" t="e">
            <v>#VALUE!</v>
          </cell>
          <cell r="DG161" t="e">
            <v>#VALUE!</v>
          </cell>
          <cell r="DH161" t="e">
            <v>#VALUE!</v>
          </cell>
          <cell r="DI161" t="e">
            <v>#VALUE!</v>
          </cell>
          <cell r="DJ161" t="e">
            <v>#VALUE!</v>
          </cell>
          <cell r="DK161" t="e">
            <v>#VALUE!</v>
          </cell>
          <cell r="DL161" t="e">
            <v>#VALUE!</v>
          </cell>
          <cell r="DM161" t="e">
            <v>#VALUE!</v>
          </cell>
        </row>
        <row r="162">
          <cell r="C162" t="str">
            <v>F7.1-4.D.02</v>
          </cell>
          <cell r="D162" t="str">
            <v>Wandverkleidungen</v>
          </cell>
          <cell r="O162">
            <v>162252.58267772835</v>
          </cell>
          <cell r="P162" t="str">
            <v>€</v>
          </cell>
        </row>
        <row r="163">
          <cell r="C163" t="str">
            <v>F7.1-4.D.02a</v>
          </cell>
          <cell r="D163" t="str">
            <v>Ausmalen</v>
          </cell>
          <cell r="E163" t="str">
            <v>F7.1-4.D.02a</v>
          </cell>
          <cell r="F163" t="str">
            <v>AUSMKm2*MALFw</v>
          </cell>
          <cell r="G163">
            <v>2711.52</v>
          </cell>
          <cell r="H163">
            <v>2711.52</v>
          </cell>
          <cell r="J163" t="str">
            <v>€/Instandsetzung</v>
          </cell>
          <cell r="K163">
            <v>10</v>
          </cell>
          <cell r="L163" t="str">
            <v>PBAU</v>
          </cell>
          <cell r="M163">
            <v>3.3</v>
          </cell>
          <cell r="N163">
            <v>1.0177339901477833</v>
          </cell>
          <cell r="O163">
            <v>11681.039970962078</v>
          </cell>
          <cell r="P163" t="str">
            <v>€</v>
          </cell>
          <cell r="Q163">
            <v>0</v>
          </cell>
          <cell r="R163">
            <v>0</v>
          </cell>
          <cell r="S163">
            <v>0</v>
          </cell>
          <cell r="T163">
            <v>0</v>
          </cell>
          <cell r="U163">
            <v>0</v>
          </cell>
          <cell r="V163">
            <v>0</v>
          </cell>
          <cell r="W163">
            <v>0</v>
          </cell>
          <cell r="X163">
            <v>0</v>
          </cell>
          <cell r="Y163">
            <v>0</v>
          </cell>
          <cell r="Z163">
            <v>0</v>
          </cell>
          <cell r="AA163">
            <v>3232.6270657255095</v>
          </cell>
          <cell r="AB163">
            <v>3232.6270657255095</v>
          </cell>
          <cell r="AC163">
            <v>3232.6270657255095</v>
          </cell>
          <cell r="AD163">
            <v>3232.6270657255095</v>
          </cell>
          <cell r="AE163">
            <v>3232.6270657255095</v>
          </cell>
          <cell r="AF163">
            <v>3232.6270657255095</v>
          </cell>
          <cell r="AG163">
            <v>3232.6270657255095</v>
          </cell>
          <cell r="AH163">
            <v>3232.6270657255095</v>
          </cell>
          <cell r="AI163">
            <v>3232.6270657255095</v>
          </cell>
          <cell r="AJ163">
            <v>3232.6270657255095</v>
          </cell>
          <cell r="AK163">
            <v>7086.5089275820083</v>
          </cell>
          <cell r="AL163">
            <v>7086.5089275820083</v>
          </cell>
          <cell r="AM163">
            <v>7086.5089275820083</v>
          </cell>
          <cell r="AN163">
            <v>7086.5089275820083</v>
          </cell>
          <cell r="AO163">
            <v>7086.5089275820083</v>
          </cell>
          <cell r="AP163">
            <v>7086.5089275820083</v>
          </cell>
          <cell r="AQ163">
            <v>7086.5089275820083</v>
          </cell>
          <cell r="AR163">
            <v>7086.5089275820083</v>
          </cell>
          <cell r="AS163">
            <v>7086.5089275820083</v>
          </cell>
          <cell r="AT163">
            <v>7086.5089275820083</v>
          </cell>
          <cell r="AU163">
            <v>11681.039970962078</v>
          </cell>
          <cell r="AV163">
            <v>11681.039970962078</v>
          </cell>
          <cell r="AW163">
            <v>11681.039970962078</v>
          </cell>
          <cell r="AX163">
            <v>11681.039970962078</v>
          </cell>
          <cell r="AY163">
            <v>11681.039970962078</v>
          </cell>
          <cell r="AZ163">
            <v>11681.039970962078</v>
          </cell>
          <cell r="BA163">
            <v>11681.039970962078</v>
          </cell>
          <cell r="BB163" t="e">
            <v>#VALUE!</v>
          </cell>
          <cell r="BC163" t="e">
            <v>#VALUE!</v>
          </cell>
          <cell r="BD163" t="e">
            <v>#VALUE!</v>
          </cell>
          <cell r="BE163" t="e">
            <v>#VALUE!</v>
          </cell>
          <cell r="BF163" t="e">
            <v>#VALUE!</v>
          </cell>
          <cell r="BG163" t="e">
            <v>#VALUE!</v>
          </cell>
          <cell r="BH163" t="e">
            <v>#VALUE!</v>
          </cell>
          <cell r="BI163" t="e">
            <v>#VALUE!</v>
          </cell>
          <cell r="BJ163" t="e">
            <v>#VALUE!</v>
          </cell>
          <cell r="BK163" t="e">
            <v>#VALUE!</v>
          </cell>
          <cell r="BL163" t="e">
            <v>#VALUE!</v>
          </cell>
          <cell r="BM163" t="e">
            <v>#VALUE!</v>
          </cell>
          <cell r="BN163" t="e">
            <v>#VALUE!</v>
          </cell>
          <cell r="BO163" t="e">
            <v>#VALUE!</v>
          </cell>
          <cell r="BP163" t="e">
            <v>#VALUE!</v>
          </cell>
          <cell r="BQ163" t="e">
            <v>#VALUE!</v>
          </cell>
          <cell r="BR163" t="e">
            <v>#VALUE!</v>
          </cell>
          <cell r="BS163" t="e">
            <v>#VALUE!</v>
          </cell>
          <cell r="BT163" t="e">
            <v>#VALUE!</v>
          </cell>
          <cell r="BU163" t="e">
            <v>#VALUE!</v>
          </cell>
          <cell r="BV163" t="e">
            <v>#VALUE!</v>
          </cell>
          <cell r="BW163" t="e">
            <v>#VALUE!</v>
          </cell>
          <cell r="BX163" t="e">
            <v>#VALUE!</v>
          </cell>
          <cell r="BY163" t="e">
            <v>#VALUE!</v>
          </cell>
          <cell r="BZ163" t="e">
            <v>#VALUE!</v>
          </cell>
          <cell r="CA163" t="e">
            <v>#VALUE!</v>
          </cell>
          <cell r="CB163" t="e">
            <v>#VALUE!</v>
          </cell>
          <cell r="CC163" t="e">
            <v>#VALUE!</v>
          </cell>
          <cell r="CD163" t="e">
            <v>#VALUE!</v>
          </cell>
          <cell r="CE163" t="e">
            <v>#VALUE!</v>
          </cell>
          <cell r="CF163" t="e">
            <v>#VALUE!</v>
          </cell>
          <cell r="CG163" t="e">
            <v>#VALUE!</v>
          </cell>
          <cell r="CH163" t="e">
            <v>#VALUE!</v>
          </cell>
          <cell r="CI163" t="e">
            <v>#VALUE!</v>
          </cell>
          <cell r="CJ163" t="e">
            <v>#VALUE!</v>
          </cell>
          <cell r="CK163" t="e">
            <v>#VALUE!</v>
          </cell>
          <cell r="CL163" t="e">
            <v>#VALUE!</v>
          </cell>
          <cell r="CM163" t="e">
            <v>#VALUE!</v>
          </cell>
          <cell r="CN163" t="e">
            <v>#VALUE!</v>
          </cell>
          <cell r="CO163" t="e">
            <v>#VALUE!</v>
          </cell>
          <cell r="CP163" t="e">
            <v>#VALUE!</v>
          </cell>
          <cell r="CQ163" t="e">
            <v>#VALUE!</v>
          </cell>
          <cell r="CR163" t="e">
            <v>#VALUE!</v>
          </cell>
          <cell r="CS163" t="e">
            <v>#VALUE!</v>
          </cell>
          <cell r="CT163" t="e">
            <v>#VALUE!</v>
          </cell>
          <cell r="CU163" t="e">
            <v>#VALUE!</v>
          </cell>
          <cell r="CV163" t="e">
            <v>#VALUE!</v>
          </cell>
          <cell r="CW163" t="e">
            <v>#VALUE!</v>
          </cell>
          <cell r="CX163" t="e">
            <v>#VALUE!</v>
          </cell>
          <cell r="CY163" t="e">
            <v>#VALUE!</v>
          </cell>
          <cell r="CZ163" t="e">
            <v>#VALUE!</v>
          </cell>
          <cell r="DA163" t="e">
            <v>#VALUE!</v>
          </cell>
          <cell r="DB163" t="e">
            <v>#VALUE!</v>
          </cell>
          <cell r="DC163" t="e">
            <v>#VALUE!</v>
          </cell>
          <cell r="DD163" t="e">
            <v>#VALUE!</v>
          </cell>
          <cell r="DE163" t="e">
            <v>#VALUE!</v>
          </cell>
          <cell r="DF163" t="e">
            <v>#VALUE!</v>
          </cell>
          <cell r="DG163" t="e">
            <v>#VALUE!</v>
          </cell>
          <cell r="DH163" t="e">
            <v>#VALUE!</v>
          </cell>
          <cell r="DI163" t="e">
            <v>#VALUE!</v>
          </cell>
          <cell r="DJ163" t="e">
            <v>#VALUE!</v>
          </cell>
          <cell r="DK163" t="e">
            <v>#VALUE!</v>
          </cell>
          <cell r="DL163" t="e">
            <v>#VALUE!</v>
          </cell>
          <cell r="DM163" t="e">
            <v>#VALUE!</v>
          </cell>
        </row>
        <row r="164">
          <cell r="C164" t="str">
            <v>F7.1-4.D.02b</v>
          </cell>
          <cell r="D164" t="str">
            <v>Instandsetzung Wandverkleidungen</v>
          </cell>
          <cell r="E164" t="str">
            <v>E4.D.02</v>
          </cell>
          <cell r="F164" t="str">
            <v>E4.D.02 * PFAKT</v>
          </cell>
          <cell r="G164">
            <v>102279.53764172536</v>
          </cell>
          <cell r="H164">
            <v>102279.53764172536</v>
          </cell>
          <cell r="J164" t="str">
            <v>€/Instandsetzung</v>
          </cell>
          <cell r="K164">
            <v>22</v>
          </cell>
          <cell r="L164" t="str">
            <v>PBAU</v>
          </cell>
          <cell r="M164">
            <v>3.3</v>
          </cell>
          <cell r="N164">
            <v>1.0177339901477833</v>
          </cell>
          <cell r="O164">
            <v>150571.54270676628</v>
          </cell>
          <cell r="P164" t="str">
            <v>€</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150571.54270676628</v>
          </cell>
          <cell r="AN164">
            <v>150571.54270676628</v>
          </cell>
          <cell r="AO164">
            <v>150571.54270676628</v>
          </cell>
          <cell r="AP164">
            <v>150571.54270676628</v>
          </cell>
          <cell r="AQ164">
            <v>150571.54270676628</v>
          </cell>
          <cell r="AR164">
            <v>150571.54270676628</v>
          </cell>
          <cell r="AS164">
            <v>150571.54270676628</v>
          </cell>
          <cell r="AT164">
            <v>150571.54270676628</v>
          </cell>
          <cell r="AU164">
            <v>150571.54270676628</v>
          </cell>
          <cell r="AV164">
            <v>150571.54270676628</v>
          </cell>
          <cell r="AW164">
            <v>150571.54270676628</v>
          </cell>
          <cell r="AX164">
            <v>150571.54270676628</v>
          </cell>
          <cell r="AY164">
            <v>150571.54270676628</v>
          </cell>
          <cell r="AZ164">
            <v>150571.54270676628</v>
          </cell>
          <cell r="BA164">
            <v>150571.54270676628</v>
          </cell>
          <cell r="BB164" t="e">
            <v>#VALUE!</v>
          </cell>
          <cell r="BC164" t="e">
            <v>#VALUE!</v>
          </cell>
          <cell r="BD164" t="e">
            <v>#VALUE!</v>
          </cell>
          <cell r="BE164" t="e">
            <v>#VALUE!</v>
          </cell>
          <cell r="BF164" t="e">
            <v>#VALUE!</v>
          </cell>
          <cell r="BG164" t="e">
            <v>#VALUE!</v>
          </cell>
          <cell r="BH164" t="e">
            <v>#VALUE!</v>
          </cell>
          <cell r="BI164" t="e">
            <v>#VALUE!</v>
          </cell>
          <cell r="BJ164" t="e">
            <v>#VALUE!</v>
          </cell>
          <cell r="BK164" t="e">
            <v>#VALUE!</v>
          </cell>
          <cell r="BL164" t="e">
            <v>#VALUE!</v>
          </cell>
          <cell r="BM164" t="e">
            <v>#VALUE!</v>
          </cell>
          <cell r="BN164" t="e">
            <v>#VALUE!</v>
          </cell>
          <cell r="BO164" t="e">
            <v>#VALUE!</v>
          </cell>
          <cell r="BP164" t="e">
            <v>#VALUE!</v>
          </cell>
          <cell r="BQ164" t="e">
            <v>#VALUE!</v>
          </cell>
          <cell r="BR164" t="e">
            <v>#VALUE!</v>
          </cell>
          <cell r="BS164" t="e">
            <v>#VALUE!</v>
          </cell>
          <cell r="BT164" t="e">
            <v>#VALUE!</v>
          </cell>
          <cell r="BU164" t="e">
            <v>#VALUE!</v>
          </cell>
          <cell r="BV164" t="e">
            <v>#VALUE!</v>
          </cell>
          <cell r="BW164" t="e">
            <v>#VALUE!</v>
          </cell>
          <cell r="BX164" t="e">
            <v>#VALUE!</v>
          </cell>
          <cell r="BY164" t="e">
            <v>#VALUE!</v>
          </cell>
          <cell r="BZ164" t="e">
            <v>#VALUE!</v>
          </cell>
          <cell r="CA164" t="e">
            <v>#VALUE!</v>
          </cell>
          <cell r="CB164" t="e">
            <v>#VALUE!</v>
          </cell>
          <cell r="CC164" t="e">
            <v>#VALUE!</v>
          </cell>
          <cell r="CD164" t="e">
            <v>#VALUE!</v>
          </cell>
          <cell r="CE164" t="e">
            <v>#VALUE!</v>
          </cell>
          <cell r="CF164" t="e">
            <v>#VALUE!</v>
          </cell>
          <cell r="CG164" t="e">
            <v>#VALUE!</v>
          </cell>
          <cell r="CH164" t="e">
            <v>#VALUE!</v>
          </cell>
          <cell r="CI164" t="e">
            <v>#VALUE!</v>
          </cell>
          <cell r="CJ164" t="e">
            <v>#VALUE!</v>
          </cell>
          <cell r="CK164" t="e">
            <v>#VALUE!</v>
          </cell>
          <cell r="CL164" t="e">
            <v>#VALUE!</v>
          </cell>
          <cell r="CM164" t="e">
            <v>#VALUE!</v>
          </cell>
          <cell r="CN164" t="e">
            <v>#VALUE!</v>
          </cell>
          <cell r="CO164" t="e">
            <v>#VALUE!</v>
          </cell>
          <cell r="CP164" t="e">
            <v>#VALUE!</v>
          </cell>
          <cell r="CQ164" t="e">
            <v>#VALUE!</v>
          </cell>
          <cell r="CR164" t="e">
            <v>#VALUE!</v>
          </cell>
          <cell r="CS164" t="e">
            <v>#VALUE!</v>
          </cell>
          <cell r="CT164" t="e">
            <v>#VALUE!</v>
          </cell>
          <cell r="CU164" t="e">
            <v>#VALUE!</v>
          </cell>
          <cell r="CV164" t="e">
            <v>#VALUE!</v>
          </cell>
          <cell r="CW164" t="e">
            <v>#VALUE!</v>
          </cell>
          <cell r="CX164" t="e">
            <v>#VALUE!</v>
          </cell>
          <cell r="CY164" t="e">
            <v>#VALUE!</v>
          </cell>
          <cell r="CZ164" t="e">
            <v>#VALUE!</v>
          </cell>
          <cell r="DA164" t="e">
            <v>#VALUE!</v>
          </cell>
          <cell r="DB164" t="e">
            <v>#VALUE!</v>
          </cell>
          <cell r="DC164" t="e">
            <v>#VALUE!</v>
          </cell>
          <cell r="DD164" t="e">
            <v>#VALUE!</v>
          </cell>
          <cell r="DE164" t="e">
            <v>#VALUE!</v>
          </cell>
          <cell r="DF164" t="e">
            <v>#VALUE!</v>
          </cell>
          <cell r="DG164" t="e">
            <v>#VALUE!</v>
          </cell>
          <cell r="DH164" t="e">
            <v>#VALUE!</v>
          </cell>
          <cell r="DI164" t="e">
            <v>#VALUE!</v>
          </cell>
          <cell r="DJ164" t="e">
            <v>#VALUE!</v>
          </cell>
          <cell r="DK164" t="e">
            <v>#VALUE!</v>
          </cell>
          <cell r="DL164" t="e">
            <v>#VALUE!</v>
          </cell>
          <cell r="DM164" t="e">
            <v>#VALUE!</v>
          </cell>
        </row>
        <row r="165">
          <cell r="C165" t="str">
            <v>F7.1-4.D.03</v>
          </cell>
          <cell r="D165" t="str">
            <v>Deckenverkleidungen</v>
          </cell>
          <cell r="O165">
            <v>0</v>
          </cell>
          <cell r="P165" t="str">
            <v>€</v>
          </cell>
        </row>
        <row r="166">
          <cell r="C166" t="str">
            <v>F7.1-4.D.03a</v>
          </cell>
          <cell r="D166" t="str">
            <v>Ausmalen</v>
          </cell>
          <cell r="E166" t="str">
            <v>F7.1-4.D.03a</v>
          </cell>
          <cell r="F166" t="str">
            <v>AUSMKm2*MALFd</v>
          </cell>
          <cell r="G166">
            <v>0</v>
          </cell>
          <cell r="H166">
            <v>0</v>
          </cell>
          <cell r="J166" t="str">
            <v>€/Instandsetzung</v>
          </cell>
          <cell r="K166">
            <v>10</v>
          </cell>
          <cell r="L166" t="str">
            <v>PBAU</v>
          </cell>
          <cell r="M166">
            <v>3.3</v>
          </cell>
          <cell r="N166">
            <v>1.0177339901477833</v>
          </cell>
          <cell r="O166">
            <v>0</v>
          </cell>
          <cell r="P166" t="str">
            <v>€</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t="e">
            <v>#VALUE!</v>
          </cell>
          <cell r="BC166" t="e">
            <v>#VALUE!</v>
          </cell>
          <cell r="BD166" t="e">
            <v>#VALUE!</v>
          </cell>
          <cell r="BE166" t="e">
            <v>#VALUE!</v>
          </cell>
          <cell r="BF166" t="e">
            <v>#VALUE!</v>
          </cell>
          <cell r="BG166" t="e">
            <v>#VALUE!</v>
          </cell>
          <cell r="BH166" t="e">
            <v>#VALUE!</v>
          </cell>
          <cell r="BI166" t="e">
            <v>#VALUE!</v>
          </cell>
          <cell r="BJ166" t="e">
            <v>#VALUE!</v>
          </cell>
          <cell r="BK166" t="e">
            <v>#VALUE!</v>
          </cell>
          <cell r="BL166" t="e">
            <v>#VALUE!</v>
          </cell>
          <cell r="BM166" t="e">
            <v>#VALUE!</v>
          </cell>
          <cell r="BN166" t="e">
            <v>#VALUE!</v>
          </cell>
          <cell r="BO166" t="e">
            <v>#VALUE!</v>
          </cell>
          <cell r="BP166" t="e">
            <v>#VALUE!</v>
          </cell>
          <cell r="BQ166" t="e">
            <v>#VALUE!</v>
          </cell>
          <cell r="BR166" t="e">
            <v>#VALUE!</v>
          </cell>
          <cell r="BS166" t="e">
            <v>#VALUE!</v>
          </cell>
          <cell r="BT166" t="e">
            <v>#VALUE!</v>
          </cell>
          <cell r="BU166" t="e">
            <v>#VALUE!</v>
          </cell>
          <cell r="BV166" t="e">
            <v>#VALUE!</v>
          </cell>
          <cell r="BW166" t="e">
            <v>#VALUE!</v>
          </cell>
          <cell r="BX166" t="e">
            <v>#VALUE!</v>
          </cell>
          <cell r="BY166" t="e">
            <v>#VALUE!</v>
          </cell>
          <cell r="BZ166" t="e">
            <v>#VALUE!</v>
          </cell>
          <cell r="CA166" t="e">
            <v>#VALUE!</v>
          </cell>
          <cell r="CB166" t="e">
            <v>#VALUE!</v>
          </cell>
          <cell r="CC166" t="e">
            <v>#VALUE!</v>
          </cell>
          <cell r="CD166" t="e">
            <v>#VALUE!</v>
          </cell>
          <cell r="CE166" t="e">
            <v>#VALUE!</v>
          </cell>
          <cell r="CF166" t="e">
            <v>#VALUE!</v>
          </cell>
          <cell r="CG166" t="e">
            <v>#VALUE!</v>
          </cell>
          <cell r="CH166" t="e">
            <v>#VALUE!</v>
          </cell>
          <cell r="CI166" t="e">
            <v>#VALUE!</v>
          </cell>
          <cell r="CJ166" t="e">
            <v>#VALUE!</v>
          </cell>
          <cell r="CK166" t="e">
            <v>#VALUE!</v>
          </cell>
          <cell r="CL166" t="e">
            <v>#VALUE!</v>
          </cell>
          <cell r="CM166" t="e">
            <v>#VALUE!</v>
          </cell>
          <cell r="CN166" t="e">
            <v>#VALUE!</v>
          </cell>
          <cell r="CO166" t="e">
            <v>#VALUE!</v>
          </cell>
          <cell r="CP166" t="e">
            <v>#VALUE!</v>
          </cell>
          <cell r="CQ166" t="e">
            <v>#VALUE!</v>
          </cell>
          <cell r="CR166" t="e">
            <v>#VALUE!</v>
          </cell>
          <cell r="CS166" t="e">
            <v>#VALUE!</v>
          </cell>
          <cell r="CT166" t="e">
            <v>#VALUE!</v>
          </cell>
          <cell r="CU166" t="e">
            <v>#VALUE!</v>
          </cell>
          <cell r="CV166" t="e">
            <v>#VALUE!</v>
          </cell>
          <cell r="CW166" t="e">
            <v>#VALUE!</v>
          </cell>
          <cell r="CX166" t="e">
            <v>#VALUE!</v>
          </cell>
          <cell r="CY166" t="e">
            <v>#VALUE!</v>
          </cell>
          <cell r="CZ166" t="e">
            <v>#VALUE!</v>
          </cell>
          <cell r="DA166" t="e">
            <v>#VALUE!</v>
          </cell>
          <cell r="DB166" t="e">
            <v>#VALUE!</v>
          </cell>
          <cell r="DC166" t="e">
            <v>#VALUE!</v>
          </cell>
          <cell r="DD166" t="e">
            <v>#VALUE!</v>
          </cell>
          <cell r="DE166" t="e">
            <v>#VALUE!</v>
          </cell>
          <cell r="DF166" t="e">
            <v>#VALUE!</v>
          </cell>
          <cell r="DG166" t="e">
            <v>#VALUE!</v>
          </cell>
          <cell r="DH166" t="e">
            <v>#VALUE!</v>
          </cell>
          <cell r="DI166" t="e">
            <v>#VALUE!</v>
          </cell>
          <cell r="DJ166" t="e">
            <v>#VALUE!</v>
          </cell>
          <cell r="DK166" t="e">
            <v>#VALUE!</v>
          </cell>
          <cell r="DL166" t="e">
            <v>#VALUE!</v>
          </cell>
          <cell r="DM166" t="e">
            <v>#VALUE!</v>
          </cell>
        </row>
        <row r="167">
          <cell r="C167" t="str">
            <v>F7.1-4.D.03b</v>
          </cell>
          <cell r="D167" t="str">
            <v>Instandsetzung Deckenverkleidungen</v>
          </cell>
          <cell r="E167" t="str">
            <v>E4.D.03</v>
          </cell>
          <cell r="F167" t="str">
            <v>E4.D.03 * PFAKT</v>
          </cell>
          <cell r="G167">
            <v>0</v>
          </cell>
          <cell r="H167">
            <v>0</v>
          </cell>
          <cell r="J167" t="str">
            <v>€/Instandsetzung</v>
          </cell>
          <cell r="K167">
            <v>22</v>
          </cell>
          <cell r="L167" t="str">
            <v>PBAU</v>
          </cell>
          <cell r="M167">
            <v>3.3</v>
          </cell>
          <cell r="N167">
            <v>1.0177339901477833</v>
          </cell>
          <cell r="O167">
            <v>0</v>
          </cell>
          <cell r="P167" t="str">
            <v>€</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cell r="BB167" t="e">
            <v>#VALUE!</v>
          </cell>
          <cell r="BC167" t="e">
            <v>#VALUE!</v>
          </cell>
          <cell r="BD167" t="e">
            <v>#VALUE!</v>
          </cell>
          <cell r="BE167" t="e">
            <v>#VALUE!</v>
          </cell>
          <cell r="BF167" t="e">
            <v>#VALUE!</v>
          </cell>
          <cell r="BG167" t="e">
            <v>#VALUE!</v>
          </cell>
          <cell r="BH167" t="e">
            <v>#VALUE!</v>
          </cell>
          <cell r="BI167" t="e">
            <v>#VALUE!</v>
          </cell>
          <cell r="BJ167" t="e">
            <v>#VALUE!</v>
          </cell>
          <cell r="BK167" t="e">
            <v>#VALUE!</v>
          </cell>
          <cell r="BL167" t="e">
            <v>#VALUE!</v>
          </cell>
          <cell r="BM167" t="e">
            <v>#VALUE!</v>
          </cell>
          <cell r="BN167" t="e">
            <v>#VALUE!</v>
          </cell>
          <cell r="BO167" t="e">
            <v>#VALUE!</v>
          </cell>
          <cell r="BP167" t="e">
            <v>#VALUE!</v>
          </cell>
          <cell r="BQ167" t="e">
            <v>#VALUE!</v>
          </cell>
          <cell r="BR167" t="e">
            <v>#VALUE!</v>
          </cell>
          <cell r="BS167" t="e">
            <v>#VALUE!</v>
          </cell>
          <cell r="BT167" t="e">
            <v>#VALUE!</v>
          </cell>
          <cell r="BU167" t="e">
            <v>#VALUE!</v>
          </cell>
          <cell r="BV167" t="e">
            <v>#VALUE!</v>
          </cell>
          <cell r="BW167" t="e">
            <v>#VALUE!</v>
          </cell>
          <cell r="BX167" t="e">
            <v>#VALUE!</v>
          </cell>
          <cell r="BY167" t="e">
            <v>#VALUE!</v>
          </cell>
          <cell r="BZ167" t="e">
            <v>#VALUE!</v>
          </cell>
          <cell r="CA167" t="e">
            <v>#VALUE!</v>
          </cell>
          <cell r="CB167" t="e">
            <v>#VALUE!</v>
          </cell>
          <cell r="CC167" t="e">
            <v>#VALUE!</v>
          </cell>
          <cell r="CD167" t="e">
            <v>#VALUE!</v>
          </cell>
          <cell r="CE167" t="e">
            <v>#VALUE!</v>
          </cell>
          <cell r="CF167" t="e">
            <v>#VALUE!</v>
          </cell>
          <cell r="CG167" t="e">
            <v>#VALUE!</v>
          </cell>
          <cell r="CH167" t="e">
            <v>#VALUE!</v>
          </cell>
          <cell r="CI167" t="e">
            <v>#VALUE!</v>
          </cell>
          <cell r="CJ167" t="e">
            <v>#VALUE!</v>
          </cell>
          <cell r="CK167" t="e">
            <v>#VALUE!</v>
          </cell>
          <cell r="CL167" t="e">
            <v>#VALUE!</v>
          </cell>
          <cell r="CM167" t="e">
            <v>#VALUE!</v>
          </cell>
          <cell r="CN167" t="e">
            <v>#VALUE!</v>
          </cell>
          <cell r="CO167" t="e">
            <v>#VALUE!</v>
          </cell>
          <cell r="CP167" t="e">
            <v>#VALUE!</v>
          </cell>
          <cell r="CQ167" t="e">
            <v>#VALUE!</v>
          </cell>
          <cell r="CR167" t="e">
            <v>#VALUE!</v>
          </cell>
          <cell r="CS167" t="e">
            <v>#VALUE!</v>
          </cell>
          <cell r="CT167" t="e">
            <v>#VALUE!</v>
          </cell>
          <cell r="CU167" t="e">
            <v>#VALUE!</v>
          </cell>
          <cell r="CV167" t="e">
            <v>#VALUE!</v>
          </cell>
          <cell r="CW167" t="e">
            <v>#VALUE!</v>
          </cell>
          <cell r="CX167" t="e">
            <v>#VALUE!</v>
          </cell>
          <cell r="CY167" t="e">
            <v>#VALUE!</v>
          </cell>
          <cell r="CZ167" t="e">
            <v>#VALUE!</v>
          </cell>
          <cell r="DA167" t="e">
            <v>#VALUE!</v>
          </cell>
          <cell r="DB167" t="e">
            <v>#VALUE!</v>
          </cell>
          <cell r="DC167" t="e">
            <v>#VALUE!</v>
          </cell>
          <cell r="DD167" t="e">
            <v>#VALUE!</v>
          </cell>
          <cell r="DE167" t="e">
            <v>#VALUE!</v>
          </cell>
          <cell r="DF167" t="e">
            <v>#VALUE!</v>
          </cell>
          <cell r="DG167" t="e">
            <v>#VALUE!</v>
          </cell>
          <cell r="DH167" t="e">
            <v>#VALUE!</v>
          </cell>
          <cell r="DI167" t="e">
            <v>#VALUE!</v>
          </cell>
          <cell r="DJ167" t="e">
            <v>#VALUE!</v>
          </cell>
          <cell r="DK167" t="e">
            <v>#VALUE!</v>
          </cell>
          <cell r="DL167" t="e">
            <v>#VALUE!</v>
          </cell>
          <cell r="DM167" t="e">
            <v>#VALUE!</v>
          </cell>
        </row>
        <row r="168">
          <cell r="C168" t="str">
            <v>F7.1-4.D.04</v>
          </cell>
          <cell r="D168" t="str">
            <v>Innentüren, Innenfenster</v>
          </cell>
          <cell r="E168" t="str">
            <v>E4.D.04</v>
          </cell>
          <cell r="F168" t="str">
            <v>E4.D.04 * PFAKT</v>
          </cell>
          <cell r="G168">
            <v>0</v>
          </cell>
          <cell r="H168">
            <v>0</v>
          </cell>
          <cell r="J168" t="str">
            <v>€/Instandsetzung</v>
          </cell>
          <cell r="K168">
            <v>24</v>
          </cell>
          <cell r="L168" t="str">
            <v>PBAU</v>
          </cell>
          <cell r="M168">
            <v>3.3</v>
          </cell>
          <cell r="N168">
            <v>1.0177339901477833</v>
          </cell>
          <cell r="O168">
            <v>0</v>
          </cell>
          <cell r="P168" t="str">
            <v>€</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cell r="BA168">
            <v>0</v>
          </cell>
          <cell r="BB168" t="e">
            <v>#VALUE!</v>
          </cell>
          <cell r="BC168" t="e">
            <v>#VALUE!</v>
          </cell>
          <cell r="BD168" t="e">
            <v>#VALUE!</v>
          </cell>
          <cell r="BE168" t="e">
            <v>#VALUE!</v>
          </cell>
          <cell r="BF168" t="e">
            <v>#VALUE!</v>
          </cell>
          <cell r="BG168" t="e">
            <v>#VALUE!</v>
          </cell>
          <cell r="BH168" t="e">
            <v>#VALUE!</v>
          </cell>
          <cell r="BI168" t="e">
            <v>#VALUE!</v>
          </cell>
          <cell r="BJ168" t="e">
            <v>#VALUE!</v>
          </cell>
          <cell r="BK168" t="e">
            <v>#VALUE!</v>
          </cell>
          <cell r="BL168" t="e">
            <v>#VALUE!</v>
          </cell>
          <cell r="BM168" t="e">
            <v>#VALUE!</v>
          </cell>
          <cell r="BN168" t="e">
            <v>#VALUE!</v>
          </cell>
          <cell r="BO168" t="e">
            <v>#VALUE!</v>
          </cell>
          <cell r="BP168" t="e">
            <v>#VALUE!</v>
          </cell>
          <cell r="BQ168" t="e">
            <v>#VALUE!</v>
          </cell>
          <cell r="BR168" t="e">
            <v>#VALUE!</v>
          </cell>
          <cell r="BS168" t="e">
            <v>#VALUE!</v>
          </cell>
          <cell r="BT168" t="e">
            <v>#VALUE!</v>
          </cell>
          <cell r="BU168" t="e">
            <v>#VALUE!</v>
          </cell>
          <cell r="BV168" t="e">
            <v>#VALUE!</v>
          </cell>
          <cell r="BW168" t="e">
            <v>#VALUE!</v>
          </cell>
          <cell r="BX168" t="e">
            <v>#VALUE!</v>
          </cell>
          <cell r="BY168" t="e">
            <v>#VALUE!</v>
          </cell>
          <cell r="BZ168" t="e">
            <v>#VALUE!</v>
          </cell>
          <cell r="CA168" t="e">
            <v>#VALUE!</v>
          </cell>
          <cell r="CB168" t="e">
            <v>#VALUE!</v>
          </cell>
          <cell r="CC168" t="e">
            <v>#VALUE!</v>
          </cell>
          <cell r="CD168" t="e">
            <v>#VALUE!</v>
          </cell>
          <cell r="CE168" t="e">
            <v>#VALUE!</v>
          </cell>
          <cell r="CF168" t="e">
            <v>#VALUE!</v>
          </cell>
          <cell r="CG168" t="e">
            <v>#VALUE!</v>
          </cell>
          <cell r="CH168" t="e">
            <v>#VALUE!</v>
          </cell>
          <cell r="CI168" t="e">
            <v>#VALUE!</v>
          </cell>
          <cell r="CJ168" t="e">
            <v>#VALUE!</v>
          </cell>
          <cell r="CK168" t="e">
            <v>#VALUE!</v>
          </cell>
          <cell r="CL168" t="e">
            <v>#VALUE!</v>
          </cell>
          <cell r="CM168" t="e">
            <v>#VALUE!</v>
          </cell>
          <cell r="CN168" t="e">
            <v>#VALUE!</v>
          </cell>
          <cell r="CO168" t="e">
            <v>#VALUE!</v>
          </cell>
          <cell r="CP168" t="e">
            <v>#VALUE!</v>
          </cell>
          <cell r="CQ168" t="e">
            <v>#VALUE!</v>
          </cell>
          <cell r="CR168" t="e">
            <v>#VALUE!</v>
          </cell>
          <cell r="CS168" t="e">
            <v>#VALUE!</v>
          </cell>
          <cell r="CT168" t="e">
            <v>#VALUE!</v>
          </cell>
          <cell r="CU168" t="e">
            <v>#VALUE!</v>
          </cell>
          <cell r="CV168" t="e">
            <v>#VALUE!</v>
          </cell>
          <cell r="CW168" t="e">
            <v>#VALUE!</v>
          </cell>
          <cell r="CX168" t="e">
            <v>#VALUE!</v>
          </cell>
          <cell r="CY168" t="e">
            <v>#VALUE!</v>
          </cell>
          <cell r="CZ168" t="e">
            <v>#VALUE!</v>
          </cell>
          <cell r="DA168" t="e">
            <v>#VALUE!</v>
          </cell>
          <cell r="DB168" t="e">
            <v>#VALUE!</v>
          </cell>
          <cell r="DC168" t="e">
            <v>#VALUE!</v>
          </cell>
          <cell r="DD168" t="e">
            <v>#VALUE!</v>
          </cell>
          <cell r="DE168" t="e">
            <v>#VALUE!</v>
          </cell>
          <cell r="DF168" t="e">
            <v>#VALUE!</v>
          </cell>
          <cell r="DG168" t="e">
            <v>#VALUE!</v>
          </cell>
          <cell r="DH168" t="e">
            <v>#VALUE!</v>
          </cell>
          <cell r="DI168" t="e">
            <v>#VALUE!</v>
          </cell>
          <cell r="DJ168" t="e">
            <v>#VALUE!</v>
          </cell>
          <cell r="DK168" t="e">
            <v>#VALUE!</v>
          </cell>
          <cell r="DL168" t="e">
            <v>#VALUE!</v>
          </cell>
          <cell r="DM168" t="e">
            <v>#VALUE!</v>
          </cell>
        </row>
        <row r="169">
          <cell r="C169" t="str">
            <v>F7.1-4.D.05</v>
          </cell>
          <cell r="D169" t="str">
            <v>Innenwandelemente</v>
          </cell>
          <cell r="E169" t="str">
            <v>E4.D.05</v>
          </cell>
          <cell r="F169" t="str">
            <v>E4.D.05 * PFAKT</v>
          </cell>
          <cell r="G169">
            <v>0</v>
          </cell>
          <cell r="H169">
            <v>0</v>
          </cell>
          <cell r="J169" t="str">
            <v>€/Instandsetzung</v>
          </cell>
          <cell r="K169">
            <v>1000</v>
          </cell>
          <cell r="L169" t="str">
            <v>PBAU</v>
          </cell>
          <cell r="M169">
            <v>3.3</v>
          </cell>
          <cell r="N169">
            <v>1.0177339901477833</v>
          </cell>
          <cell r="O169">
            <v>0</v>
          </cell>
          <cell r="P169" t="str">
            <v>€</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t="e">
            <v>#VALUE!</v>
          </cell>
          <cell r="BC169" t="e">
            <v>#VALUE!</v>
          </cell>
          <cell r="BD169" t="e">
            <v>#VALUE!</v>
          </cell>
          <cell r="BE169" t="e">
            <v>#VALUE!</v>
          </cell>
          <cell r="BF169" t="e">
            <v>#VALUE!</v>
          </cell>
          <cell r="BG169" t="e">
            <v>#VALUE!</v>
          </cell>
          <cell r="BH169" t="e">
            <v>#VALUE!</v>
          </cell>
          <cell r="BI169" t="e">
            <v>#VALUE!</v>
          </cell>
          <cell r="BJ169" t="e">
            <v>#VALUE!</v>
          </cell>
          <cell r="BK169" t="e">
            <v>#VALUE!</v>
          </cell>
          <cell r="BL169" t="e">
            <v>#VALUE!</v>
          </cell>
          <cell r="BM169" t="e">
            <v>#VALUE!</v>
          </cell>
          <cell r="BN169" t="e">
            <v>#VALUE!</v>
          </cell>
          <cell r="BO169" t="e">
            <v>#VALUE!</v>
          </cell>
          <cell r="BP169" t="e">
            <v>#VALUE!</v>
          </cell>
          <cell r="BQ169" t="e">
            <v>#VALUE!</v>
          </cell>
          <cell r="BR169" t="e">
            <v>#VALUE!</v>
          </cell>
          <cell r="BS169" t="e">
            <v>#VALUE!</v>
          </cell>
          <cell r="BT169" t="e">
            <v>#VALUE!</v>
          </cell>
          <cell r="BU169" t="e">
            <v>#VALUE!</v>
          </cell>
          <cell r="BV169" t="e">
            <v>#VALUE!</v>
          </cell>
          <cell r="BW169" t="e">
            <v>#VALUE!</v>
          </cell>
          <cell r="BX169" t="e">
            <v>#VALUE!</v>
          </cell>
          <cell r="BY169" t="e">
            <v>#VALUE!</v>
          </cell>
          <cell r="BZ169" t="e">
            <v>#VALUE!</v>
          </cell>
          <cell r="CA169" t="e">
            <v>#VALUE!</v>
          </cell>
          <cell r="CB169" t="e">
            <v>#VALUE!</v>
          </cell>
          <cell r="CC169" t="e">
            <v>#VALUE!</v>
          </cell>
          <cell r="CD169" t="e">
            <v>#VALUE!</v>
          </cell>
          <cell r="CE169" t="e">
            <v>#VALUE!</v>
          </cell>
          <cell r="CF169" t="e">
            <v>#VALUE!</v>
          </cell>
          <cell r="CG169" t="e">
            <v>#VALUE!</v>
          </cell>
          <cell r="CH169" t="e">
            <v>#VALUE!</v>
          </cell>
          <cell r="CI169" t="e">
            <v>#VALUE!</v>
          </cell>
          <cell r="CJ169" t="e">
            <v>#VALUE!</v>
          </cell>
          <cell r="CK169" t="e">
            <v>#VALUE!</v>
          </cell>
          <cell r="CL169" t="e">
            <v>#VALUE!</v>
          </cell>
          <cell r="CM169" t="e">
            <v>#VALUE!</v>
          </cell>
          <cell r="CN169" t="e">
            <v>#VALUE!</v>
          </cell>
          <cell r="CO169" t="e">
            <v>#VALUE!</v>
          </cell>
          <cell r="CP169" t="e">
            <v>#VALUE!</v>
          </cell>
          <cell r="CQ169" t="e">
            <v>#VALUE!</v>
          </cell>
          <cell r="CR169" t="e">
            <v>#VALUE!</v>
          </cell>
          <cell r="CS169" t="e">
            <v>#VALUE!</v>
          </cell>
          <cell r="CT169" t="e">
            <v>#VALUE!</v>
          </cell>
          <cell r="CU169" t="e">
            <v>#VALUE!</v>
          </cell>
          <cell r="CV169" t="e">
            <v>#VALUE!</v>
          </cell>
          <cell r="CW169" t="e">
            <v>#VALUE!</v>
          </cell>
          <cell r="CX169" t="e">
            <v>#VALUE!</v>
          </cell>
          <cell r="CY169" t="e">
            <v>#VALUE!</v>
          </cell>
          <cell r="CZ169" t="e">
            <v>#VALUE!</v>
          </cell>
          <cell r="DA169" t="e">
            <v>#VALUE!</v>
          </cell>
          <cell r="DB169" t="e">
            <v>#VALUE!</v>
          </cell>
          <cell r="DC169" t="e">
            <v>#VALUE!</v>
          </cell>
          <cell r="DD169" t="e">
            <v>#VALUE!</v>
          </cell>
          <cell r="DE169" t="e">
            <v>#VALUE!</v>
          </cell>
          <cell r="DF169" t="e">
            <v>#VALUE!</v>
          </cell>
          <cell r="DG169" t="e">
            <v>#VALUE!</v>
          </cell>
          <cell r="DH169" t="e">
            <v>#VALUE!</v>
          </cell>
          <cell r="DI169" t="e">
            <v>#VALUE!</v>
          </cell>
          <cell r="DJ169" t="e">
            <v>#VALUE!</v>
          </cell>
          <cell r="DK169" t="e">
            <v>#VALUE!</v>
          </cell>
          <cell r="DL169" t="e">
            <v>#VALUE!</v>
          </cell>
          <cell r="DM169" t="e">
            <v>#VALUE!</v>
          </cell>
        </row>
        <row r="170">
          <cell r="C170" t="str">
            <v>F7.1-4.D.S</v>
          </cell>
          <cell r="D170" t="str">
            <v>Sonstiger Innenausbau</v>
          </cell>
          <cell r="E170" t="str">
            <v>E4.D.S</v>
          </cell>
          <cell r="F170" t="str">
            <v>E4.D.S * PFAKT</v>
          </cell>
          <cell r="G170">
            <v>0</v>
          </cell>
          <cell r="H170">
            <v>0</v>
          </cell>
          <cell r="J170" t="str">
            <v>€/Instandsetzung</v>
          </cell>
          <cell r="K170">
            <v>24</v>
          </cell>
          <cell r="L170" t="str">
            <v>PBAU</v>
          </cell>
          <cell r="M170">
            <v>3.3</v>
          </cell>
          <cell r="N170">
            <v>1.0177339901477833</v>
          </cell>
          <cell r="O170">
            <v>0</v>
          </cell>
          <cell r="P170" t="str">
            <v>€</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t="e">
            <v>#VALUE!</v>
          </cell>
          <cell r="BC170" t="e">
            <v>#VALUE!</v>
          </cell>
          <cell r="BD170" t="e">
            <v>#VALUE!</v>
          </cell>
          <cell r="BE170" t="e">
            <v>#VALUE!</v>
          </cell>
          <cell r="BF170" t="e">
            <v>#VALUE!</v>
          </cell>
          <cell r="BG170" t="e">
            <v>#VALUE!</v>
          </cell>
          <cell r="BH170" t="e">
            <v>#VALUE!</v>
          </cell>
          <cell r="BI170" t="e">
            <v>#VALUE!</v>
          </cell>
          <cell r="BJ170" t="e">
            <v>#VALUE!</v>
          </cell>
          <cell r="BK170" t="e">
            <v>#VALUE!</v>
          </cell>
          <cell r="BL170" t="e">
            <v>#VALUE!</v>
          </cell>
          <cell r="BM170" t="e">
            <v>#VALUE!</v>
          </cell>
          <cell r="BN170" t="e">
            <v>#VALUE!</v>
          </cell>
          <cell r="BO170" t="e">
            <v>#VALUE!</v>
          </cell>
          <cell r="BP170" t="e">
            <v>#VALUE!</v>
          </cell>
          <cell r="BQ170" t="e">
            <v>#VALUE!</v>
          </cell>
          <cell r="BR170" t="e">
            <v>#VALUE!</v>
          </cell>
          <cell r="BS170" t="e">
            <v>#VALUE!</v>
          </cell>
          <cell r="BT170" t="e">
            <v>#VALUE!</v>
          </cell>
          <cell r="BU170" t="e">
            <v>#VALUE!</v>
          </cell>
          <cell r="BV170" t="e">
            <v>#VALUE!</v>
          </cell>
          <cell r="BW170" t="e">
            <v>#VALUE!</v>
          </cell>
          <cell r="BX170" t="e">
            <v>#VALUE!</v>
          </cell>
          <cell r="BY170" t="e">
            <v>#VALUE!</v>
          </cell>
          <cell r="BZ170" t="e">
            <v>#VALUE!</v>
          </cell>
          <cell r="CA170" t="e">
            <v>#VALUE!</v>
          </cell>
          <cell r="CB170" t="e">
            <v>#VALUE!</v>
          </cell>
          <cell r="CC170" t="e">
            <v>#VALUE!</v>
          </cell>
          <cell r="CD170" t="e">
            <v>#VALUE!</v>
          </cell>
          <cell r="CE170" t="e">
            <v>#VALUE!</v>
          </cell>
          <cell r="CF170" t="e">
            <v>#VALUE!</v>
          </cell>
          <cell r="CG170" t="e">
            <v>#VALUE!</v>
          </cell>
          <cell r="CH170" t="e">
            <v>#VALUE!</v>
          </cell>
          <cell r="CI170" t="e">
            <v>#VALUE!</v>
          </cell>
          <cell r="CJ170" t="e">
            <v>#VALUE!</v>
          </cell>
          <cell r="CK170" t="e">
            <v>#VALUE!</v>
          </cell>
          <cell r="CL170" t="e">
            <v>#VALUE!</v>
          </cell>
          <cell r="CM170" t="e">
            <v>#VALUE!</v>
          </cell>
          <cell r="CN170" t="e">
            <v>#VALUE!</v>
          </cell>
          <cell r="CO170" t="e">
            <v>#VALUE!</v>
          </cell>
          <cell r="CP170" t="e">
            <v>#VALUE!</v>
          </cell>
          <cell r="CQ170" t="e">
            <v>#VALUE!</v>
          </cell>
          <cell r="CR170" t="e">
            <v>#VALUE!</v>
          </cell>
          <cell r="CS170" t="e">
            <v>#VALUE!</v>
          </cell>
          <cell r="CT170" t="e">
            <v>#VALUE!</v>
          </cell>
          <cell r="CU170" t="e">
            <v>#VALUE!</v>
          </cell>
          <cell r="CV170" t="e">
            <v>#VALUE!</v>
          </cell>
          <cell r="CW170" t="e">
            <v>#VALUE!</v>
          </cell>
          <cell r="CX170" t="e">
            <v>#VALUE!</v>
          </cell>
          <cell r="CY170" t="e">
            <v>#VALUE!</v>
          </cell>
          <cell r="CZ170" t="e">
            <v>#VALUE!</v>
          </cell>
          <cell r="DA170" t="e">
            <v>#VALUE!</v>
          </cell>
          <cell r="DB170" t="e">
            <v>#VALUE!</v>
          </cell>
          <cell r="DC170" t="e">
            <v>#VALUE!</v>
          </cell>
          <cell r="DD170" t="e">
            <v>#VALUE!</v>
          </cell>
          <cell r="DE170" t="e">
            <v>#VALUE!</v>
          </cell>
          <cell r="DF170" t="e">
            <v>#VALUE!</v>
          </cell>
          <cell r="DG170" t="e">
            <v>#VALUE!</v>
          </cell>
          <cell r="DH170" t="e">
            <v>#VALUE!</v>
          </cell>
          <cell r="DI170" t="e">
            <v>#VALUE!</v>
          </cell>
          <cell r="DJ170" t="e">
            <v>#VALUE!</v>
          </cell>
          <cell r="DK170" t="e">
            <v>#VALUE!</v>
          </cell>
          <cell r="DL170" t="e">
            <v>#VALUE!</v>
          </cell>
          <cell r="DM170" t="e">
            <v>#VALUE!</v>
          </cell>
        </row>
        <row r="171">
          <cell r="C171" t="str">
            <v>F7.1-5</v>
          </cell>
          <cell r="D171" t="str">
            <v>Einrichtung</v>
          </cell>
          <cell r="O171">
            <v>87403.938474655253</v>
          </cell>
          <cell r="P171" t="str">
            <v>€</v>
          </cell>
        </row>
        <row r="172">
          <cell r="C172" t="str">
            <v>F7.1-5.A</v>
          </cell>
          <cell r="D172" t="str">
            <v>Allgemeine Einrichtung</v>
          </cell>
          <cell r="E172" t="str">
            <v>E5.A</v>
          </cell>
          <cell r="F172" t="str">
            <v>E5.A * PFAKT</v>
          </cell>
          <cell r="G172">
            <v>0</v>
          </cell>
          <cell r="H172">
            <v>0</v>
          </cell>
          <cell r="J172" t="str">
            <v>€/Instandsetzung</v>
          </cell>
          <cell r="K172">
            <v>25</v>
          </cell>
          <cell r="L172" t="str">
            <v>PBAU</v>
          </cell>
          <cell r="M172">
            <v>3.3</v>
          </cell>
          <cell r="N172">
            <v>1.0177339901477833</v>
          </cell>
          <cell r="O172">
            <v>0</v>
          </cell>
          <cell r="P172" t="str">
            <v>€</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t="e">
            <v>#VALUE!</v>
          </cell>
          <cell r="BC172" t="e">
            <v>#VALUE!</v>
          </cell>
          <cell r="BD172" t="e">
            <v>#VALUE!</v>
          </cell>
          <cell r="BE172" t="e">
            <v>#VALUE!</v>
          </cell>
          <cell r="BF172" t="e">
            <v>#VALUE!</v>
          </cell>
          <cell r="BG172" t="e">
            <v>#VALUE!</v>
          </cell>
          <cell r="BH172" t="e">
            <v>#VALUE!</v>
          </cell>
          <cell r="BI172" t="e">
            <v>#VALUE!</v>
          </cell>
          <cell r="BJ172" t="e">
            <v>#VALUE!</v>
          </cell>
          <cell r="BK172" t="e">
            <v>#VALUE!</v>
          </cell>
          <cell r="BL172" t="e">
            <v>#VALUE!</v>
          </cell>
          <cell r="BM172" t="e">
            <v>#VALUE!</v>
          </cell>
          <cell r="BN172" t="e">
            <v>#VALUE!</v>
          </cell>
          <cell r="BO172" t="e">
            <v>#VALUE!</v>
          </cell>
          <cell r="BP172" t="e">
            <v>#VALUE!</v>
          </cell>
          <cell r="BQ172" t="e">
            <v>#VALUE!</v>
          </cell>
          <cell r="BR172" t="e">
            <v>#VALUE!</v>
          </cell>
          <cell r="BS172" t="e">
            <v>#VALUE!</v>
          </cell>
          <cell r="BT172" t="e">
            <v>#VALUE!</v>
          </cell>
          <cell r="BU172" t="e">
            <v>#VALUE!</v>
          </cell>
          <cell r="BV172" t="e">
            <v>#VALUE!</v>
          </cell>
          <cell r="BW172" t="e">
            <v>#VALUE!</v>
          </cell>
          <cell r="BX172" t="e">
            <v>#VALUE!</v>
          </cell>
          <cell r="BY172" t="e">
            <v>#VALUE!</v>
          </cell>
          <cell r="BZ172" t="e">
            <v>#VALUE!</v>
          </cell>
          <cell r="CA172" t="e">
            <v>#VALUE!</v>
          </cell>
          <cell r="CB172" t="e">
            <v>#VALUE!</v>
          </cell>
          <cell r="CC172" t="e">
            <v>#VALUE!</v>
          </cell>
          <cell r="CD172" t="e">
            <v>#VALUE!</v>
          </cell>
          <cell r="CE172" t="e">
            <v>#VALUE!</v>
          </cell>
          <cell r="CF172" t="e">
            <v>#VALUE!</v>
          </cell>
          <cell r="CG172" t="e">
            <v>#VALUE!</v>
          </cell>
          <cell r="CH172" t="e">
            <v>#VALUE!</v>
          </cell>
          <cell r="CI172" t="e">
            <v>#VALUE!</v>
          </cell>
          <cell r="CJ172" t="e">
            <v>#VALUE!</v>
          </cell>
          <cell r="CK172" t="e">
            <v>#VALUE!</v>
          </cell>
          <cell r="CL172" t="e">
            <v>#VALUE!</v>
          </cell>
          <cell r="CM172" t="e">
            <v>#VALUE!</v>
          </cell>
          <cell r="CN172" t="e">
            <v>#VALUE!</v>
          </cell>
          <cell r="CO172" t="e">
            <v>#VALUE!</v>
          </cell>
          <cell r="CP172" t="e">
            <v>#VALUE!</v>
          </cell>
          <cell r="CQ172" t="e">
            <v>#VALUE!</v>
          </cell>
          <cell r="CR172" t="e">
            <v>#VALUE!</v>
          </cell>
          <cell r="CS172" t="e">
            <v>#VALUE!</v>
          </cell>
          <cell r="CT172" t="e">
            <v>#VALUE!</v>
          </cell>
          <cell r="CU172" t="e">
            <v>#VALUE!</v>
          </cell>
          <cell r="CV172" t="e">
            <v>#VALUE!</v>
          </cell>
          <cell r="CW172" t="e">
            <v>#VALUE!</v>
          </cell>
          <cell r="CX172" t="e">
            <v>#VALUE!</v>
          </cell>
          <cell r="CY172" t="e">
            <v>#VALUE!</v>
          </cell>
          <cell r="CZ172" t="e">
            <v>#VALUE!</v>
          </cell>
          <cell r="DA172" t="e">
            <v>#VALUE!</v>
          </cell>
          <cell r="DB172" t="e">
            <v>#VALUE!</v>
          </cell>
          <cell r="DC172" t="e">
            <v>#VALUE!</v>
          </cell>
          <cell r="DD172" t="e">
            <v>#VALUE!</v>
          </cell>
          <cell r="DE172" t="e">
            <v>#VALUE!</v>
          </cell>
          <cell r="DF172" t="e">
            <v>#VALUE!</v>
          </cell>
          <cell r="DG172" t="e">
            <v>#VALUE!</v>
          </cell>
          <cell r="DH172" t="e">
            <v>#VALUE!</v>
          </cell>
          <cell r="DI172" t="e">
            <v>#VALUE!</v>
          </cell>
          <cell r="DJ172" t="e">
            <v>#VALUE!</v>
          </cell>
          <cell r="DK172" t="e">
            <v>#VALUE!</v>
          </cell>
          <cell r="DL172" t="e">
            <v>#VALUE!</v>
          </cell>
          <cell r="DM172" t="e">
            <v>#VALUE!</v>
          </cell>
        </row>
        <row r="173">
          <cell r="C173" t="str">
            <v>F7.1-5.B</v>
          </cell>
          <cell r="D173" t="str">
            <v>Betriebseinrichtung</v>
          </cell>
          <cell r="E173" t="str">
            <v>E5.B</v>
          </cell>
          <cell r="F173" t="str">
            <v>E5.B * PFAKT</v>
          </cell>
          <cell r="G173">
            <v>0</v>
          </cell>
          <cell r="H173">
            <v>0</v>
          </cell>
          <cell r="J173" t="str">
            <v>€/Instandsetzung</v>
          </cell>
          <cell r="K173">
            <v>15</v>
          </cell>
          <cell r="L173" t="str">
            <v>PBAU</v>
          </cell>
          <cell r="M173">
            <v>3.3</v>
          </cell>
          <cell r="N173">
            <v>1.0177339901477833</v>
          </cell>
          <cell r="O173">
            <v>0</v>
          </cell>
          <cell r="P173" t="str">
            <v>€</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t="e">
            <v>#VALUE!</v>
          </cell>
          <cell r="BC173" t="e">
            <v>#VALUE!</v>
          </cell>
          <cell r="BD173" t="e">
            <v>#VALUE!</v>
          </cell>
          <cell r="BE173" t="e">
            <v>#VALUE!</v>
          </cell>
          <cell r="BF173" t="e">
            <v>#VALUE!</v>
          </cell>
          <cell r="BG173" t="e">
            <v>#VALUE!</v>
          </cell>
          <cell r="BH173" t="e">
            <v>#VALUE!</v>
          </cell>
          <cell r="BI173" t="e">
            <v>#VALUE!</v>
          </cell>
          <cell r="BJ173" t="e">
            <v>#VALUE!</v>
          </cell>
          <cell r="BK173" t="e">
            <v>#VALUE!</v>
          </cell>
          <cell r="BL173" t="e">
            <v>#VALUE!</v>
          </cell>
          <cell r="BM173" t="e">
            <v>#VALUE!</v>
          </cell>
          <cell r="BN173" t="e">
            <v>#VALUE!</v>
          </cell>
          <cell r="BO173" t="e">
            <v>#VALUE!</v>
          </cell>
          <cell r="BP173" t="e">
            <v>#VALUE!</v>
          </cell>
          <cell r="BQ173" t="e">
            <v>#VALUE!</v>
          </cell>
          <cell r="BR173" t="e">
            <v>#VALUE!</v>
          </cell>
          <cell r="BS173" t="e">
            <v>#VALUE!</v>
          </cell>
          <cell r="BT173" t="e">
            <v>#VALUE!</v>
          </cell>
          <cell r="BU173" t="e">
            <v>#VALUE!</v>
          </cell>
          <cell r="BV173" t="e">
            <v>#VALUE!</v>
          </cell>
          <cell r="BW173" t="e">
            <v>#VALUE!</v>
          </cell>
          <cell r="BX173" t="e">
            <v>#VALUE!</v>
          </cell>
          <cell r="BY173" t="e">
            <v>#VALUE!</v>
          </cell>
          <cell r="BZ173" t="e">
            <v>#VALUE!</v>
          </cell>
          <cell r="CA173" t="e">
            <v>#VALUE!</v>
          </cell>
          <cell r="CB173" t="e">
            <v>#VALUE!</v>
          </cell>
          <cell r="CC173" t="e">
            <v>#VALUE!</v>
          </cell>
          <cell r="CD173" t="e">
            <v>#VALUE!</v>
          </cell>
          <cell r="CE173" t="e">
            <v>#VALUE!</v>
          </cell>
          <cell r="CF173" t="e">
            <v>#VALUE!</v>
          </cell>
          <cell r="CG173" t="e">
            <v>#VALUE!</v>
          </cell>
          <cell r="CH173" t="e">
            <v>#VALUE!</v>
          </cell>
          <cell r="CI173" t="e">
            <v>#VALUE!</v>
          </cell>
          <cell r="CJ173" t="e">
            <v>#VALUE!</v>
          </cell>
          <cell r="CK173" t="e">
            <v>#VALUE!</v>
          </cell>
          <cell r="CL173" t="e">
            <v>#VALUE!</v>
          </cell>
          <cell r="CM173" t="e">
            <v>#VALUE!</v>
          </cell>
          <cell r="CN173" t="e">
            <v>#VALUE!</v>
          </cell>
          <cell r="CO173" t="e">
            <v>#VALUE!</v>
          </cell>
          <cell r="CP173" t="e">
            <v>#VALUE!</v>
          </cell>
          <cell r="CQ173" t="e">
            <v>#VALUE!</v>
          </cell>
          <cell r="CR173" t="e">
            <v>#VALUE!</v>
          </cell>
          <cell r="CS173" t="e">
            <v>#VALUE!</v>
          </cell>
          <cell r="CT173" t="e">
            <v>#VALUE!</v>
          </cell>
          <cell r="CU173" t="e">
            <v>#VALUE!</v>
          </cell>
          <cell r="CV173" t="e">
            <v>#VALUE!</v>
          </cell>
          <cell r="CW173" t="e">
            <v>#VALUE!</v>
          </cell>
          <cell r="CX173" t="e">
            <v>#VALUE!</v>
          </cell>
          <cell r="CY173" t="e">
            <v>#VALUE!</v>
          </cell>
          <cell r="CZ173" t="e">
            <v>#VALUE!</v>
          </cell>
          <cell r="DA173" t="e">
            <v>#VALUE!</v>
          </cell>
          <cell r="DB173" t="e">
            <v>#VALUE!</v>
          </cell>
          <cell r="DC173" t="e">
            <v>#VALUE!</v>
          </cell>
          <cell r="DD173" t="e">
            <v>#VALUE!</v>
          </cell>
          <cell r="DE173" t="e">
            <v>#VALUE!</v>
          </cell>
          <cell r="DF173" t="e">
            <v>#VALUE!</v>
          </cell>
          <cell r="DG173" t="e">
            <v>#VALUE!</v>
          </cell>
          <cell r="DH173" t="e">
            <v>#VALUE!</v>
          </cell>
          <cell r="DI173" t="e">
            <v>#VALUE!</v>
          </cell>
          <cell r="DJ173" t="e">
            <v>#VALUE!</v>
          </cell>
          <cell r="DK173" t="e">
            <v>#VALUE!</v>
          </cell>
          <cell r="DL173" t="e">
            <v>#VALUE!</v>
          </cell>
          <cell r="DM173" t="e">
            <v>#VALUE!</v>
          </cell>
        </row>
        <row r="174">
          <cell r="C174" t="str">
            <v>F7.1-5.C</v>
          </cell>
          <cell r="D174" t="str">
            <v>Ausstattungen, Kunstwerke</v>
          </cell>
          <cell r="E174" t="str">
            <v>E5.C</v>
          </cell>
          <cell r="F174" t="str">
            <v>E5.C * PFAKT</v>
          </cell>
          <cell r="G174">
            <v>0</v>
          </cell>
          <cell r="H174">
            <v>0</v>
          </cell>
          <cell r="J174" t="str">
            <v>€/Instandsetzung</v>
          </cell>
          <cell r="K174">
            <v>25</v>
          </cell>
          <cell r="L174" t="str">
            <v>PBAU</v>
          </cell>
          <cell r="M174">
            <v>3.3</v>
          </cell>
          <cell r="N174">
            <v>1.0177339901477833</v>
          </cell>
          <cell r="O174">
            <v>0</v>
          </cell>
          <cell r="P174" t="str">
            <v>€</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t="e">
            <v>#VALUE!</v>
          </cell>
          <cell r="BC174" t="e">
            <v>#VALUE!</v>
          </cell>
          <cell r="BD174" t="e">
            <v>#VALUE!</v>
          </cell>
          <cell r="BE174" t="e">
            <v>#VALUE!</v>
          </cell>
          <cell r="BF174" t="e">
            <v>#VALUE!</v>
          </cell>
          <cell r="BG174" t="e">
            <v>#VALUE!</v>
          </cell>
          <cell r="BH174" t="e">
            <v>#VALUE!</v>
          </cell>
          <cell r="BI174" t="e">
            <v>#VALUE!</v>
          </cell>
          <cell r="BJ174" t="e">
            <v>#VALUE!</v>
          </cell>
          <cell r="BK174" t="e">
            <v>#VALUE!</v>
          </cell>
          <cell r="BL174" t="e">
            <v>#VALUE!</v>
          </cell>
          <cell r="BM174" t="e">
            <v>#VALUE!</v>
          </cell>
          <cell r="BN174" t="e">
            <v>#VALUE!</v>
          </cell>
          <cell r="BO174" t="e">
            <v>#VALUE!</v>
          </cell>
          <cell r="BP174" t="e">
            <v>#VALUE!</v>
          </cell>
          <cell r="BQ174" t="e">
            <v>#VALUE!</v>
          </cell>
          <cell r="BR174" t="e">
            <v>#VALUE!</v>
          </cell>
          <cell r="BS174" t="e">
            <v>#VALUE!</v>
          </cell>
          <cell r="BT174" t="e">
            <v>#VALUE!</v>
          </cell>
          <cell r="BU174" t="e">
            <v>#VALUE!</v>
          </cell>
          <cell r="BV174" t="e">
            <v>#VALUE!</v>
          </cell>
          <cell r="BW174" t="e">
            <v>#VALUE!</v>
          </cell>
          <cell r="BX174" t="e">
            <v>#VALUE!</v>
          </cell>
          <cell r="BY174" t="e">
            <v>#VALUE!</v>
          </cell>
          <cell r="BZ174" t="e">
            <v>#VALUE!</v>
          </cell>
          <cell r="CA174" t="e">
            <v>#VALUE!</v>
          </cell>
          <cell r="CB174" t="e">
            <v>#VALUE!</v>
          </cell>
          <cell r="CC174" t="e">
            <v>#VALUE!</v>
          </cell>
          <cell r="CD174" t="e">
            <v>#VALUE!</v>
          </cell>
          <cell r="CE174" t="e">
            <v>#VALUE!</v>
          </cell>
          <cell r="CF174" t="e">
            <v>#VALUE!</v>
          </cell>
          <cell r="CG174" t="e">
            <v>#VALUE!</v>
          </cell>
          <cell r="CH174" t="e">
            <v>#VALUE!</v>
          </cell>
          <cell r="CI174" t="e">
            <v>#VALUE!</v>
          </cell>
          <cell r="CJ174" t="e">
            <v>#VALUE!</v>
          </cell>
          <cell r="CK174" t="e">
            <v>#VALUE!</v>
          </cell>
          <cell r="CL174" t="e">
            <v>#VALUE!</v>
          </cell>
          <cell r="CM174" t="e">
            <v>#VALUE!</v>
          </cell>
          <cell r="CN174" t="e">
            <v>#VALUE!</v>
          </cell>
          <cell r="CO174" t="e">
            <v>#VALUE!</v>
          </cell>
          <cell r="CP174" t="e">
            <v>#VALUE!</v>
          </cell>
          <cell r="CQ174" t="e">
            <v>#VALUE!</v>
          </cell>
          <cell r="CR174" t="e">
            <v>#VALUE!</v>
          </cell>
          <cell r="CS174" t="e">
            <v>#VALUE!</v>
          </cell>
          <cell r="CT174" t="e">
            <v>#VALUE!</v>
          </cell>
          <cell r="CU174" t="e">
            <v>#VALUE!</v>
          </cell>
          <cell r="CV174" t="e">
            <v>#VALUE!</v>
          </cell>
          <cell r="CW174" t="e">
            <v>#VALUE!</v>
          </cell>
          <cell r="CX174" t="e">
            <v>#VALUE!</v>
          </cell>
          <cell r="CY174" t="e">
            <v>#VALUE!</v>
          </cell>
          <cell r="CZ174" t="e">
            <v>#VALUE!</v>
          </cell>
          <cell r="DA174" t="e">
            <v>#VALUE!</v>
          </cell>
          <cell r="DB174" t="e">
            <v>#VALUE!</v>
          </cell>
          <cell r="DC174" t="e">
            <v>#VALUE!</v>
          </cell>
          <cell r="DD174" t="e">
            <v>#VALUE!</v>
          </cell>
          <cell r="DE174" t="e">
            <v>#VALUE!</v>
          </cell>
          <cell r="DF174" t="e">
            <v>#VALUE!</v>
          </cell>
          <cell r="DG174" t="e">
            <v>#VALUE!</v>
          </cell>
          <cell r="DH174" t="e">
            <v>#VALUE!</v>
          </cell>
          <cell r="DI174" t="e">
            <v>#VALUE!</v>
          </cell>
          <cell r="DJ174" t="e">
            <v>#VALUE!</v>
          </cell>
          <cell r="DK174" t="e">
            <v>#VALUE!</v>
          </cell>
          <cell r="DL174" t="e">
            <v>#VALUE!</v>
          </cell>
          <cell r="DM174" t="e">
            <v>#VALUE!</v>
          </cell>
        </row>
        <row r="175">
          <cell r="C175" t="str">
            <v>F7.1-5.S</v>
          </cell>
          <cell r="D175" t="str">
            <v>Einrichtung Sonstiges</v>
          </cell>
          <cell r="E175" t="str">
            <v>E5.S</v>
          </cell>
          <cell r="F175" t="str">
            <v>E5.S * PFAKT</v>
          </cell>
          <cell r="G175">
            <v>56321.475115682988</v>
          </cell>
          <cell r="H175">
            <v>56321.475115682988</v>
          </cell>
          <cell r="J175" t="str">
            <v>€/Instandsetzung</v>
          </cell>
          <cell r="K175">
            <v>25</v>
          </cell>
          <cell r="L175" t="str">
            <v>PBAU</v>
          </cell>
          <cell r="M175">
            <v>3.3</v>
          </cell>
          <cell r="N175">
            <v>1.0177339901477833</v>
          </cell>
          <cell r="O175">
            <v>87403.938474655253</v>
          </cell>
          <cell r="P175" t="str">
            <v>€</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87403.938474655253</v>
          </cell>
          <cell r="AQ175">
            <v>87403.938474655253</v>
          </cell>
          <cell r="AR175">
            <v>87403.938474655253</v>
          </cell>
          <cell r="AS175">
            <v>87403.938474655253</v>
          </cell>
          <cell r="AT175">
            <v>87403.938474655253</v>
          </cell>
          <cell r="AU175">
            <v>87403.938474655253</v>
          </cell>
          <cell r="AV175">
            <v>87403.938474655253</v>
          </cell>
          <cell r="AW175">
            <v>87403.938474655253</v>
          </cell>
          <cell r="AX175">
            <v>87403.938474655253</v>
          </cell>
          <cell r="AY175">
            <v>87403.938474655253</v>
          </cell>
          <cell r="AZ175">
            <v>87403.938474655253</v>
          </cell>
          <cell r="BA175">
            <v>87403.938474655253</v>
          </cell>
          <cell r="BB175" t="e">
            <v>#VALUE!</v>
          </cell>
          <cell r="BC175" t="e">
            <v>#VALUE!</v>
          </cell>
          <cell r="BD175" t="e">
            <v>#VALUE!</v>
          </cell>
          <cell r="BE175" t="e">
            <v>#VALUE!</v>
          </cell>
          <cell r="BF175" t="e">
            <v>#VALUE!</v>
          </cell>
          <cell r="BG175" t="e">
            <v>#VALUE!</v>
          </cell>
          <cell r="BH175" t="e">
            <v>#VALUE!</v>
          </cell>
          <cell r="BI175" t="e">
            <v>#VALUE!</v>
          </cell>
          <cell r="BJ175" t="e">
            <v>#VALUE!</v>
          </cell>
          <cell r="BK175" t="e">
            <v>#VALUE!</v>
          </cell>
          <cell r="BL175" t="e">
            <v>#VALUE!</v>
          </cell>
          <cell r="BM175" t="e">
            <v>#VALUE!</v>
          </cell>
          <cell r="BN175" t="e">
            <v>#VALUE!</v>
          </cell>
          <cell r="BO175" t="e">
            <v>#VALUE!</v>
          </cell>
          <cell r="BP175" t="e">
            <v>#VALUE!</v>
          </cell>
          <cell r="BQ175" t="e">
            <v>#VALUE!</v>
          </cell>
          <cell r="BR175" t="e">
            <v>#VALUE!</v>
          </cell>
          <cell r="BS175" t="e">
            <v>#VALUE!</v>
          </cell>
          <cell r="BT175" t="e">
            <v>#VALUE!</v>
          </cell>
          <cell r="BU175" t="e">
            <v>#VALUE!</v>
          </cell>
          <cell r="BV175" t="e">
            <v>#VALUE!</v>
          </cell>
          <cell r="BW175" t="e">
            <v>#VALUE!</v>
          </cell>
          <cell r="BX175" t="e">
            <v>#VALUE!</v>
          </cell>
          <cell r="BY175" t="e">
            <v>#VALUE!</v>
          </cell>
          <cell r="BZ175" t="e">
            <v>#VALUE!</v>
          </cell>
          <cell r="CA175" t="e">
            <v>#VALUE!</v>
          </cell>
          <cell r="CB175" t="e">
            <v>#VALUE!</v>
          </cell>
          <cell r="CC175" t="e">
            <v>#VALUE!</v>
          </cell>
          <cell r="CD175" t="e">
            <v>#VALUE!</v>
          </cell>
          <cell r="CE175" t="e">
            <v>#VALUE!</v>
          </cell>
          <cell r="CF175" t="e">
            <v>#VALUE!</v>
          </cell>
          <cell r="CG175" t="e">
            <v>#VALUE!</v>
          </cell>
          <cell r="CH175" t="e">
            <v>#VALUE!</v>
          </cell>
          <cell r="CI175" t="e">
            <v>#VALUE!</v>
          </cell>
          <cell r="CJ175" t="e">
            <v>#VALUE!</v>
          </cell>
          <cell r="CK175" t="e">
            <v>#VALUE!</v>
          </cell>
          <cell r="CL175" t="e">
            <v>#VALUE!</v>
          </cell>
          <cell r="CM175" t="e">
            <v>#VALUE!</v>
          </cell>
          <cell r="CN175" t="e">
            <v>#VALUE!</v>
          </cell>
          <cell r="CO175" t="e">
            <v>#VALUE!</v>
          </cell>
          <cell r="CP175" t="e">
            <v>#VALUE!</v>
          </cell>
          <cell r="CQ175" t="e">
            <v>#VALUE!</v>
          </cell>
          <cell r="CR175" t="e">
            <v>#VALUE!</v>
          </cell>
          <cell r="CS175" t="e">
            <v>#VALUE!</v>
          </cell>
          <cell r="CT175" t="e">
            <v>#VALUE!</v>
          </cell>
          <cell r="CU175" t="e">
            <v>#VALUE!</v>
          </cell>
          <cell r="CV175" t="e">
            <v>#VALUE!</v>
          </cell>
          <cell r="CW175" t="e">
            <v>#VALUE!</v>
          </cell>
          <cell r="CX175" t="e">
            <v>#VALUE!</v>
          </cell>
          <cell r="CY175" t="e">
            <v>#VALUE!</v>
          </cell>
          <cell r="CZ175" t="e">
            <v>#VALUE!</v>
          </cell>
          <cell r="DA175" t="e">
            <v>#VALUE!</v>
          </cell>
          <cell r="DB175" t="e">
            <v>#VALUE!</v>
          </cell>
          <cell r="DC175" t="e">
            <v>#VALUE!</v>
          </cell>
          <cell r="DD175" t="e">
            <v>#VALUE!</v>
          </cell>
          <cell r="DE175" t="e">
            <v>#VALUE!</v>
          </cell>
          <cell r="DF175" t="e">
            <v>#VALUE!</v>
          </cell>
          <cell r="DG175" t="e">
            <v>#VALUE!</v>
          </cell>
          <cell r="DH175" t="e">
            <v>#VALUE!</v>
          </cell>
          <cell r="DI175" t="e">
            <v>#VALUE!</v>
          </cell>
          <cell r="DJ175" t="e">
            <v>#VALUE!</v>
          </cell>
          <cell r="DK175" t="e">
            <v>#VALUE!</v>
          </cell>
          <cell r="DL175" t="e">
            <v>#VALUE!</v>
          </cell>
          <cell r="DM175" t="e">
            <v>#VALUE!</v>
          </cell>
        </row>
        <row r="176">
          <cell r="C176" t="str">
            <v>F7.1-6</v>
          </cell>
          <cell r="D176" t="str">
            <v>Außenanlagen</v>
          </cell>
          <cell r="O176">
            <v>0</v>
          </cell>
          <cell r="P176" t="str">
            <v>€</v>
          </cell>
        </row>
        <row r="177">
          <cell r="C177" t="str">
            <v>F7.1-6.A</v>
          </cell>
          <cell r="D177" t="str">
            <v>Allgemeine Außenanlagen</v>
          </cell>
          <cell r="E177" t="str">
            <v>E6.A</v>
          </cell>
          <cell r="F177" t="str">
            <v>E6.A * PFAKT</v>
          </cell>
          <cell r="G177">
            <v>0</v>
          </cell>
          <cell r="H177">
            <v>0</v>
          </cell>
          <cell r="J177" t="str">
            <v>€/Instandsetzung</v>
          </cell>
          <cell r="K177">
            <v>50</v>
          </cell>
          <cell r="L177" t="str">
            <v>PBAU</v>
          </cell>
          <cell r="M177">
            <v>3.3</v>
          </cell>
          <cell r="N177">
            <v>1.0177339901477833</v>
          </cell>
          <cell r="O177">
            <v>0</v>
          </cell>
          <cell r="P177" t="str">
            <v>€</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t="e">
            <v>#VALUE!</v>
          </cell>
          <cell r="BC177" t="e">
            <v>#VALUE!</v>
          </cell>
          <cell r="BD177" t="e">
            <v>#VALUE!</v>
          </cell>
          <cell r="BE177" t="e">
            <v>#VALUE!</v>
          </cell>
          <cell r="BF177" t="e">
            <v>#VALUE!</v>
          </cell>
          <cell r="BG177" t="e">
            <v>#VALUE!</v>
          </cell>
          <cell r="BH177" t="e">
            <v>#VALUE!</v>
          </cell>
          <cell r="BI177" t="e">
            <v>#VALUE!</v>
          </cell>
          <cell r="BJ177" t="e">
            <v>#VALUE!</v>
          </cell>
          <cell r="BK177" t="e">
            <v>#VALUE!</v>
          </cell>
          <cell r="BL177" t="e">
            <v>#VALUE!</v>
          </cell>
          <cell r="BM177" t="e">
            <v>#VALUE!</v>
          </cell>
          <cell r="BN177" t="e">
            <v>#VALUE!</v>
          </cell>
          <cell r="BO177" t="e">
            <v>#VALUE!</v>
          </cell>
          <cell r="BP177" t="e">
            <v>#VALUE!</v>
          </cell>
          <cell r="BQ177" t="e">
            <v>#VALUE!</v>
          </cell>
          <cell r="BR177" t="e">
            <v>#VALUE!</v>
          </cell>
          <cell r="BS177" t="e">
            <v>#VALUE!</v>
          </cell>
          <cell r="BT177" t="e">
            <v>#VALUE!</v>
          </cell>
          <cell r="BU177" t="e">
            <v>#VALUE!</v>
          </cell>
          <cell r="BV177" t="e">
            <v>#VALUE!</v>
          </cell>
          <cell r="BW177" t="e">
            <v>#VALUE!</v>
          </cell>
          <cell r="BX177" t="e">
            <v>#VALUE!</v>
          </cell>
          <cell r="BY177" t="e">
            <v>#VALUE!</v>
          </cell>
          <cell r="BZ177" t="e">
            <v>#VALUE!</v>
          </cell>
          <cell r="CA177" t="e">
            <v>#VALUE!</v>
          </cell>
          <cell r="CB177" t="e">
            <v>#VALUE!</v>
          </cell>
          <cell r="CC177" t="e">
            <v>#VALUE!</v>
          </cell>
          <cell r="CD177" t="e">
            <v>#VALUE!</v>
          </cell>
          <cell r="CE177" t="e">
            <v>#VALUE!</v>
          </cell>
          <cell r="CF177" t="e">
            <v>#VALUE!</v>
          </cell>
          <cell r="CG177" t="e">
            <v>#VALUE!</v>
          </cell>
          <cell r="CH177" t="e">
            <v>#VALUE!</v>
          </cell>
          <cell r="CI177" t="e">
            <v>#VALUE!</v>
          </cell>
          <cell r="CJ177" t="e">
            <v>#VALUE!</v>
          </cell>
          <cell r="CK177" t="e">
            <v>#VALUE!</v>
          </cell>
          <cell r="CL177" t="e">
            <v>#VALUE!</v>
          </cell>
          <cell r="CM177" t="e">
            <v>#VALUE!</v>
          </cell>
          <cell r="CN177" t="e">
            <v>#VALUE!</v>
          </cell>
          <cell r="CO177" t="e">
            <v>#VALUE!</v>
          </cell>
          <cell r="CP177" t="e">
            <v>#VALUE!</v>
          </cell>
          <cell r="CQ177" t="e">
            <v>#VALUE!</v>
          </cell>
          <cell r="CR177" t="e">
            <v>#VALUE!</v>
          </cell>
          <cell r="CS177" t="e">
            <v>#VALUE!</v>
          </cell>
          <cell r="CT177" t="e">
            <v>#VALUE!</v>
          </cell>
          <cell r="CU177" t="e">
            <v>#VALUE!</v>
          </cell>
          <cell r="CV177" t="e">
            <v>#VALUE!</v>
          </cell>
          <cell r="CW177" t="e">
            <v>#VALUE!</v>
          </cell>
          <cell r="CX177" t="e">
            <v>#VALUE!</v>
          </cell>
          <cell r="CY177" t="e">
            <v>#VALUE!</v>
          </cell>
          <cell r="CZ177" t="e">
            <v>#VALUE!</v>
          </cell>
          <cell r="DA177" t="e">
            <v>#VALUE!</v>
          </cell>
          <cell r="DB177" t="e">
            <v>#VALUE!</v>
          </cell>
          <cell r="DC177" t="e">
            <v>#VALUE!</v>
          </cell>
          <cell r="DD177" t="e">
            <v>#VALUE!</v>
          </cell>
          <cell r="DE177" t="e">
            <v>#VALUE!</v>
          </cell>
          <cell r="DF177" t="e">
            <v>#VALUE!</v>
          </cell>
          <cell r="DG177" t="e">
            <v>#VALUE!</v>
          </cell>
          <cell r="DH177" t="e">
            <v>#VALUE!</v>
          </cell>
          <cell r="DI177" t="e">
            <v>#VALUE!</v>
          </cell>
          <cell r="DJ177" t="e">
            <v>#VALUE!</v>
          </cell>
          <cell r="DK177" t="e">
            <v>#VALUE!</v>
          </cell>
          <cell r="DL177" t="e">
            <v>#VALUE!</v>
          </cell>
          <cell r="DM177" t="e">
            <v>#VALUE!</v>
          </cell>
        </row>
        <row r="178">
          <cell r="C178" t="str">
            <v>F7.1-6.B</v>
          </cell>
          <cell r="D178" t="str">
            <v>Geländeflächen</v>
          </cell>
          <cell r="E178" t="str">
            <v>E6.B</v>
          </cell>
          <cell r="F178" t="str">
            <v>E6.B * PFAKT</v>
          </cell>
          <cell r="G178">
            <v>0</v>
          </cell>
          <cell r="H178">
            <v>0</v>
          </cell>
          <cell r="J178" t="str">
            <v>€/Instandsetzung</v>
          </cell>
          <cell r="K178">
            <v>50</v>
          </cell>
          <cell r="L178" t="str">
            <v>PBAU</v>
          </cell>
          <cell r="M178">
            <v>3.3</v>
          </cell>
          <cell r="N178">
            <v>1.0177339901477833</v>
          </cell>
          <cell r="O178">
            <v>0</v>
          </cell>
          <cell r="P178" t="str">
            <v>€</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t="e">
            <v>#VALUE!</v>
          </cell>
          <cell r="BC178" t="e">
            <v>#VALUE!</v>
          </cell>
          <cell r="BD178" t="e">
            <v>#VALUE!</v>
          </cell>
          <cell r="BE178" t="e">
            <v>#VALUE!</v>
          </cell>
          <cell r="BF178" t="e">
            <v>#VALUE!</v>
          </cell>
          <cell r="BG178" t="e">
            <v>#VALUE!</v>
          </cell>
          <cell r="BH178" t="e">
            <v>#VALUE!</v>
          </cell>
          <cell r="BI178" t="e">
            <v>#VALUE!</v>
          </cell>
          <cell r="BJ178" t="e">
            <v>#VALUE!</v>
          </cell>
          <cell r="BK178" t="e">
            <v>#VALUE!</v>
          </cell>
          <cell r="BL178" t="e">
            <v>#VALUE!</v>
          </cell>
          <cell r="BM178" t="e">
            <v>#VALUE!</v>
          </cell>
          <cell r="BN178" t="e">
            <v>#VALUE!</v>
          </cell>
          <cell r="BO178" t="e">
            <v>#VALUE!</v>
          </cell>
          <cell r="BP178" t="e">
            <v>#VALUE!</v>
          </cell>
          <cell r="BQ178" t="e">
            <v>#VALUE!</v>
          </cell>
          <cell r="BR178" t="e">
            <v>#VALUE!</v>
          </cell>
          <cell r="BS178" t="e">
            <v>#VALUE!</v>
          </cell>
          <cell r="BT178" t="e">
            <v>#VALUE!</v>
          </cell>
          <cell r="BU178" t="e">
            <v>#VALUE!</v>
          </cell>
          <cell r="BV178" t="e">
            <v>#VALUE!</v>
          </cell>
          <cell r="BW178" t="e">
            <v>#VALUE!</v>
          </cell>
          <cell r="BX178" t="e">
            <v>#VALUE!</v>
          </cell>
          <cell r="BY178" t="e">
            <v>#VALUE!</v>
          </cell>
          <cell r="BZ178" t="e">
            <v>#VALUE!</v>
          </cell>
          <cell r="CA178" t="e">
            <v>#VALUE!</v>
          </cell>
          <cell r="CB178" t="e">
            <v>#VALUE!</v>
          </cell>
          <cell r="CC178" t="e">
            <v>#VALUE!</v>
          </cell>
          <cell r="CD178" t="e">
            <v>#VALUE!</v>
          </cell>
          <cell r="CE178" t="e">
            <v>#VALUE!</v>
          </cell>
          <cell r="CF178" t="e">
            <v>#VALUE!</v>
          </cell>
          <cell r="CG178" t="e">
            <v>#VALUE!</v>
          </cell>
          <cell r="CH178" t="e">
            <v>#VALUE!</v>
          </cell>
          <cell r="CI178" t="e">
            <v>#VALUE!</v>
          </cell>
          <cell r="CJ178" t="e">
            <v>#VALUE!</v>
          </cell>
          <cell r="CK178" t="e">
            <v>#VALUE!</v>
          </cell>
          <cell r="CL178" t="e">
            <v>#VALUE!</v>
          </cell>
          <cell r="CM178" t="e">
            <v>#VALUE!</v>
          </cell>
          <cell r="CN178" t="e">
            <v>#VALUE!</v>
          </cell>
          <cell r="CO178" t="e">
            <v>#VALUE!</v>
          </cell>
          <cell r="CP178" t="e">
            <v>#VALUE!</v>
          </cell>
          <cell r="CQ178" t="e">
            <v>#VALUE!</v>
          </cell>
          <cell r="CR178" t="e">
            <v>#VALUE!</v>
          </cell>
          <cell r="CS178" t="e">
            <v>#VALUE!</v>
          </cell>
          <cell r="CT178" t="e">
            <v>#VALUE!</v>
          </cell>
          <cell r="CU178" t="e">
            <v>#VALUE!</v>
          </cell>
          <cell r="CV178" t="e">
            <v>#VALUE!</v>
          </cell>
          <cell r="CW178" t="e">
            <v>#VALUE!</v>
          </cell>
          <cell r="CX178" t="e">
            <v>#VALUE!</v>
          </cell>
          <cell r="CY178" t="e">
            <v>#VALUE!</v>
          </cell>
          <cell r="CZ178" t="e">
            <v>#VALUE!</v>
          </cell>
          <cell r="DA178" t="e">
            <v>#VALUE!</v>
          </cell>
          <cell r="DB178" t="e">
            <v>#VALUE!</v>
          </cell>
          <cell r="DC178" t="e">
            <v>#VALUE!</v>
          </cell>
          <cell r="DD178" t="e">
            <v>#VALUE!</v>
          </cell>
          <cell r="DE178" t="e">
            <v>#VALUE!</v>
          </cell>
          <cell r="DF178" t="e">
            <v>#VALUE!</v>
          </cell>
          <cell r="DG178" t="e">
            <v>#VALUE!</v>
          </cell>
          <cell r="DH178" t="e">
            <v>#VALUE!</v>
          </cell>
          <cell r="DI178" t="e">
            <v>#VALUE!</v>
          </cell>
          <cell r="DJ178" t="e">
            <v>#VALUE!</v>
          </cell>
          <cell r="DK178" t="e">
            <v>#VALUE!</v>
          </cell>
          <cell r="DL178" t="e">
            <v>#VALUE!</v>
          </cell>
          <cell r="DM178" t="e">
            <v>#VALUE!</v>
          </cell>
        </row>
        <row r="179">
          <cell r="C179" t="str">
            <v>F7.1-6.C</v>
          </cell>
          <cell r="D179" t="str">
            <v>Befestigte Flächen</v>
          </cell>
          <cell r="E179" t="str">
            <v>E6.C</v>
          </cell>
          <cell r="F179" t="str">
            <v>E6.C * PFAKT</v>
          </cell>
          <cell r="G179">
            <v>0</v>
          </cell>
          <cell r="H179">
            <v>0</v>
          </cell>
          <cell r="J179" t="str">
            <v>€/Instandsetzung</v>
          </cell>
          <cell r="K179">
            <v>37</v>
          </cell>
          <cell r="L179" t="str">
            <v>PBAU</v>
          </cell>
          <cell r="M179">
            <v>3.3</v>
          </cell>
          <cell r="N179">
            <v>1.0177339901477833</v>
          </cell>
          <cell r="O179">
            <v>0</v>
          </cell>
          <cell r="P179" t="str">
            <v>€</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t="e">
            <v>#VALUE!</v>
          </cell>
          <cell r="BC179" t="e">
            <v>#VALUE!</v>
          </cell>
          <cell r="BD179" t="e">
            <v>#VALUE!</v>
          </cell>
          <cell r="BE179" t="e">
            <v>#VALUE!</v>
          </cell>
          <cell r="BF179" t="e">
            <v>#VALUE!</v>
          </cell>
          <cell r="BG179" t="e">
            <v>#VALUE!</v>
          </cell>
          <cell r="BH179" t="e">
            <v>#VALUE!</v>
          </cell>
          <cell r="BI179" t="e">
            <v>#VALUE!</v>
          </cell>
          <cell r="BJ179" t="e">
            <v>#VALUE!</v>
          </cell>
          <cell r="BK179" t="e">
            <v>#VALUE!</v>
          </cell>
          <cell r="BL179" t="e">
            <v>#VALUE!</v>
          </cell>
          <cell r="BM179" t="e">
            <v>#VALUE!</v>
          </cell>
          <cell r="BN179" t="e">
            <v>#VALUE!</v>
          </cell>
          <cell r="BO179" t="e">
            <v>#VALUE!</v>
          </cell>
          <cell r="BP179" t="e">
            <v>#VALUE!</v>
          </cell>
          <cell r="BQ179" t="e">
            <v>#VALUE!</v>
          </cell>
          <cell r="BR179" t="e">
            <v>#VALUE!</v>
          </cell>
          <cell r="BS179" t="e">
            <v>#VALUE!</v>
          </cell>
          <cell r="BT179" t="e">
            <v>#VALUE!</v>
          </cell>
          <cell r="BU179" t="e">
            <v>#VALUE!</v>
          </cell>
          <cell r="BV179" t="e">
            <v>#VALUE!</v>
          </cell>
          <cell r="BW179" t="e">
            <v>#VALUE!</v>
          </cell>
          <cell r="BX179" t="e">
            <v>#VALUE!</v>
          </cell>
          <cell r="BY179" t="e">
            <v>#VALUE!</v>
          </cell>
          <cell r="BZ179" t="e">
            <v>#VALUE!</v>
          </cell>
          <cell r="CA179" t="e">
            <v>#VALUE!</v>
          </cell>
          <cell r="CB179" t="e">
            <v>#VALUE!</v>
          </cell>
          <cell r="CC179" t="e">
            <v>#VALUE!</v>
          </cell>
          <cell r="CD179" t="e">
            <v>#VALUE!</v>
          </cell>
          <cell r="CE179" t="e">
            <v>#VALUE!</v>
          </cell>
          <cell r="CF179" t="e">
            <v>#VALUE!</v>
          </cell>
          <cell r="CG179" t="e">
            <v>#VALUE!</v>
          </cell>
          <cell r="CH179" t="e">
            <v>#VALUE!</v>
          </cell>
          <cell r="CI179" t="e">
            <v>#VALUE!</v>
          </cell>
          <cell r="CJ179" t="e">
            <v>#VALUE!</v>
          </cell>
          <cell r="CK179" t="e">
            <v>#VALUE!</v>
          </cell>
          <cell r="CL179" t="e">
            <v>#VALUE!</v>
          </cell>
          <cell r="CM179" t="e">
            <v>#VALUE!</v>
          </cell>
          <cell r="CN179" t="e">
            <v>#VALUE!</v>
          </cell>
          <cell r="CO179" t="e">
            <v>#VALUE!</v>
          </cell>
          <cell r="CP179" t="e">
            <v>#VALUE!</v>
          </cell>
          <cell r="CQ179" t="e">
            <v>#VALUE!</v>
          </cell>
          <cell r="CR179" t="e">
            <v>#VALUE!</v>
          </cell>
          <cell r="CS179" t="e">
            <v>#VALUE!</v>
          </cell>
          <cell r="CT179" t="e">
            <v>#VALUE!</v>
          </cell>
          <cell r="CU179" t="e">
            <v>#VALUE!</v>
          </cell>
          <cell r="CV179" t="e">
            <v>#VALUE!</v>
          </cell>
          <cell r="CW179" t="e">
            <v>#VALUE!</v>
          </cell>
          <cell r="CX179" t="e">
            <v>#VALUE!</v>
          </cell>
          <cell r="CY179" t="e">
            <v>#VALUE!</v>
          </cell>
          <cell r="CZ179" t="e">
            <v>#VALUE!</v>
          </cell>
          <cell r="DA179" t="e">
            <v>#VALUE!</v>
          </cell>
          <cell r="DB179" t="e">
            <v>#VALUE!</v>
          </cell>
          <cell r="DC179" t="e">
            <v>#VALUE!</v>
          </cell>
          <cell r="DD179" t="e">
            <v>#VALUE!</v>
          </cell>
          <cell r="DE179" t="e">
            <v>#VALUE!</v>
          </cell>
          <cell r="DF179" t="e">
            <v>#VALUE!</v>
          </cell>
          <cell r="DG179" t="e">
            <v>#VALUE!</v>
          </cell>
          <cell r="DH179" t="e">
            <v>#VALUE!</v>
          </cell>
          <cell r="DI179" t="e">
            <v>#VALUE!</v>
          </cell>
          <cell r="DJ179" t="e">
            <v>#VALUE!</v>
          </cell>
          <cell r="DK179" t="e">
            <v>#VALUE!</v>
          </cell>
          <cell r="DL179" t="e">
            <v>#VALUE!</v>
          </cell>
          <cell r="DM179" t="e">
            <v>#VALUE!</v>
          </cell>
        </row>
        <row r="180">
          <cell r="C180" t="str">
            <v>F7.1-6.D</v>
          </cell>
          <cell r="D180" t="str">
            <v>Bauteile Außenanlagen</v>
          </cell>
          <cell r="E180" t="str">
            <v>E6.D</v>
          </cell>
          <cell r="F180" t="str">
            <v>E6.D * PFAKT</v>
          </cell>
          <cell r="G180">
            <v>0</v>
          </cell>
          <cell r="H180">
            <v>0</v>
          </cell>
          <cell r="J180" t="str">
            <v>€/Instandsetzung</v>
          </cell>
          <cell r="K180">
            <v>30</v>
          </cell>
          <cell r="L180" t="str">
            <v>PBAU</v>
          </cell>
          <cell r="M180">
            <v>3.3</v>
          </cell>
          <cell r="N180">
            <v>1.0177339901477833</v>
          </cell>
          <cell r="O180">
            <v>0</v>
          </cell>
          <cell r="P180" t="str">
            <v>€</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t="e">
            <v>#VALUE!</v>
          </cell>
          <cell r="BC180" t="e">
            <v>#VALUE!</v>
          </cell>
          <cell r="BD180" t="e">
            <v>#VALUE!</v>
          </cell>
          <cell r="BE180" t="e">
            <v>#VALUE!</v>
          </cell>
          <cell r="BF180" t="e">
            <v>#VALUE!</v>
          </cell>
          <cell r="BG180" t="e">
            <v>#VALUE!</v>
          </cell>
          <cell r="BH180" t="e">
            <v>#VALUE!</v>
          </cell>
          <cell r="BI180" t="e">
            <v>#VALUE!</v>
          </cell>
          <cell r="BJ180" t="e">
            <v>#VALUE!</v>
          </cell>
          <cell r="BK180" t="e">
            <v>#VALUE!</v>
          </cell>
          <cell r="BL180" t="e">
            <v>#VALUE!</v>
          </cell>
          <cell r="BM180" t="e">
            <v>#VALUE!</v>
          </cell>
          <cell r="BN180" t="e">
            <v>#VALUE!</v>
          </cell>
          <cell r="BO180" t="e">
            <v>#VALUE!</v>
          </cell>
          <cell r="BP180" t="e">
            <v>#VALUE!</v>
          </cell>
          <cell r="BQ180" t="e">
            <v>#VALUE!</v>
          </cell>
          <cell r="BR180" t="e">
            <v>#VALUE!</v>
          </cell>
          <cell r="BS180" t="e">
            <v>#VALUE!</v>
          </cell>
          <cell r="BT180" t="e">
            <v>#VALUE!</v>
          </cell>
          <cell r="BU180" t="e">
            <v>#VALUE!</v>
          </cell>
          <cell r="BV180" t="e">
            <v>#VALUE!</v>
          </cell>
          <cell r="BW180" t="e">
            <v>#VALUE!</v>
          </cell>
          <cell r="BX180" t="e">
            <v>#VALUE!</v>
          </cell>
          <cell r="BY180" t="e">
            <v>#VALUE!</v>
          </cell>
          <cell r="BZ180" t="e">
            <v>#VALUE!</v>
          </cell>
          <cell r="CA180" t="e">
            <v>#VALUE!</v>
          </cell>
          <cell r="CB180" t="e">
            <v>#VALUE!</v>
          </cell>
          <cell r="CC180" t="e">
            <v>#VALUE!</v>
          </cell>
          <cell r="CD180" t="e">
            <v>#VALUE!</v>
          </cell>
          <cell r="CE180" t="e">
            <v>#VALUE!</v>
          </cell>
          <cell r="CF180" t="e">
            <v>#VALUE!</v>
          </cell>
          <cell r="CG180" t="e">
            <v>#VALUE!</v>
          </cell>
          <cell r="CH180" t="e">
            <v>#VALUE!</v>
          </cell>
          <cell r="CI180" t="e">
            <v>#VALUE!</v>
          </cell>
          <cell r="CJ180" t="e">
            <v>#VALUE!</v>
          </cell>
          <cell r="CK180" t="e">
            <v>#VALUE!</v>
          </cell>
          <cell r="CL180" t="e">
            <v>#VALUE!</v>
          </cell>
          <cell r="CM180" t="e">
            <v>#VALUE!</v>
          </cell>
          <cell r="CN180" t="e">
            <v>#VALUE!</v>
          </cell>
          <cell r="CO180" t="e">
            <v>#VALUE!</v>
          </cell>
          <cell r="CP180" t="e">
            <v>#VALUE!</v>
          </cell>
          <cell r="CQ180" t="e">
            <v>#VALUE!</v>
          </cell>
          <cell r="CR180" t="e">
            <v>#VALUE!</v>
          </cell>
          <cell r="CS180" t="e">
            <v>#VALUE!</v>
          </cell>
          <cell r="CT180" t="e">
            <v>#VALUE!</v>
          </cell>
          <cell r="CU180" t="e">
            <v>#VALUE!</v>
          </cell>
          <cell r="CV180" t="e">
            <v>#VALUE!</v>
          </cell>
          <cell r="CW180" t="e">
            <v>#VALUE!</v>
          </cell>
          <cell r="CX180" t="e">
            <v>#VALUE!</v>
          </cell>
          <cell r="CY180" t="e">
            <v>#VALUE!</v>
          </cell>
          <cell r="CZ180" t="e">
            <v>#VALUE!</v>
          </cell>
          <cell r="DA180" t="e">
            <v>#VALUE!</v>
          </cell>
          <cell r="DB180" t="e">
            <v>#VALUE!</v>
          </cell>
          <cell r="DC180" t="e">
            <v>#VALUE!</v>
          </cell>
          <cell r="DD180" t="e">
            <v>#VALUE!</v>
          </cell>
          <cell r="DE180" t="e">
            <v>#VALUE!</v>
          </cell>
          <cell r="DF180" t="e">
            <v>#VALUE!</v>
          </cell>
          <cell r="DG180" t="e">
            <v>#VALUE!</v>
          </cell>
          <cell r="DH180" t="e">
            <v>#VALUE!</v>
          </cell>
          <cell r="DI180" t="e">
            <v>#VALUE!</v>
          </cell>
          <cell r="DJ180" t="e">
            <v>#VALUE!</v>
          </cell>
          <cell r="DK180" t="e">
            <v>#VALUE!</v>
          </cell>
          <cell r="DL180" t="e">
            <v>#VALUE!</v>
          </cell>
          <cell r="DM180" t="e">
            <v>#VALUE!</v>
          </cell>
        </row>
        <row r="181">
          <cell r="C181" t="str">
            <v>F7.1-6.S</v>
          </cell>
          <cell r="D181" t="str">
            <v>Außenanlagen Sonstiges</v>
          </cell>
          <cell r="E181" t="str">
            <v>E6.S</v>
          </cell>
          <cell r="F181" t="str">
            <v>E6.S * PFAKT</v>
          </cell>
          <cell r="G181">
            <v>58631.071461513937</v>
          </cell>
          <cell r="H181">
            <v>58631.071461513937</v>
          </cell>
          <cell r="J181" t="str">
            <v>€/Instandsetzung</v>
          </cell>
          <cell r="K181">
            <v>50</v>
          </cell>
          <cell r="L181" t="str">
            <v>PBAU</v>
          </cell>
          <cell r="M181">
            <v>3.3</v>
          </cell>
          <cell r="N181">
            <v>1.0177339901477833</v>
          </cell>
          <cell r="O181">
            <v>0</v>
          </cell>
          <cell r="P181" t="str">
            <v>€</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t="e">
            <v>#VALUE!</v>
          </cell>
          <cell r="BC181" t="e">
            <v>#VALUE!</v>
          </cell>
          <cell r="BD181" t="e">
            <v>#VALUE!</v>
          </cell>
          <cell r="BE181" t="e">
            <v>#VALUE!</v>
          </cell>
          <cell r="BF181" t="e">
            <v>#VALUE!</v>
          </cell>
          <cell r="BG181" t="e">
            <v>#VALUE!</v>
          </cell>
          <cell r="BH181" t="e">
            <v>#VALUE!</v>
          </cell>
          <cell r="BI181" t="e">
            <v>#VALUE!</v>
          </cell>
          <cell r="BJ181" t="e">
            <v>#VALUE!</v>
          </cell>
          <cell r="BK181" t="e">
            <v>#VALUE!</v>
          </cell>
          <cell r="BL181" t="e">
            <v>#VALUE!</v>
          </cell>
          <cell r="BM181" t="e">
            <v>#VALUE!</v>
          </cell>
          <cell r="BN181" t="e">
            <v>#VALUE!</v>
          </cell>
          <cell r="BO181" t="e">
            <v>#VALUE!</v>
          </cell>
          <cell r="BP181" t="e">
            <v>#VALUE!</v>
          </cell>
          <cell r="BQ181" t="e">
            <v>#VALUE!</v>
          </cell>
          <cell r="BR181" t="e">
            <v>#VALUE!</v>
          </cell>
          <cell r="BS181" t="e">
            <v>#VALUE!</v>
          </cell>
          <cell r="BT181" t="e">
            <v>#VALUE!</v>
          </cell>
          <cell r="BU181" t="e">
            <v>#VALUE!</v>
          </cell>
          <cell r="BV181" t="e">
            <v>#VALUE!</v>
          </cell>
          <cell r="BW181" t="e">
            <v>#VALUE!</v>
          </cell>
          <cell r="BX181" t="e">
            <v>#VALUE!</v>
          </cell>
          <cell r="BY181" t="e">
            <v>#VALUE!</v>
          </cell>
          <cell r="BZ181" t="e">
            <v>#VALUE!</v>
          </cell>
          <cell r="CA181" t="e">
            <v>#VALUE!</v>
          </cell>
          <cell r="CB181" t="e">
            <v>#VALUE!</v>
          </cell>
          <cell r="CC181" t="e">
            <v>#VALUE!</v>
          </cell>
          <cell r="CD181" t="e">
            <v>#VALUE!</v>
          </cell>
          <cell r="CE181" t="e">
            <v>#VALUE!</v>
          </cell>
          <cell r="CF181" t="e">
            <v>#VALUE!</v>
          </cell>
          <cell r="CG181" t="e">
            <v>#VALUE!</v>
          </cell>
          <cell r="CH181" t="e">
            <v>#VALUE!</v>
          </cell>
          <cell r="CI181" t="e">
            <v>#VALUE!</v>
          </cell>
          <cell r="CJ181" t="e">
            <v>#VALUE!</v>
          </cell>
          <cell r="CK181" t="e">
            <v>#VALUE!</v>
          </cell>
          <cell r="CL181" t="e">
            <v>#VALUE!</v>
          </cell>
          <cell r="CM181" t="e">
            <v>#VALUE!</v>
          </cell>
          <cell r="CN181" t="e">
            <v>#VALUE!</v>
          </cell>
          <cell r="CO181" t="e">
            <v>#VALUE!</v>
          </cell>
          <cell r="CP181" t="e">
            <v>#VALUE!</v>
          </cell>
          <cell r="CQ181" t="e">
            <v>#VALUE!</v>
          </cell>
          <cell r="CR181" t="e">
            <v>#VALUE!</v>
          </cell>
          <cell r="CS181" t="e">
            <v>#VALUE!</v>
          </cell>
          <cell r="CT181" t="e">
            <v>#VALUE!</v>
          </cell>
          <cell r="CU181" t="e">
            <v>#VALUE!</v>
          </cell>
          <cell r="CV181" t="e">
            <v>#VALUE!</v>
          </cell>
          <cell r="CW181" t="e">
            <v>#VALUE!</v>
          </cell>
          <cell r="CX181" t="e">
            <v>#VALUE!</v>
          </cell>
          <cell r="CY181" t="e">
            <v>#VALUE!</v>
          </cell>
          <cell r="CZ181" t="e">
            <v>#VALUE!</v>
          </cell>
          <cell r="DA181" t="e">
            <v>#VALUE!</v>
          </cell>
          <cell r="DB181" t="e">
            <v>#VALUE!</v>
          </cell>
          <cell r="DC181" t="e">
            <v>#VALUE!</v>
          </cell>
          <cell r="DD181" t="e">
            <v>#VALUE!</v>
          </cell>
          <cell r="DE181" t="e">
            <v>#VALUE!</v>
          </cell>
          <cell r="DF181" t="e">
            <v>#VALUE!</v>
          </cell>
          <cell r="DG181" t="e">
            <v>#VALUE!</v>
          </cell>
          <cell r="DH181" t="e">
            <v>#VALUE!</v>
          </cell>
          <cell r="DI181" t="e">
            <v>#VALUE!</v>
          </cell>
          <cell r="DJ181" t="e">
            <v>#VALUE!</v>
          </cell>
          <cell r="DK181" t="e">
            <v>#VALUE!</v>
          </cell>
          <cell r="DL181" t="e">
            <v>#VALUE!</v>
          </cell>
          <cell r="DM181" t="e">
            <v>#VALUE!</v>
          </cell>
        </row>
        <row r="182">
          <cell r="C182" t="str">
            <v>F7.2</v>
          </cell>
          <cell r="D182" t="str">
            <v>Verbesserung und Umnutzung</v>
          </cell>
          <cell r="G182">
            <v>0</v>
          </cell>
          <cell r="H182">
            <v>0</v>
          </cell>
          <cell r="J182" t="str">
            <v>€</v>
          </cell>
          <cell r="K182">
            <v>36</v>
          </cell>
          <cell r="L182" t="str">
            <v>PALLG</v>
          </cell>
          <cell r="M182">
            <v>2.5</v>
          </cell>
          <cell r="N182">
            <v>1.0098522167487685</v>
          </cell>
          <cell r="O182">
            <v>0</v>
          </cell>
          <cell r="P182" t="str">
            <v>€</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t="e">
            <v>#VALUE!</v>
          </cell>
          <cell r="BC182" t="e">
            <v>#VALUE!</v>
          </cell>
          <cell r="BD182" t="e">
            <v>#VALUE!</v>
          </cell>
          <cell r="BE182" t="e">
            <v>#VALUE!</v>
          </cell>
          <cell r="BF182" t="e">
            <v>#VALUE!</v>
          </cell>
          <cell r="BG182" t="e">
            <v>#VALUE!</v>
          </cell>
          <cell r="BH182" t="e">
            <v>#VALUE!</v>
          </cell>
          <cell r="BI182" t="e">
            <v>#VALUE!</v>
          </cell>
          <cell r="BJ182" t="e">
            <v>#VALUE!</v>
          </cell>
          <cell r="BK182" t="e">
            <v>#VALUE!</v>
          </cell>
          <cell r="BL182" t="e">
            <v>#VALUE!</v>
          </cell>
          <cell r="BM182" t="e">
            <v>#VALUE!</v>
          </cell>
          <cell r="BN182" t="e">
            <v>#VALUE!</v>
          </cell>
          <cell r="BO182" t="e">
            <v>#VALUE!</v>
          </cell>
          <cell r="BP182" t="e">
            <v>#VALUE!</v>
          </cell>
          <cell r="BQ182" t="e">
            <v>#VALUE!</v>
          </cell>
          <cell r="BR182" t="e">
            <v>#VALUE!</v>
          </cell>
          <cell r="BS182" t="e">
            <v>#VALUE!</v>
          </cell>
          <cell r="BT182" t="e">
            <v>#VALUE!</v>
          </cell>
          <cell r="BU182" t="e">
            <v>#VALUE!</v>
          </cell>
          <cell r="BV182" t="e">
            <v>#VALUE!</v>
          </cell>
          <cell r="BW182" t="e">
            <v>#VALUE!</v>
          </cell>
          <cell r="BX182" t="e">
            <v>#VALUE!</v>
          </cell>
          <cell r="BY182" t="e">
            <v>#VALUE!</v>
          </cell>
          <cell r="BZ182" t="e">
            <v>#VALUE!</v>
          </cell>
          <cell r="CA182" t="e">
            <v>#VALUE!</v>
          </cell>
          <cell r="CB182" t="e">
            <v>#VALUE!</v>
          </cell>
          <cell r="CC182" t="e">
            <v>#VALUE!</v>
          </cell>
          <cell r="CD182" t="e">
            <v>#VALUE!</v>
          </cell>
          <cell r="CE182" t="e">
            <v>#VALUE!</v>
          </cell>
          <cell r="CF182" t="e">
            <v>#VALUE!</v>
          </cell>
          <cell r="CG182" t="e">
            <v>#VALUE!</v>
          </cell>
          <cell r="CH182" t="e">
            <v>#VALUE!</v>
          </cell>
          <cell r="CI182" t="e">
            <v>#VALUE!</v>
          </cell>
          <cell r="CJ182" t="e">
            <v>#VALUE!</v>
          </cell>
          <cell r="CK182" t="e">
            <v>#VALUE!</v>
          </cell>
          <cell r="CL182" t="e">
            <v>#VALUE!</v>
          </cell>
          <cell r="CM182" t="e">
            <v>#VALUE!</v>
          </cell>
          <cell r="CN182" t="e">
            <v>#VALUE!</v>
          </cell>
          <cell r="CO182" t="e">
            <v>#VALUE!</v>
          </cell>
          <cell r="CP182" t="e">
            <v>#VALUE!</v>
          </cell>
          <cell r="CQ182" t="e">
            <v>#VALUE!</v>
          </cell>
          <cell r="CR182" t="e">
            <v>#VALUE!</v>
          </cell>
          <cell r="CS182" t="e">
            <v>#VALUE!</v>
          </cell>
          <cell r="CT182" t="e">
            <v>#VALUE!</v>
          </cell>
          <cell r="CU182" t="e">
            <v>#VALUE!</v>
          </cell>
          <cell r="CV182" t="e">
            <v>#VALUE!</v>
          </cell>
          <cell r="CW182" t="e">
            <v>#VALUE!</v>
          </cell>
          <cell r="CX182" t="e">
            <v>#VALUE!</v>
          </cell>
          <cell r="CY182" t="e">
            <v>#VALUE!</v>
          </cell>
          <cell r="CZ182" t="e">
            <v>#VALUE!</v>
          </cell>
          <cell r="DA182" t="e">
            <v>#VALUE!</v>
          </cell>
          <cell r="DB182" t="e">
            <v>#VALUE!</v>
          </cell>
          <cell r="DC182" t="e">
            <v>#VALUE!</v>
          </cell>
          <cell r="DD182" t="e">
            <v>#VALUE!</v>
          </cell>
          <cell r="DE182" t="e">
            <v>#VALUE!</v>
          </cell>
          <cell r="DF182" t="e">
            <v>#VALUE!</v>
          </cell>
          <cell r="DG182" t="e">
            <v>#VALUE!</v>
          </cell>
          <cell r="DH182" t="e">
            <v>#VALUE!</v>
          </cell>
          <cell r="DI182" t="e">
            <v>#VALUE!</v>
          </cell>
          <cell r="DJ182" t="e">
            <v>#VALUE!</v>
          </cell>
          <cell r="DK182" t="e">
            <v>#VALUE!</v>
          </cell>
          <cell r="DL182" t="e">
            <v>#VALUE!</v>
          </cell>
          <cell r="DM182" t="e">
            <v>#VALUE!</v>
          </cell>
        </row>
        <row r="183">
          <cell r="C183" t="str">
            <v>F8</v>
          </cell>
          <cell r="D183" t="str">
            <v>Sonstiges</v>
          </cell>
          <cell r="F183" t="str">
            <v>#SUM</v>
          </cell>
          <cell r="G183">
            <v>0</v>
          </cell>
          <cell r="J183" t="str">
            <v>€</v>
          </cell>
          <cell r="O183">
            <v>0</v>
          </cell>
          <cell r="P183" t="str">
            <v>€</v>
          </cell>
        </row>
        <row r="184">
          <cell r="C184" t="str">
            <v>F8.1</v>
          </cell>
          <cell r="D184" t="str">
            <v>Sonstiges</v>
          </cell>
          <cell r="G184">
            <v>0</v>
          </cell>
          <cell r="H184">
            <v>0</v>
          </cell>
          <cell r="J184" t="str">
            <v>€</v>
          </cell>
          <cell r="K184">
            <v>36</v>
          </cell>
          <cell r="L184" t="str">
            <v>PALLG</v>
          </cell>
          <cell r="M184">
            <v>2.5</v>
          </cell>
          <cell r="N184">
            <v>1.0098522167487685</v>
          </cell>
          <cell r="O184">
            <v>0</v>
          </cell>
          <cell r="P184" t="str">
            <v>€</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t="e">
            <v>#VALUE!</v>
          </cell>
          <cell r="BC184" t="e">
            <v>#VALUE!</v>
          </cell>
          <cell r="BD184" t="e">
            <v>#VALUE!</v>
          </cell>
          <cell r="BE184" t="e">
            <v>#VALUE!</v>
          </cell>
          <cell r="BF184" t="e">
            <v>#VALUE!</v>
          </cell>
          <cell r="BG184" t="e">
            <v>#VALUE!</v>
          </cell>
          <cell r="BH184" t="e">
            <v>#VALUE!</v>
          </cell>
          <cell r="BI184" t="e">
            <v>#VALUE!</v>
          </cell>
          <cell r="BJ184" t="e">
            <v>#VALUE!</v>
          </cell>
          <cell r="BK184" t="e">
            <v>#VALUE!</v>
          </cell>
          <cell r="BL184" t="e">
            <v>#VALUE!</v>
          </cell>
          <cell r="BM184" t="e">
            <v>#VALUE!</v>
          </cell>
          <cell r="BN184" t="e">
            <v>#VALUE!</v>
          </cell>
          <cell r="BO184" t="e">
            <v>#VALUE!</v>
          </cell>
          <cell r="BP184" t="e">
            <v>#VALUE!</v>
          </cell>
          <cell r="BQ184" t="e">
            <v>#VALUE!</v>
          </cell>
          <cell r="BR184" t="e">
            <v>#VALUE!</v>
          </cell>
          <cell r="BS184" t="e">
            <v>#VALUE!</v>
          </cell>
          <cell r="BT184" t="e">
            <v>#VALUE!</v>
          </cell>
          <cell r="BU184" t="e">
            <v>#VALUE!</v>
          </cell>
          <cell r="BV184" t="e">
            <v>#VALUE!</v>
          </cell>
          <cell r="BW184" t="e">
            <v>#VALUE!</v>
          </cell>
          <cell r="BX184" t="e">
            <v>#VALUE!</v>
          </cell>
          <cell r="BY184" t="e">
            <v>#VALUE!</v>
          </cell>
          <cell r="BZ184" t="e">
            <v>#VALUE!</v>
          </cell>
          <cell r="CA184" t="e">
            <v>#VALUE!</v>
          </cell>
          <cell r="CB184" t="e">
            <v>#VALUE!</v>
          </cell>
          <cell r="CC184" t="e">
            <v>#VALUE!</v>
          </cell>
          <cell r="CD184" t="e">
            <v>#VALUE!</v>
          </cell>
          <cell r="CE184" t="e">
            <v>#VALUE!</v>
          </cell>
          <cell r="CF184" t="e">
            <v>#VALUE!</v>
          </cell>
          <cell r="CG184" t="e">
            <v>#VALUE!</v>
          </cell>
          <cell r="CH184" t="e">
            <v>#VALUE!</v>
          </cell>
          <cell r="CI184" t="e">
            <v>#VALUE!</v>
          </cell>
          <cell r="CJ184" t="e">
            <v>#VALUE!</v>
          </cell>
          <cell r="CK184" t="e">
            <v>#VALUE!</v>
          </cell>
          <cell r="CL184" t="e">
            <v>#VALUE!</v>
          </cell>
          <cell r="CM184" t="e">
            <v>#VALUE!</v>
          </cell>
          <cell r="CN184" t="e">
            <v>#VALUE!</v>
          </cell>
          <cell r="CO184" t="e">
            <v>#VALUE!</v>
          </cell>
          <cell r="CP184" t="e">
            <v>#VALUE!</v>
          </cell>
          <cell r="CQ184" t="e">
            <v>#VALUE!</v>
          </cell>
          <cell r="CR184" t="e">
            <v>#VALUE!</v>
          </cell>
          <cell r="CS184" t="e">
            <v>#VALUE!</v>
          </cell>
          <cell r="CT184" t="e">
            <v>#VALUE!</v>
          </cell>
          <cell r="CU184" t="e">
            <v>#VALUE!</v>
          </cell>
          <cell r="CV184" t="e">
            <v>#VALUE!</v>
          </cell>
          <cell r="CW184" t="e">
            <v>#VALUE!</v>
          </cell>
          <cell r="CX184" t="e">
            <v>#VALUE!</v>
          </cell>
          <cell r="CY184" t="e">
            <v>#VALUE!</v>
          </cell>
          <cell r="CZ184" t="e">
            <v>#VALUE!</v>
          </cell>
          <cell r="DA184" t="e">
            <v>#VALUE!</v>
          </cell>
          <cell r="DB184" t="e">
            <v>#VALUE!</v>
          </cell>
          <cell r="DC184" t="e">
            <v>#VALUE!</v>
          </cell>
          <cell r="DD184" t="e">
            <v>#VALUE!</v>
          </cell>
          <cell r="DE184" t="e">
            <v>#VALUE!</v>
          </cell>
          <cell r="DF184" t="e">
            <v>#VALUE!</v>
          </cell>
          <cell r="DG184" t="e">
            <v>#VALUE!</v>
          </cell>
          <cell r="DH184" t="e">
            <v>#VALUE!</v>
          </cell>
          <cell r="DI184" t="e">
            <v>#VALUE!</v>
          </cell>
          <cell r="DJ184" t="e">
            <v>#VALUE!</v>
          </cell>
          <cell r="DK184" t="e">
            <v>#VALUE!</v>
          </cell>
          <cell r="DL184" t="e">
            <v>#VALUE!</v>
          </cell>
          <cell r="DM184" t="e">
            <v>#VALUE!</v>
          </cell>
        </row>
        <row r="185">
          <cell r="C185" t="str">
            <v>F9</v>
          </cell>
          <cell r="D185" t="str">
            <v>Objektbeseitigung, Abbruch</v>
          </cell>
          <cell r="F185" t="str">
            <v>#SUM</v>
          </cell>
          <cell r="G185">
            <v>1773468.395406276</v>
          </cell>
          <cell r="J185" t="str">
            <v>€</v>
          </cell>
          <cell r="O185">
            <v>3183394.4492431721</v>
          </cell>
          <cell r="P185" t="str">
            <v>€</v>
          </cell>
        </row>
        <row r="186">
          <cell r="C186" t="str">
            <v>F9.1</v>
          </cell>
          <cell r="D186" t="str">
            <v>Planung und Organisation</v>
          </cell>
          <cell r="F186" t="str">
            <v>AB_ENTS_GESAMT * PFAKT-AB_ENTS_GESAMT</v>
          </cell>
          <cell r="G186">
            <v>339197.12110761483</v>
          </cell>
          <cell r="H186">
            <v>339197.12110761483</v>
          </cell>
          <cell r="J186" t="str">
            <v>€</v>
          </cell>
          <cell r="K186">
            <v>36</v>
          </cell>
          <cell r="L186" t="str">
            <v>PALLG</v>
          </cell>
          <cell r="M186">
            <v>2.5</v>
          </cell>
          <cell r="N186">
            <v>1.0098522167487685</v>
          </cell>
          <cell r="O186">
            <v>482762.79244143621</v>
          </cell>
          <cell r="P186" t="str">
            <v>€</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482762.79244143621</v>
          </cell>
          <cell r="BB186" t="e">
            <v>#VALUE!</v>
          </cell>
          <cell r="BC186" t="e">
            <v>#VALUE!</v>
          </cell>
          <cell r="BD186" t="e">
            <v>#VALUE!</v>
          </cell>
          <cell r="BE186" t="e">
            <v>#VALUE!</v>
          </cell>
          <cell r="BF186" t="e">
            <v>#VALUE!</v>
          </cell>
          <cell r="BG186" t="e">
            <v>#VALUE!</v>
          </cell>
          <cell r="BH186" t="e">
            <v>#VALUE!</v>
          </cell>
          <cell r="BI186" t="e">
            <v>#VALUE!</v>
          </cell>
          <cell r="BJ186" t="e">
            <v>#VALUE!</v>
          </cell>
          <cell r="BK186" t="e">
            <v>#VALUE!</v>
          </cell>
          <cell r="BL186" t="e">
            <v>#VALUE!</v>
          </cell>
          <cell r="BM186" t="e">
            <v>#VALUE!</v>
          </cell>
          <cell r="BN186" t="e">
            <v>#VALUE!</v>
          </cell>
          <cell r="BO186" t="e">
            <v>#VALUE!</v>
          </cell>
          <cell r="BP186" t="e">
            <v>#VALUE!</v>
          </cell>
          <cell r="BQ186" t="e">
            <v>#VALUE!</v>
          </cell>
          <cell r="BR186" t="e">
            <v>#VALUE!</v>
          </cell>
          <cell r="BS186" t="e">
            <v>#VALUE!</v>
          </cell>
          <cell r="BT186" t="e">
            <v>#VALUE!</v>
          </cell>
          <cell r="BU186" t="e">
            <v>#VALUE!</v>
          </cell>
          <cell r="BV186" t="e">
            <v>#VALUE!</v>
          </cell>
          <cell r="BW186" t="e">
            <v>#VALUE!</v>
          </cell>
          <cell r="BX186" t="e">
            <v>#VALUE!</v>
          </cell>
          <cell r="BY186" t="e">
            <v>#VALUE!</v>
          </cell>
          <cell r="BZ186" t="e">
            <v>#VALUE!</v>
          </cell>
          <cell r="CA186" t="e">
            <v>#VALUE!</v>
          </cell>
          <cell r="CB186" t="e">
            <v>#VALUE!</v>
          </cell>
          <cell r="CC186" t="e">
            <v>#VALUE!</v>
          </cell>
          <cell r="CD186" t="e">
            <v>#VALUE!</v>
          </cell>
          <cell r="CE186" t="e">
            <v>#VALUE!</v>
          </cell>
          <cell r="CF186" t="e">
            <v>#VALUE!</v>
          </cell>
          <cell r="CG186" t="e">
            <v>#VALUE!</v>
          </cell>
          <cell r="CH186" t="e">
            <v>#VALUE!</v>
          </cell>
          <cell r="CI186" t="e">
            <v>#VALUE!</v>
          </cell>
          <cell r="CJ186" t="e">
            <v>#VALUE!</v>
          </cell>
          <cell r="CK186" t="e">
            <v>#VALUE!</v>
          </cell>
          <cell r="CL186" t="e">
            <v>#VALUE!</v>
          </cell>
          <cell r="CM186" t="e">
            <v>#VALUE!</v>
          </cell>
          <cell r="CN186" t="e">
            <v>#VALUE!</v>
          </cell>
          <cell r="CO186" t="e">
            <v>#VALUE!</v>
          </cell>
          <cell r="CP186" t="e">
            <v>#VALUE!</v>
          </cell>
          <cell r="CQ186" t="e">
            <v>#VALUE!</v>
          </cell>
          <cell r="CR186" t="e">
            <v>#VALUE!</v>
          </cell>
          <cell r="CS186" t="e">
            <v>#VALUE!</v>
          </cell>
          <cell r="CT186" t="e">
            <v>#VALUE!</v>
          </cell>
          <cell r="CU186" t="e">
            <v>#VALUE!</v>
          </cell>
          <cell r="CV186" t="e">
            <v>#VALUE!</v>
          </cell>
          <cell r="CW186" t="e">
            <v>#VALUE!</v>
          </cell>
          <cell r="CX186" t="e">
            <v>#VALUE!</v>
          </cell>
          <cell r="CY186" t="e">
            <v>#VALUE!</v>
          </cell>
          <cell r="CZ186" t="e">
            <v>#VALUE!</v>
          </cell>
          <cell r="DA186" t="e">
            <v>#VALUE!</v>
          </cell>
          <cell r="DB186" t="e">
            <v>#VALUE!</v>
          </cell>
          <cell r="DC186" t="e">
            <v>#VALUE!</v>
          </cell>
          <cell r="DD186" t="e">
            <v>#VALUE!</v>
          </cell>
          <cell r="DE186" t="e">
            <v>#VALUE!</v>
          </cell>
          <cell r="DF186" t="e">
            <v>#VALUE!</v>
          </cell>
          <cell r="DG186" t="e">
            <v>#VALUE!</v>
          </cell>
          <cell r="DH186" t="e">
            <v>#VALUE!</v>
          </cell>
          <cell r="DI186" t="e">
            <v>#VALUE!</v>
          </cell>
          <cell r="DJ186" t="e">
            <v>#VALUE!</v>
          </cell>
          <cell r="DK186" t="e">
            <v>#VALUE!</v>
          </cell>
          <cell r="DL186" t="e">
            <v>#VALUE!</v>
          </cell>
          <cell r="DM186" t="e">
            <v>#VALUE!</v>
          </cell>
        </row>
        <row r="187">
          <cell r="C187" t="str">
            <v>F9.2</v>
          </cell>
          <cell r="D187" t="str">
            <v>Abbruch und Entsorgung</v>
          </cell>
          <cell r="F187" t="str">
            <v>AB_ENTS_GESAMT</v>
          </cell>
          <cell r="G187">
            <v>1433676.0142986611</v>
          </cell>
          <cell r="H187">
            <v>1433676.0142986611</v>
          </cell>
          <cell r="J187" t="str">
            <v>€</v>
          </cell>
          <cell r="K187">
            <v>36</v>
          </cell>
          <cell r="L187" t="str">
            <v>PBAU</v>
          </cell>
          <cell r="M187">
            <v>3.3</v>
          </cell>
          <cell r="N187">
            <v>1.0177339901477833</v>
          </cell>
          <cell r="O187">
            <v>2699510.8242027466</v>
          </cell>
          <cell r="P187" t="str">
            <v>€</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2699510.8242027466</v>
          </cell>
          <cell r="BB187" t="e">
            <v>#VALUE!</v>
          </cell>
          <cell r="BC187" t="e">
            <v>#VALUE!</v>
          </cell>
          <cell r="BD187" t="e">
            <v>#VALUE!</v>
          </cell>
          <cell r="BE187" t="e">
            <v>#VALUE!</v>
          </cell>
          <cell r="BF187" t="e">
            <v>#VALUE!</v>
          </cell>
          <cell r="BG187" t="e">
            <v>#VALUE!</v>
          </cell>
          <cell r="BH187" t="e">
            <v>#VALUE!</v>
          </cell>
          <cell r="BI187" t="e">
            <v>#VALUE!</v>
          </cell>
          <cell r="BJ187" t="e">
            <v>#VALUE!</v>
          </cell>
          <cell r="BK187" t="e">
            <v>#VALUE!</v>
          </cell>
          <cell r="BL187" t="e">
            <v>#VALUE!</v>
          </cell>
          <cell r="BM187" t="e">
            <v>#VALUE!</v>
          </cell>
          <cell r="BN187" t="e">
            <v>#VALUE!</v>
          </cell>
          <cell r="BO187" t="e">
            <v>#VALUE!</v>
          </cell>
          <cell r="BP187" t="e">
            <v>#VALUE!</v>
          </cell>
          <cell r="BQ187" t="e">
            <v>#VALUE!</v>
          </cell>
          <cell r="BR187" t="e">
            <v>#VALUE!</v>
          </cell>
          <cell r="BS187" t="e">
            <v>#VALUE!</v>
          </cell>
          <cell r="BT187" t="e">
            <v>#VALUE!</v>
          </cell>
          <cell r="BU187" t="e">
            <v>#VALUE!</v>
          </cell>
          <cell r="BV187" t="e">
            <v>#VALUE!</v>
          </cell>
          <cell r="BW187" t="e">
            <v>#VALUE!</v>
          </cell>
          <cell r="BX187" t="e">
            <v>#VALUE!</v>
          </cell>
          <cell r="BY187" t="e">
            <v>#VALUE!</v>
          </cell>
          <cell r="BZ187" t="e">
            <v>#VALUE!</v>
          </cell>
          <cell r="CA187" t="e">
            <v>#VALUE!</v>
          </cell>
          <cell r="CB187" t="e">
            <v>#VALUE!</v>
          </cell>
          <cell r="CC187" t="e">
            <v>#VALUE!</v>
          </cell>
          <cell r="CD187" t="e">
            <v>#VALUE!</v>
          </cell>
          <cell r="CE187" t="e">
            <v>#VALUE!</v>
          </cell>
          <cell r="CF187" t="e">
            <v>#VALUE!</v>
          </cell>
          <cell r="CG187" t="e">
            <v>#VALUE!</v>
          </cell>
          <cell r="CH187" t="e">
            <v>#VALUE!</v>
          </cell>
          <cell r="CI187" t="e">
            <v>#VALUE!</v>
          </cell>
          <cell r="CJ187" t="e">
            <v>#VALUE!</v>
          </cell>
          <cell r="CK187" t="e">
            <v>#VALUE!</v>
          </cell>
          <cell r="CL187" t="e">
            <v>#VALUE!</v>
          </cell>
          <cell r="CM187" t="e">
            <v>#VALUE!</v>
          </cell>
          <cell r="CN187" t="e">
            <v>#VALUE!</v>
          </cell>
          <cell r="CO187" t="e">
            <v>#VALUE!</v>
          </cell>
          <cell r="CP187" t="e">
            <v>#VALUE!</v>
          </cell>
          <cell r="CQ187" t="e">
            <v>#VALUE!</v>
          </cell>
          <cell r="CR187" t="e">
            <v>#VALUE!</v>
          </cell>
          <cell r="CS187" t="e">
            <v>#VALUE!</v>
          </cell>
          <cell r="CT187" t="e">
            <v>#VALUE!</v>
          </cell>
          <cell r="CU187" t="e">
            <v>#VALUE!</v>
          </cell>
          <cell r="CV187" t="e">
            <v>#VALUE!</v>
          </cell>
          <cell r="CW187" t="e">
            <v>#VALUE!</v>
          </cell>
          <cell r="CX187" t="e">
            <v>#VALUE!</v>
          </cell>
          <cell r="CY187" t="e">
            <v>#VALUE!</v>
          </cell>
          <cell r="CZ187" t="e">
            <v>#VALUE!</v>
          </cell>
          <cell r="DA187" t="e">
            <v>#VALUE!</v>
          </cell>
          <cell r="DB187" t="e">
            <v>#VALUE!</v>
          </cell>
          <cell r="DC187" t="e">
            <v>#VALUE!</v>
          </cell>
          <cell r="DD187" t="e">
            <v>#VALUE!</v>
          </cell>
          <cell r="DE187" t="e">
            <v>#VALUE!</v>
          </cell>
          <cell r="DF187" t="e">
            <v>#VALUE!</v>
          </cell>
          <cell r="DG187" t="e">
            <v>#VALUE!</v>
          </cell>
          <cell r="DH187" t="e">
            <v>#VALUE!</v>
          </cell>
          <cell r="DI187" t="e">
            <v>#VALUE!</v>
          </cell>
          <cell r="DJ187" t="e">
            <v>#VALUE!</v>
          </cell>
          <cell r="DK187" t="e">
            <v>#VALUE!</v>
          </cell>
          <cell r="DL187" t="e">
            <v>#VALUE!</v>
          </cell>
          <cell r="DM187" t="e">
            <v>#VALUE!</v>
          </cell>
        </row>
        <row r="188">
          <cell r="C188" t="str">
            <v>F9.3</v>
          </cell>
          <cell r="D188" t="str">
            <v>Herstellung des Vertragszustands</v>
          </cell>
          <cell r="F188" t="str">
            <v>HVZm2*BEFAF</v>
          </cell>
          <cell r="G188">
            <v>595.25999999999988</v>
          </cell>
          <cell r="H188">
            <v>595.25999999999988</v>
          </cell>
          <cell r="J188" t="str">
            <v>€</v>
          </cell>
          <cell r="K188">
            <v>36</v>
          </cell>
          <cell r="L188" t="str">
            <v>PBAU</v>
          </cell>
          <cell r="M188">
            <v>3.3</v>
          </cell>
          <cell r="N188">
            <v>1.0177339901477833</v>
          </cell>
          <cell r="O188">
            <v>1120.8325989892564</v>
          </cell>
          <cell r="P188" t="str">
            <v>€</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1120.8325989892564</v>
          </cell>
          <cell r="BB188" t="e">
            <v>#VALUE!</v>
          </cell>
          <cell r="BC188" t="e">
            <v>#VALUE!</v>
          </cell>
          <cell r="BD188" t="e">
            <v>#VALUE!</v>
          </cell>
          <cell r="BE188" t="e">
            <v>#VALUE!</v>
          </cell>
          <cell r="BF188" t="e">
            <v>#VALUE!</v>
          </cell>
          <cell r="BG188" t="e">
            <v>#VALUE!</v>
          </cell>
          <cell r="BH188" t="e">
            <v>#VALUE!</v>
          </cell>
          <cell r="BI188" t="e">
            <v>#VALUE!</v>
          </cell>
          <cell r="BJ188" t="e">
            <v>#VALUE!</v>
          </cell>
          <cell r="BK188" t="e">
            <v>#VALUE!</v>
          </cell>
          <cell r="BL188" t="e">
            <v>#VALUE!</v>
          </cell>
          <cell r="BM188" t="e">
            <v>#VALUE!</v>
          </cell>
          <cell r="BN188" t="e">
            <v>#VALUE!</v>
          </cell>
          <cell r="BO188" t="e">
            <v>#VALUE!</v>
          </cell>
          <cell r="BP188" t="e">
            <v>#VALUE!</v>
          </cell>
          <cell r="BQ188" t="e">
            <v>#VALUE!</v>
          </cell>
          <cell r="BR188" t="e">
            <v>#VALUE!</v>
          </cell>
          <cell r="BS188" t="e">
            <v>#VALUE!</v>
          </cell>
          <cell r="BT188" t="e">
            <v>#VALUE!</v>
          </cell>
          <cell r="BU188" t="e">
            <v>#VALUE!</v>
          </cell>
          <cell r="BV188" t="e">
            <v>#VALUE!</v>
          </cell>
          <cell r="BW188" t="e">
            <v>#VALUE!</v>
          </cell>
          <cell r="BX188" t="e">
            <v>#VALUE!</v>
          </cell>
          <cell r="BY188" t="e">
            <v>#VALUE!</v>
          </cell>
          <cell r="BZ188" t="e">
            <v>#VALUE!</v>
          </cell>
          <cell r="CA188" t="e">
            <v>#VALUE!</v>
          </cell>
          <cell r="CB188" t="e">
            <v>#VALUE!</v>
          </cell>
          <cell r="CC188" t="e">
            <v>#VALUE!</v>
          </cell>
          <cell r="CD188" t="e">
            <v>#VALUE!</v>
          </cell>
          <cell r="CE188" t="e">
            <v>#VALUE!</v>
          </cell>
          <cell r="CF188" t="e">
            <v>#VALUE!</v>
          </cell>
          <cell r="CG188" t="e">
            <v>#VALUE!</v>
          </cell>
          <cell r="CH188" t="e">
            <v>#VALUE!</v>
          </cell>
          <cell r="CI188" t="e">
            <v>#VALUE!</v>
          </cell>
          <cell r="CJ188" t="e">
            <v>#VALUE!</v>
          </cell>
          <cell r="CK188" t="e">
            <v>#VALUE!</v>
          </cell>
          <cell r="CL188" t="e">
            <v>#VALUE!</v>
          </cell>
          <cell r="CM188" t="e">
            <v>#VALUE!</v>
          </cell>
          <cell r="CN188" t="e">
            <v>#VALUE!</v>
          </cell>
          <cell r="CO188" t="e">
            <v>#VALUE!</v>
          </cell>
          <cell r="CP188" t="e">
            <v>#VALUE!</v>
          </cell>
          <cell r="CQ188" t="e">
            <v>#VALUE!</v>
          </cell>
          <cell r="CR188" t="e">
            <v>#VALUE!</v>
          </cell>
          <cell r="CS188" t="e">
            <v>#VALUE!</v>
          </cell>
          <cell r="CT188" t="e">
            <v>#VALUE!</v>
          </cell>
          <cell r="CU188" t="e">
            <v>#VALUE!</v>
          </cell>
          <cell r="CV188" t="e">
            <v>#VALUE!</v>
          </cell>
          <cell r="CW188" t="e">
            <v>#VALUE!</v>
          </cell>
          <cell r="CX188" t="e">
            <v>#VALUE!</v>
          </cell>
          <cell r="CY188" t="e">
            <v>#VALUE!</v>
          </cell>
          <cell r="CZ188" t="e">
            <v>#VALUE!</v>
          </cell>
          <cell r="DA188" t="e">
            <v>#VALUE!</v>
          </cell>
          <cell r="DB188" t="e">
            <v>#VALUE!</v>
          </cell>
          <cell r="DC188" t="e">
            <v>#VALUE!</v>
          </cell>
          <cell r="DD188" t="e">
            <v>#VALUE!</v>
          </cell>
          <cell r="DE188" t="e">
            <v>#VALUE!</v>
          </cell>
          <cell r="DF188" t="e">
            <v>#VALUE!</v>
          </cell>
          <cell r="DG188" t="e">
            <v>#VALUE!</v>
          </cell>
          <cell r="DH188" t="e">
            <v>#VALUE!</v>
          </cell>
          <cell r="DI188" t="e">
            <v>#VALUE!</v>
          </cell>
          <cell r="DJ188" t="e">
            <v>#VALUE!</v>
          </cell>
          <cell r="DK188" t="e">
            <v>#VALUE!</v>
          </cell>
          <cell r="DL188" t="e">
            <v>#VALUE!</v>
          </cell>
          <cell r="DM188" t="e">
            <v>#VALUE!</v>
          </cell>
        </row>
        <row r="189">
          <cell r="D189" t="str">
            <v>Kostenkennwerte</v>
          </cell>
          <cell r="G189" t="str">
            <v>zurück zu "Nutzung und Betrieb"</v>
          </cell>
          <cell r="P189" t="str">
            <v>€</v>
          </cell>
        </row>
        <row r="190">
          <cell r="C190" t="str">
            <v>KGB</v>
          </cell>
          <cell r="D190" t="str">
            <v>Kosten des Gebäudebetriebs [F1-F5]</v>
          </cell>
          <cell r="F190" t="str">
            <v>#F1+#F2+#F3+#F4+#F5</v>
          </cell>
          <cell r="G190">
            <v>72532.606149031417</v>
          </cell>
          <cell r="J190" t="str">
            <v>€/Jahr</v>
          </cell>
          <cell r="O190">
            <v>3144036.3106415286</v>
          </cell>
          <cell r="P190" t="str">
            <v>€</v>
          </cell>
          <cell r="Q190">
            <v>0</v>
          </cell>
          <cell r="R190">
            <v>73234.780083690479</v>
          </cell>
          <cell r="S190">
            <v>147179.21814823741</v>
          </cell>
          <cell r="T190">
            <v>221840.89330439881</v>
          </cell>
          <cell r="U190">
            <v>297227.48131718748</v>
          </cell>
          <cell r="V190">
            <v>373346.75623065227</v>
          </cell>
          <cell r="W190">
            <v>450206.59202864463</v>
          </cell>
          <cell r="X190">
            <v>527814.96433253353</v>
          </cell>
          <cell r="Y190">
            <v>606179.95213683706</v>
          </cell>
          <cell r="Z190">
            <v>685309.73958377389</v>
          </cell>
          <cell r="AA190">
            <v>765212.61777774815</v>
          </cell>
          <cell r="AB190">
            <v>845896.98664085031</v>
          </cell>
          <cell r="AC190">
            <v>927371.35681044124</v>
          </cell>
          <cell r="AD190">
            <v>1009644.3515799514</v>
          </cell>
          <cell r="AE190">
            <v>1092724.7088840394</v>
          </cell>
          <cell r="AF190">
            <v>1176621.2833292885</v>
          </cell>
          <cell r="AG190">
            <v>1261343.0482716803</v>
          </cell>
          <cell r="AH190">
            <v>1346899.0979420713</v>
          </cell>
          <cell r="AI190">
            <v>1433298.6496209691</v>
          </cell>
          <cell r="AJ190">
            <v>1520551.0458639495</v>
          </cell>
          <cell r="AK190">
            <v>1608665.7567790449</v>
          </cell>
          <cell r="AL190">
            <v>1697652.3823575357</v>
          </cell>
          <cell r="AM190">
            <v>1787520.6548595738</v>
          </cell>
          <cell r="AN190">
            <v>1878280.4412561059</v>
          </cell>
          <cell r="AO190">
            <v>1969941.7457286557</v>
          </cell>
          <cell r="AP190">
            <v>2062514.7122285119</v>
          </cell>
          <cell r="AQ190">
            <v>2156009.6270969138</v>
          </cell>
          <cell r="AR190">
            <v>2250436.9217479643</v>
          </cell>
          <cell r="AS190">
            <v>2345807.1754158889</v>
          </cell>
          <cell r="AT190">
            <v>2442131.1179684745</v>
          </cell>
          <cell r="AU190">
            <v>2539419.6327884505</v>
          </cell>
          <cell r="AV190">
            <v>2637683.7597246752</v>
          </cell>
          <cell r="AW190">
            <v>2736934.6981150736</v>
          </cell>
          <cell r="AX190">
            <v>2837183.809883249</v>
          </cell>
          <cell r="AY190">
            <v>2938442.6227108184</v>
          </cell>
          <cell r="AZ190">
            <v>3040722.8332875706</v>
          </cell>
          <cell r="BA190">
            <v>3144036.310641529</v>
          </cell>
          <cell r="BB190" t="e">
            <v>#VALUE!</v>
          </cell>
          <cell r="BC190" t="e">
            <v>#VALUE!</v>
          </cell>
          <cell r="BD190" t="e">
            <v>#VALUE!</v>
          </cell>
          <cell r="BE190" t="e">
            <v>#VALUE!</v>
          </cell>
          <cell r="BF190" t="e">
            <v>#VALUE!</v>
          </cell>
          <cell r="BG190" t="e">
            <v>#VALUE!</v>
          </cell>
          <cell r="BH190" t="e">
            <v>#VALUE!</v>
          </cell>
          <cell r="BI190" t="e">
            <v>#VALUE!</v>
          </cell>
          <cell r="BJ190" t="e">
            <v>#VALUE!</v>
          </cell>
          <cell r="BK190" t="e">
            <v>#VALUE!</v>
          </cell>
          <cell r="BL190" t="e">
            <v>#VALUE!</v>
          </cell>
          <cell r="BM190" t="e">
            <v>#VALUE!</v>
          </cell>
          <cell r="BN190" t="e">
            <v>#VALUE!</v>
          </cell>
          <cell r="BO190" t="e">
            <v>#VALUE!</v>
          </cell>
          <cell r="BP190" t="e">
            <v>#VALUE!</v>
          </cell>
          <cell r="BQ190" t="e">
            <v>#VALUE!</v>
          </cell>
          <cell r="BR190" t="e">
            <v>#VALUE!</v>
          </cell>
          <cell r="BS190" t="e">
            <v>#VALUE!</v>
          </cell>
          <cell r="BT190" t="e">
            <v>#VALUE!</v>
          </cell>
          <cell r="BU190" t="e">
            <v>#VALUE!</v>
          </cell>
          <cell r="BV190" t="e">
            <v>#VALUE!</v>
          </cell>
          <cell r="BW190" t="e">
            <v>#VALUE!</v>
          </cell>
          <cell r="BX190" t="e">
            <v>#VALUE!</v>
          </cell>
          <cell r="BY190" t="e">
            <v>#VALUE!</v>
          </cell>
          <cell r="BZ190" t="e">
            <v>#VALUE!</v>
          </cell>
          <cell r="CA190" t="e">
            <v>#VALUE!</v>
          </cell>
          <cell r="CB190" t="e">
            <v>#VALUE!</v>
          </cell>
          <cell r="CC190" t="e">
            <v>#VALUE!</v>
          </cell>
          <cell r="CD190" t="e">
            <v>#VALUE!</v>
          </cell>
          <cell r="CE190" t="e">
            <v>#VALUE!</v>
          </cell>
          <cell r="CF190" t="e">
            <v>#VALUE!</v>
          </cell>
          <cell r="CG190" t="e">
            <v>#VALUE!</v>
          </cell>
          <cell r="CH190" t="e">
            <v>#VALUE!</v>
          </cell>
          <cell r="CI190" t="e">
            <v>#VALUE!</v>
          </cell>
          <cell r="CJ190" t="e">
            <v>#VALUE!</v>
          </cell>
          <cell r="CK190" t="e">
            <v>#VALUE!</v>
          </cell>
          <cell r="CL190" t="e">
            <v>#VALUE!</v>
          </cell>
          <cell r="CM190" t="e">
            <v>#VALUE!</v>
          </cell>
          <cell r="CN190" t="e">
            <v>#VALUE!</v>
          </cell>
          <cell r="CO190" t="e">
            <v>#VALUE!</v>
          </cell>
          <cell r="CP190" t="e">
            <v>#VALUE!</v>
          </cell>
          <cell r="CQ190" t="e">
            <v>#VALUE!</v>
          </cell>
          <cell r="CR190" t="e">
            <v>#VALUE!</v>
          </cell>
          <cell r="CS190" t="e">
            <v>#VALUE!</v>
          </cell>
          <cell r="CT190" t="e">
            <v>#VALUE!</v>
          </cell>
          <cell r="CU190" t="e">
            <v>#VALUE!</v>
          </cell>
          <cell r="CV190" t="e">
            <v>#VALUE!</v>
          </cell>
          <cell r="CW190" t="e">
            <v>#VALUE!</v>
          </cell>
          <cell r="CX190" t="e">
            <v>#VALUE!</v>
          </cell>
          <cell r="CY190" t="e">
            <v>#VALUE!</v>
          </cell>
          <cell r="CZ190" t="e">
            <v>#VALUE!</v>
          </cell>
          <cell r="DA190" t="e">
            <v>#VALUE!</v>
          </cell>
          <cell r="DB190" t="e">
            <v>#VALUE!</v>
          </cell>
          <cell r="DC190" t="e">
            <v>#VALUE!</v>
          </cell>
          <cell r="DD190" t="e">
            <v>#VALUE!</v>
          </cell>
          <cell r="DE190" t="e">
            <v>#VALUE!</v>
          </cell>
          <cell r="DF190" t="e">
            <v>#VALUE!</v>
          </cell>
          <cell r="DG190" t="e">
            <v>#VALUE!</v>
          </cell>
          <cell r="DH190" t="e">
            <v>#VALUE!</v>
          </cell>
          <cell r="DI190" t="e">
            <v>#VALUE!</v>
          </cell>
          <cell r="DJ190" t="e">
            <v>#VALUE!</v>
          </cell>
          <cell r="DK190" t="e">
            <v>#VALUE!</v>
          </cell>
          <cell r="DL190" t="e">
            <v>#VALUE!</v>
          </cell>
          <cell r="DM190" t="e">
            <v>#VALUE!</v>
          </cell>
        </row>
        <row r="191">
          <cell r="C191" t="str">
            <v>GBK</v>
          </cell>
          <cell r="D191" t="str">
            <v>Gebäudebasiskosten [E1-F5]</v>
          </cell>
          <cell r="F191" t="str">
            <v>EK+KGB</v>
          </cell>
          <cell r="O191">
            <v>4606385.2406415287</v>
          </cell>
          <cell r="P191" t="str">
            <v>€</v>
          </cell>
          <cell r="Q191">
            <v>0</v>
          </cell>
          <cell r="R191">
            <v>73234.780083690479</v>
          </cell>
          <cell r="S191">
            <v>147179.21814823741</v>
          </cell>
          <cell r="T191">
            <v>221840.89330439881</v>
          </cell>
          <cell r="U191">
            <v>297227.48131718748</v>
          </cell>
          <cell r="V191">
            <v>373346.75623065227</v>
          </cell>
          <cell r="W191">
            <v>450206.59202864463</v>
          </cell>
          <cell r="X191">
            <v>527814.96433253353</v>
          </cell>
          <cell r="Y191">
            <v>606179.95213683706</v>
          </cell>
          <cell r="Z191">
            <v>685309.73958377389</v>
          </cell>
          <cell r="AA191">
            <v>765212.61777774815</v>
          </cell>
          <cell r="AB191">
            <v>845896.98664085031</v>
          </cell>
          <cell r="AC191">
            <v>927371.35681044124</v>
          </cell>
          <cell r="AD191">
            <v>1009644.3515799514</v>
          </cell>
          <cell r="AE191">
            <v>1092724.7088840394</v>
          </cell>
          <cell r="AF191">
            <v>1176621.2833292885</v>
          </cell>
          <cell r="AG191">
            <v>1261343.0482716803</v>
          </cell>
          <cell r="AH191">
            <v>1346899.0979420713</v>
          </cell>
          <cell r="AI191">
            <v>1433298.6496209691</v>
          </cell>
          <cell r="AJ191">
            <v>1520551.0458639495</v>
          </cell>
          <cell r="AK191">
            <v>1608665.7567790449</v>
          </cell>
          <cell r="AL191">
            <v>1697652.3823575357</v>
          </cell>
          <cell r="AM191">
            <v>1787520.6548595738</v>
          </cell>
          <cell r="AN191">
            <v>1878280.4412561059</v>
          </cell>
          <cell r="AO191">
            <v>1969941.7457286557</v>
          </cell>
          <cell r="AP191">
            <v>2062514.7122285119</v>
          </cell>
          <cell r="AQ191">
            <v>2156009.6270969138</v>
          </cell>
          <cell r="AR191">
            <v>2250436.9217479643</v>
          </cell>
          <cell r="AS191">
            <v>2345807.1754158889</v>
          </cell>
          <cell r="AT191">
            <v>2442131.1179684745</v>
          </cell>
          <cell r="AU191">
            <v>2539419.6327884505</v>
          </cell>
          <cell r="AV191">
            <v>2637683.7597246752</v>
          </cell>
          <cell r="AW191">
            <v>2736934.6981150736</v>
          </cell>
          <cell r="AX191">
            <v>2837183.809883249</v>
          </cell>
          <cell r="AY191">
            <v>2938442.6227108184</v>
          </cell>
          <cell r="AZ191">
            <v>3040722.8332875706</v>
          </cell>
          <cell r="BA191">
            <v>3144036.310641529</v>
          </cell>
          <cell r="BB191" t="e">
            <v>#VALUE!</v>
          </cell>
          <cell r="BC191" t="e">
            <v>#VALUE!</v>
          </cell>
          <cell r="BD191" t="e">
            <v>#VALUE!</v>
          </cell>
          <cell r="BE191" t="e">
            <v>#VALUE!</v>
          </cell>
          <cell r="BF191" t="e">
            <v>#VALUE!</v>
          </cell>
          <cell r="BG191" t="e">
            <v>#VALUE!</v>
          </cell>
          <cell r="BH191" t="e">
            <v>#VALUE!</v>
          </cell>
          <cell r="BI191" t="e">
            <v>#VALUE!</v>
          </cell>
          <cell r="BJ191" t="e">
            <v>#VALUE!</v>
          </cell>
          <cell r="BK191" t="e">
            <v>#VALUE!</v>
          </cell>
          <cell r="BL191" t="e">
            <v>#VALUE!</v>
          </cell>
          <cell r="BM191" t="e">
            <v>#VALUE!</v>
          </cell>
          <cell r="BN191" t="e">
            <v>#VALUE!</v>
          </cell>
          <cell r="BO191" t="e">
            <v>#VALUE!</v>
          </cell>
          <cell r="BP191" t="e">
            <v>#VALUE!</v>
          </cell>
          <cell r="BQ191" t="e">
            <v>#VALUE!</v>
          </cell>
          <cell r="BR191" t="e">
            <v>#VALUE!</v>
          </cell>
          <cell r="BS191" t="e">
            <v>#VALUE!</v>
          </cell>
          <cell r="BT191" t="e">
            <v>#VALUE!</v>
          </cell>
          <cell r="BU191" t="e">
            <v>#VALUE!</v>
          </cell>
          <cell r="BV191" t="e">
            <v>#VALUE!</v>
          </cell>
          <cell r="BW191" t="e">
            <v>#VALUE!</v>
          </cell>
          <cell r="BX191" t="e">
            <v>#VALUE!</v>
          </cell>
          <cell r="BY191" t="e">
            <v>#VALUE!</v>
          </cell>
          <cell r="BZ191" t="e">
            <v>#VALUE!</v>
          </cell>
          <cell r="CA191" t="e">
            <v>#VALUE!</v>
          </cell>
          <cell r="CB191" t="e">
            <v>#VALUE!</v>
          </cell>
          <cell r="CC191" t="e">
            <v>#VALUE!</v>
          </cell>
          <cell r="CD191" t="e">
            <v>#VALUE!</v>
          </cell>
          <cell r="CE191" t="e">
            <v>#VALUE!</v>
          </cell>
          <cell r="CF191" t="e">
            <v>#VALUE!</v>
          </cell>
          <cell r="CG191" t="e">
            <v>#VALUE!</v>
          </cell>
          <cell r="CH191" t="e">
            <v>#VALUE!</v>
          </cell>
          <cell r="CI191" t="e">
            <v>#VALUE!</v>
          </cell>
          <cell r="CJ191" t="e">
            <v>#VALUE!</v>
          </cell>
          <cell r="CK191" t="e">
            <v>#VALUE!</v>
          </cell>
          <cell r="CL191" t="e">
            <v>#VALUE!</v>
          </cell>
          <cell r="CM191" t="e">
            <v>#VALUE!</v>
          </cell>
          <cell r="CN191" t="e">
            <v>#VALUE!</v>
          </cell>
          <cell r="CO191" t="e">
            <v>#VALUE!</v>
          </cell>
          <cell r="CP191" t="e">
            <v>#VALUE!</v>
          </cell>
          <cell r="CQ191" t="e">
            <v>#VALUE!</v>
          </cell>
          <cell r="CR191" t="e">
            <v>#VALUE!</v>
          </cell>
          <cell r="CS191" t="e">
            <v>#VALUE!</v>
          </cell>
          <cell r="CT191" t="e">
            <v>#VALUE!</v>
          </cell>
          <cell r="CU191" t="e">
            <v>#VALUE!</v>
          </cell>
          <cell r="CV191" t="e">
            <v>#VALUE!</v>
          </cell>
          <cell r="CW191" t="e">
            <v>#VALUE!</v>
          </cell>
          <cell r="CX191" t="e">
            <v>#VALUE!</v>
          </cell>
          <cell r="CY191" t="e">
            <v>#VALUE!</v>
          </cell>
          <cell r="CZ191" t="e">
            <v>#VALUE!</v>
          </cell>
          <cell r="DA191" t="e">
            <v>#VALUE!</v>
          </cell>
          <cell r="DB191" t="e">
            <v>#VALUE!</v>
          </cell>
          <cell r="DC191" t="e">
            <v>#VALUE!</v>
          </cell>
          <cell r="DD191" t="e">
            <v>#VALUE!</v>
          </cell>
          <cell r="DE191" t="e">
            <v>#VALUE!</v>
          </cell>
          <cell r="DF191" t="e">
            <v>#VALUE!</v>
          </cell>
          <cell r="DG191" t="e">
            <v>#VALUE!</v>
          </cell>
          <cell r="DH191" t="e">
            <v>#VALUE!</v>
          </cell>
          <cell r="DI191" t="e">
            <v>#VALUE!</v>
          </cell>
          <cell r="DJ191" t="e">
            <v>#VALUE!</v>
          </cell>
          <cell r="DK191" t="e">
            <v>#VALUE!</v>
          </cell>
          <cell r="DL191" t="e">
            <v>#VALUE!</v>
          </cell>
          <cell r="DM191" t="e">
            <v>#VALUE!</v>
          </cell>
        </row>
        <row r="192">
          <cell r="C192" t="str">
            <v>ONK</v>
          </cell>
          <cell r="D192" t="str">
            <v>Nutzungskosten [F1-F8]</v>
          </cell>
          <cell r="F192" t="str">
            <v>KGB+#F6+#F7+#F8</v>
          </cell>
          <cell r="O192">
            <v>5302336.9732964206</v>
          </cell>
          <cell r="P192" t="str">
            <v>€</v>
          </cell>
          <cell r="Q192">
            <v>0</v>
          </cell>
          <cell r="R192">
            <v>95956.454960537769</v>
          </cell>
          <cell r="S192">
            <v>192846.42676771374</v>
          </cell>
          <cell r="T192">
            <v>290679.70003835292</v>
          </cell>
          <cell r="U192">
            <v>389466.17777265812</v>
          </cell>
          <cell r="V192">
            <v>489215.88319307321</v>
          </cell>
          <cell r="W192">
            <v>589938.96162123745</v>
          </cell>
          <cell r="X192">
            <v>691645.68239401898</v>
          </cell>
          <cell r="Y192">
            <v>794346.44081961759</v>
          </cell>
          <cell r="Z192">
            <v>898051.76017475908</v>
          </cell>
          <cell r="AA192">
            <v>1006004.9208097396</v>
          </cell>
          <cell r="AB192">
            <v>1111751.453968076</v>
          </cell>
          <cell r="AC192">
            <v>1218534.9063077308</v>
          </cell>
          <cell r="AD192">
            <v>1326366.3338105564</v>
          </cell>
          <cell r="AE192">
            <v>1525695.2773895967</v>
          </cell>
          <cell r="AF192">
            <v>1635656.3798655574</v>
          </cell>
          <cell r="AG192">
            <v>1746699.4662182736</v>
          </cell>
          <cell r="AH192">
            <v>1891339.7921003588</v>
          </cell>
          <cell r="AI192">
            <v>2021500.8524035052</v>
          </cell>
          <cell r="AJ192">
            <v>2135860.2300492432</v>
          </cell>
          <cell r="AK192">
            <v>2361843.6411071103</v>
          </cell>
          <cell r="AL192">
            <v>2478474.0069717248</v>
          </cell>
          <cell r="AM192">
            <v>2746829.9145876989</v>
          </cell>
          <cell r="AN192">
            <v>2865780.8287845743</v>
          </cell>
          <cell r="AO192">
            <v>2985911.0061589484</v>
          </cell>
          <cell r="AP192">
            <v>3586000.4805100188</v>
          </cell>
          <cell r="AQ192">
            <v>3708527.9946576841</v>
          </cell>
          <cell r="AR192">
            <v>3832273.9240488783</v>
          </cell>
          <cell r="AS192">
            <v>4054130.8396600313</v>
          </cell>
          <cell r="AT192">
            <v>4180353.9698889619</v>
          </cell>
          <cell r="AU192">
            <v>4456387.8925863551</v>
          </cell>
          <cell r="AV192">
            <v>4585143.2559539033</v>
          </cell>
          <cell r="AW192">
            <v>4715185.8370458838</v>
          </cell>
          <cell r="AX192">
            <v>4846529.9574535899</v>
          </cell>
          <cell r="AY192">
            <v>5014525.7024825364</v>
          </cell>
          <cell r="AZ192">
            <v>5148516.6495022075</v>
          </cell>
          <cell r="BA192">
            <v>5302336.9732964206</v>
          </cell>
          <cell r="BB192" t="e">
            <v>#VALUE!</v>
          </cell>
          <cell r="BC192" t="e">
            <v>#VALUE!</v>
          </cell>
          <cell r="BD192" t="e">
            <v>#VALUE!</v>
          </cell>
          <cell r="BE192" t="e">
            <v>#VALUE!</v>
          </cell>
          <cell r="BF192" t="e">
            <v>#VALUE!</v>
          </cell>
          <cell r="BG192" t="e">
            <v>#VALUE!</v>
          </cell>
          <cell r="BH192" t="e">
            <v>#VALUE!</v>
          </cell>
          <cell r="BI192" t="e">
            <v>#VALUE!</v>
          </cell>
          <cell r="BJ192" t="e">
            <v>#VALUE!</v>
          </cell>
          <cell r="BK192" t="e">
            <v>#VALUE!</v>
          </cell>
          <cell r="BL192" t="e">
            <v>#VALUE!</v>
          </cell>
          <cell r="BM192" t="e">
            <v>#VALUE!</v>
          </cell>
          <cell r="BN192" t="e">
            <v>#VALUE!</v>
          </cell>
          <cell r="BO192" t="e">
            <v>#VALUE!</v>
          </cell>
          <cell r="BP192" t="e">
            <v>#VALUE!</v>
          </cell>
          <cell r="BQ192" t="e">
            <v>#VALUE!</v>
          </cell>
          <cell r="BR192" t="e">
            <v>#VALUE!</v>
          </cell>
          <cell r="BS192" t="e">
            <v>#VALUE!</v>
          </cell>
          <cell r="BT192" t="e">
            <v>#VALUE!</v>
          </cell>
          <cell r="BU192" t="e">
            <v>#VALUE!</v>
          </cell>
          <cell r="BV192" t="e">
            <v>#VALUE!</v>
          </cell>
          <cell r="BW192" t="e">
            <v>#VALUE!</v>
          </cell>
          <cell r="BX192" t="e">
            <v>#VALUE!</v>
          </cell>
          <cell r="BY192" t="e">
            <v>#VALUE!</v>
          </cell>
          <cell r="BZ192" t="e">
            <v>#VALUE!</v>
          </cell>
          <cell r="CA192" t="e">
            <v>#VALUE!</v>
          </cell>
          <cell r="CB192" t="e">
            <v>#VALUE!</v>
          </cell>
          <cell r="CC192" t="e">
            <v>#VALUE!</v>
          </cell>
          <cell r="CD192" t="e">
            <v>#VALUE!</v>
          </cell>
          <cell r="CE192" t="e">
            <v>#VALUE!</v>
          </cell>
          <cell r="CF192" t="e">
            <v>#VALUE!</v>
          </cell>
          <cell r="CG192" t="e">
            <v>#VALUE!</v>
          </cell>
          <cell r="CH192" t="e">
            <v>#VALUE!</v>
          </cell>
          <cell r="CI192" t="e">
            <v>#VALUE!</v>
          </cell>
          <cell r="CJ192" t="e">
            <v>#VALUE!</v>
          </cell>
          <cell r="CK192" t="e">
            <v>#VALUE!</v>
          </cell>
          <cell r="CL192" t="e">
            <v>#VALUE!</v>
          </cell>
          <cell r="CM192" t="e">
            <v>#VALUE!</v>
          </cell>
          <cell r="CN192" t="e">
            <v>#VALUE!</v>
          </cell>
          <cell r="CO192" t="e">
            <v>#VALUE!</v>
          </cell>
          <cell r="CP192" t="e">
            <v>#VALUE!</v>
          </cell>
          <cell r="CQ192" t="e">
            <v>#VALUE!</v>
          </cell>
          <cell r="CR192" t="e">
            <v>#VALUE!</v>
          </cell>
          <cell r="CS192" t="e">
            <v>#VALUE!</v>
          </cell>
          <cell r="CT192" t="e">
            <v>#VALUE!</v>
          </cell>
          <cell r="CU192" t="e">
            <v>#VALUE!</v>
          </cell>
          <cell r="CV192" t="e">
            <v>#VALUE!</v>
          </cell>
          <cell r="CW192" t="e">
            <v>#VALUE!</v>
          </cell>
          <cell r="CX192" t="e">
            <v>#VALUE!</v>
          </cell>
          <cell r="CY192" t="e">
            <v>#VALUE!</v>
          </cell>
          <cell r="CZ192" t="e">
            <v>#VALUE!</v>
          </cell>
          <cell r="DA192" t="e">
            <v>#VALUE!</v>
          </cell>
          <cell r="DB192" t="e">
            <v>#VALUE!</v>
          </cell>
          <cell r="DC192" t="e">
            <v>#VALUE!</v>
          </cell>
          <cell r="DD192" t="e">
            <v>#VALUE!</v>
          </cell>
          <cell r="DE192" t="e">
            <v>#VALUE!</v>
          </cell>
          <cell r="DF192" t="e">
            <v>#VALUE!</v>
          </cell>
          <cell r="DG192" t="e">
            <v>#VALUE!</v>
          </cell>
          <cell r="DH192" t="e">
            <v>#VALUE!</v>
          </cell>
          <cell r="DI192" t="e">
            <v>#VALUE!</v>
          </cell>
          <cell r="DJ192" t="e">
            <v>#VALUE!</v>
          </cell>
          <cell r="DK192" t="e">
            <v>#VALUE!</v>
          </cell>
          <cell r="DL192" t="e">
            <v>#VALUE!</v>
          </cell>
          <cell r="DM192" t="e">
            <v>#VALUE!</v>
          </cell>
        </row>
        <row r="193">
          <cell r="C193" t="str">
            <v>OFK</v>
          </cell>
          <cell r="D193" t="str">
            <v>Folgekosten [F1-F9]</v>
          </cell>
          <cell r="F193" t="str">
            <v>ONK+#F9</v>
          </cell>
          <cell r="O193">
            <v>8485731.4225395918</v>
          </cell>
          <cell r="P193" t="str">
            <v>€</v>
          </cell>
          <cell r="Q193">
            <v>0</v>
          </cell>
          <cell r="R193">
            <v>95956.454960537769</v>
          </cell>
          <cell r="S193">
            <v>192846.42676771374</v>
          </cell>
          <cell r="T193">
            <v>290679.70003835292</v>
          </cell>
          <cell r="U193">
            <v>389466.17777265812</v>
          </cell>
          <cell r="V193">
            <v>489215.88319307321</v>
          </cell>
          <cell r="W193">
            <v>589938.96162123745</v>
          </cell>
          <cell r="X193">
            <v>691645.68239401898</v>
          </cell>
          <cell r="Y193">
            <v>794346.44081961759</v>
          </cell>
          <cell r="Z193">
            <v>898051.76017475908</v>
          </cell>
          <cell r="AA193">
            <v>1006004.9208097396</v>
          </cell>
          <cell r="AB193">
            <v>1111751.453968076</v>
          </cell>
          <cell r="AC193">
            <v>1218534.9063077308</v>
          </cell>
          <cell r="AD193">
            <v>1326366.3338105564</v>
          </cell>
          <cell r="AE193">
            <v>1525695.2773895967</v>
          </cell>
          <cell r="AF193">
            <v>1635656.3798655574</v>
          </cell>
          <cell r="AG193">
            <v>1746699.4662182736</v>
          </cell>
          <cell r="AH193">
            <v>1891339.7921003588</v>
          </cell>
          <cell r="AI193">
            <v>2021500.8524035052</v>
          </cell>
          <cell r="AJ193">
            <v>2135860.2300492432</v>
          </cell>
          <cell r="AK193">
            <v>2361843.6411071103</v>
          </cell>
          <cell r="AL193">
            <v>2478474.0069717248</v>
          </cell>
          <cell r="AM193">
            <v>2746829.9145876989</v>
          </cell>
          <cell r="AN193">
            <v>2865780.8287845743</v>
          </cell>
          <cell r="AO193">
            <v>2985911.0061589484</v>
          </cell>
          <cell r="AP193">
            <v>3586000.4805100188</v>
          </cell>
          <cell r="AQ193">
            <v>3708527.9946576841</v>
          </cell>
          <cell r="AR193">
            <v>3832273.9240488783</v>
          </cell>
          <cell r="AS193">
            <v>4054130.8396600313</v>
          </cell>
          <cell r="AT193">
            <v>4180353.9698889619</v>
          </cell>
          <cell r="AU193">
            <v>4456387.8925863551</v>
          </cell>
          <cell r="AV193">
            <v>4585143.2559539033</v>
          </cell>
          <cell r="AW193">
            <v>4715185.8370458838</v>
          </cell>
          <cell r="AX193">
            <v>4846529.9574535899</v>
          </cell>
          <cell r="AY193">
            <v>5014525.7024825364</v>
          </cell>
          <cell r="AZ193">
            <v>5148516.6495022075</v>
          </cell>
          <cell r="BA193">
            <v>8485731.4225395918</v>
          </cell>
          <cell r="BB193" t="e">
            <v>#VALUE!</v>
          </cell>
          <cell r="BC193" t="e">
            <v>#VALUE!</v>
          </cell>
          <cell r="BD193" t="e">
            <v>#VALUE!</v>
          </cell>
          <cell r="BE193" t="e">
            <v>#VALUE!</v>
          </cell>
          <cell r="BF193" t="e">
            <v>#VALUE!</v>
          </cell>
          <cell r="BG193" t="e">
            <v>#VALUE!</v>
          </cell>
          <cell r="BH193" t="e">
            <v>#VALUE!</v>
          </cell>
          <cell r="BI193" t="e">
            <v>#VALUE!</v>
          </cell>
          <cell r="BJ193" t="e">
            <v>#VALUE!</v>
          </cell>
          <cell r="BK193" t="e">
            <v>#VALUE!</v>
          </cell>
          <cell r="BL193" t="e">
            <v>#VALUE!</v>
          </cell>
          <cell r="BM193" t="e">
            <v>#VALUE!</v>
          </cell>
          <cell r="BN193" t="e">
            <v>#VALUE!</v>
          </cell>
          <cell r="BO193" t="e">
            <v>#VALUE!</v>
          </cell>
          <cell r="BP193" t="e">
            <v>#VALUE!</v>
          </cell>
          <cell r="BQ193" t="e">
            <v>#VALUE!</v>
          </cell>
          <cell r="BR193" t="e">
            <v>#VALUE!</v>
          </cell>
          <cell r="BS193" t="e">
            <v>#VALUE!</v>
          </cell>
          <cell r="BT193" t="e">
            <v>#VALUE!</v>
          </cell>
          <cell r="BU193" t="e">
            <v>#VALUE!</v>
          </cell>
          <cell r="BV193" t="e">
            <v>#VALUE!</v>
          </cell>
          <cell r="BW193" t="e">
            <v>#VALUE!</v>
          </cell>
          <cell r="BX193" t="e">
            <v>#VALUE!</v>
          </cell>
          <cell r="BY193" t="e">
            <v>#VALUE!</v>
          </cell>
          <cell r="BZ193" t="e">
            <v>#VALUE!</v>
          </cell>
          <cell r="CA193" t="e">
            <v>#VALUE!</v>
          </cell>
          <cell r="CB193" t="e">
            <v>#VALUE!</v>
          </cell>
          <cell r="CC193" t="e">
            <v>#VALUE!</v>
          </cell>
          <cell r="CD193" t="e">
            <v>#VALUE!</v>
          </cell>
          <cell r="CE193" t="e">
            <v>#VALUE!</v>
          </cell>
          <cell r="CF193" t="e">
            <v>#VALUE!</v>
          </cell>
          <cell r="CG193" t="e">
            <v>#VALUE!</v>
          </cell>
          <cell r="CH193" t="e">
            <v>#VALUE!</v>
          </cell>
          <cell r="CI193" t="e">
            <v>#VALUE!</v>
          </cell>
          <cell r="CJ193" t="e">
            <v>#VALUE!</v>
          </cell>
          <cell r="CK193" t="e">
            <v>#VALUE!</v>
          </cell>
          <cell r="CL193" t="e">
            <v>#VALUE!</v>
          </cell>
          <cell r="CM193" t="e">
            <v>#VALUE!</v>
          </cell>
          <cell r="CN193" t="e">
            <v>#VALUE!</v>
          </cell>
          <cell r="CO193" t="e">
            <v>#VALUE!</v>
          </cell>
          <cell r="CP193" t="e">
            <v>#VALUE!</v>
          </cell>
          <cell r="CQ193" t="e">
            <v>#VALUE!</v>
          </cell>
          <cell r="CR193" t="e">
            <v>#VALUE!</v>
          </cell>
          <cell r="CS193" t="e">
            <v>#VALUE!</v>
          </cell>
          <cell r="CT193" t="e">
            <v>#VALUE!</v>
          </cell>
          <cell r="CU193" t="e">
            <v>#VALUE!</v>
          </cell>
          <cell r="CV193" t="e">
            <v>#VALUE!</v>
          </cell>
          <cell r="CW193" t="e">
            <v>#VALUE!</v>
          </cell>
          <cell r="CX193" t="e">
            <v>#VALUE!</v>
          </cell>
          <cell r="CY193" t="e">
            <v>#VALUE!</v>
          </cell>
          <cell r="CZ193" t="e">
            <v>#VALUE!</v>
          </cell>
          <cell r="DA193" t="e">
            <v>#VALUE!</v>
          </cell>
          <cell r="DB193" t="e">
            <v>#VALUE!</v>
          </cell>
          <cell r="DC193" t="e">
            <v>#VALUE!</v>
          </cell>
          <cell r="DD193" t="e">
            <v>#VALUE!</v>
          </cell>
          <cell r="DE193" t="e">
            <v>#VALUE!</v>
          </cell>
          <cell r="DF193" t="e">
            <v>#VALUE!</v>
          </cell>
          <cell r="DG193" t="e">
            <v>#VALUE!</v>
          </cell>
          <cell r="DH193" t="e">
            <v>#VALUE!</v>
          </cell>
          <cell r="DI193" t="e">
            <v>#VALUE!</v>
          </cell>
          <cell r="DJ193" t="e">
            <v>#VALUE!</v>
          </cell>
          <cell r="DK193" t="e">
            <v>#VALUE!</v>
          </cell>
          <cell r="DL193" t="e">
            <v>#VALUE!</v>
          </cell>
          <cell r="DM193" t="e">
            <v>#VALUE!</v>
          </cell>
        </row>
        <row r="194">
          <cell r="C194" t="str">
            <v>LZK</v>
          </cell>
          <cell r="D194" t="str">
            <v>Lebenszykluskosten [E1-F9]</v>
          </cell>
          <cell r="F194" t="str">
            <v>EK+OFK</v>
          </cell>
          <cell r="O194">
            <v>9948080.3525395915</v>
          </cell>
          <cell r="P194" t="str">
            <v>€</v>
          </cell>
          <cell r="Q194">
            <v>0</v>
          </cell>
          <cell r="R194">
            <v>95956.454960537769</v>
          </cell>
          <cell r="S194">
            <v>192846.42676771374</v>
          </cell>
          <cell r="T194">
            <v>290679.70003835292</v>
          </cell>
          <cell r="U194">
            <v>389466.17777265812</v>
          </cell>
          <cell r="V194">
            <v>489215.88319307321</v>
          </cell>
          <cell r="W194">
            <v>589938.96162123745</v>
          </cell>
          <cell r="X194">
            <v>691645.68239401898</v>
          </cell>
          <cell r="Y194">
            <v>794346.44081961759</v>
          </cell>
          <cell r="Z194">
            <v>898051.76017475908</v>
          </cell>
          <cell r="AA194">
            <v>1006004.9208097396</v>
          </cell>
          <cell r="AB194">
            <v>1111751.453968076</v>
          </cell>
          <cell r="AC194">
            <v>1218534.9063077308</v>
          </cell>
          <cell r="AD194">
            <v>1326366.3338105564</v>
          </cell>
          <cell r="AE194">
            <v>1525695.2773895967</v>
          </cell>
          <cell r="AF194">
            <v>1635656.3798655574</v>
          </cell>
          <cell r="AG194">
            <v>1746699.4662182736</v>
          </cell>
          <cell r="AH194">
            <v>1891339.7921003588</v>
          </cell>
          <cell r="AI194">
            <v>2021500.8524035052</v>
          </cell>
          <cell r="AJ194">
            <v>2135860.2300492432</v>
          </cell>
          <cell r="AK194">
            <v>2361843.6411071103</v>
          </cell>
          <cell r="AL194">
            <v>2478474.0069717248</v>
          </cell>
          <cell r="AM194">
            <v>2746829.9145876989</v>
          </cell>
          <cell r="AN194">
            <v>2865780.8287845743</v>
          </cell>
          <cell r="AO194">
            <v>2985911.0061589484</v>
          </cell>
          <cell r="AP194">
            <v>3586000.4805100188</v>
          </cell>
          <cell r="AQ194">
            <v>3708527.9946576841</v>
          </cell>
          <cell r="AR194">
            <v>3832273.9240488783</v>
          </cell>
          <cell r="AS194">
            <v>4054130.8396600313</v>
          </cell>
          <cell r="AT194">
            <v>4180353.9698889619</v>
          </cell>
          <cell r="AU194">
            <v>4456387.8925863551</v>
          </cell>
          <cell r="AV194">
            <v>4585143.2559539033</v>
          </cell>
          <cell r="AW194">
            <v>4715185.8370458838</v>
          </cell>
          <cell r="AX194">
            <v>4846529.9574535899</v>
          </cell>
          <cell r="AY194">
            <v>5014525.7024825364</v>
          </cell>
          <cell r="AZ194">
            <v>5148516.6495022075</v>
          </cell>
          <cell r="BA194">
            <v>8485731.4225395918</v>
          </cell>
          <cell r="BB194" t="e">
            <v>#VALUE!</v>
          </cell>
          <cell r="BC194" t="e">
            <v>#VALUE!</v>
          </cell>
          <cell r="BD194" t="e">
            <v>#VALUE!</v>
          </cell>
          <cell r="BE194" t="e">
            <v>#VALUE!</v>
          </cell>
          <cell r="BF194" t="e">
            <v>#VALUE!</v>
          </cell>
          <cell r="BG194" t="e">
            <v>#VALUE!</v>
          </cell>
          <cell r="BH194" t="e">
            <v>#VALUE!</v>
          </cell>
          <cell r="BI194" t="e">
            <v>#VALUE!</v>
          </cell>
          <cell r="BJ194" t="e">
            <v>#VALUE!</v>
          </cell>
          <cell r="BK194" t="e">
            <v>#VALUE!</v>
          </cell>
          <cell r="BL194" t="e">
            <v>#VALUE!</v>
          </cell>
          <cell r="BM194" t="e">
            <v>#VALUE!</v>
          </cell>
          <cell r="BN194" t="e">
            <v>#VALUE!</v>
          </cell>
          <cell r="BO194" t="e">
            <v>#VALUE!</v>
          </cell>
          <cell r="BP194" t="e">
            <v>#VALUE!</v>
          </cell>
          <cell r="BQ194" t="e">
            <v>#VALUE!</v>
          </cell>
          <cell r="BR194" t="e">
            <v>#VALUE!</v>
          </cell>
          <cell r="BS194" t="e">
            <v>#VALUE!</v>
          </cell>
          <cell r="BT194" t="e">
            <v>#VALUE!</v>
          </cell>
          <cell r="BU194" t="e">
            <v>#VALUE!</v>
          </cell>
          <cell r="BV194" t="e">
            <v>#VALUE!</v>
          </cell>
          <cell r="BW194" t="e">
            <v>#VALUE!</v>
          </cell>
          <cell r="BX194" t="e">
            <v>#VALUE!</v>
          </cell>
          <cell r="BY194" t="e">
            <v>#VALUE!</v>
          </cell>
          <cell r="BZ194" t="e">
            <v>#VALUE!</v>
          </cell>
          <cell r="CA194" t="e">
            <v>#VALUE!</v>
          </cell>
          <cell r="CB194" t="e">
            <v>#VALUE!</v>
          </cell>
          <cell r="CC194" t="e">
            <v>#VALUE!</v>
          </cell>
          <cell r="CD194" t="e">
            <v>#VALUE!</v>
          </cell>
          <cell r="CE194" t="e">
            <v>#VALUE!</v>
          </cell>
          <cell r="CF194" t="e">
            <v>#VALUE!</v>
          </cell>
          <cell r="CG194" t="e">
            <v>#VALUE!</v>
          </cell>
          <cell r="CH194" t="e">
            <v>#VALUE!</v>
          </cell>
          <cell r="CI194" t="e">
            <v>#VALUE!</v>
          </cell>
          <cell r="CJ194" t="e">
            <v>#VALUE!</v>
          </cell>
          <cell r="CK194" t="e">
            <v>#VALUE!</v>
          </cell>
          <cell r="CL194" t="e">
            <v>#VALUE!</v>
          </cell>
          <cell r="CM194" t="e">
            <v>#VALUE!</v>
          </cell>
          <cell r="CN194" t="e">
            <v>#VALUE!</v>
          </cell>
          <cell r="CO194" t="e">
            <v>#VALUE!</v>
          </cell>
          <cell r="CP194" t="e">
            <v>#VALUE!</v>
          </cell>
          <cell r="CQ194" t="e">
            <v>#VALUE!</v>
          </cell>
          <cell r="CR194" t="e">
            <v>#VALUE!</v>
          </cell>
          <cell r="CS194" t="e">
            <v>#VALUE!</v>
          </cell>
          <cell r="CT194" t="e">
            <v>#VALUE!</v>
          </cell>
          <cell r="CU194" t="e">
            <v>#VALUE!</v>
          </cell>
          <cell r="CV194" t="e">
            <v>#VALUE!</v>
          </cell>
          <cell r="CW194" t="e">
            <v>#VALUE!</v>
          </cell>
          <cell r="CX194" t="e">
            <v>#VALUE!</v>
          </cell>
          <cell r="CY194" t="e">
            <v>#VALUE!</v>
          </cell>
          <cell r="CZ194" t="e">
            <v>#VALUE!</v>
          </cell>
          <cell r="DA194" t="e">
            <v>#VALUE!</v>
          </cell>
          <cell r="DB194" t="e">
            <v>#VALUE!</v>
          </cell>
          <cell r="DC194" t="e">
            <v>#VALUE!</v>
          </cell>
          <cell r="DD194" t="e">
            <v>#VALUE!</v>
          </cell>
          <cell r="DE194" t="e">
            <v>#VALUE!</v>
          </cell>
          <cell r="DF194" t="e">
            <v>#VALUE!</v>
          </cell>
          <cell r="DG194" t="e">
            <v>#VALUE!</v>
          </cell>
          <cell r="DH194" t="e">
            <v>#VALUE!</v>
          </cell>
          <cell r="DI194" t="e">
            <v>#VALUE!</v>
          </cell>
          <cell r="DJ194" t="e">
            <v>#VALUE!</v>
          </cell>
          <cell r="DK194" t="e">
            <v>#VALUE!</v>
          </cell>
          <cell r="DL194" t="e">
            <v>#VALUE!</v>
          </cell>
          <cell r="DM194" t="e">
            <v>#VALUE!</v>
          </cell>
        </row>
      </sheetData>
      <sheetData sheetId="11">
        <row r="2">
          <cell r="D2" t="str">
            <v>Kostenkennwerte Objektteile zur Ermittlung der Errichtungsk. (BKI)</v>
          </cell>
          <cell r="G2" t="str">
            <v>Zurück zu "Errichtung"</v>
          </cell>
        </row>
        <row r="3">
          <cell r="D3" t="str">
            <v>Ergebnisse als überschreibbare Rechenwerte ins Blatt "Errichtung" übernehmen?</v>
          </cell>
          <cell r="G3" t="str">
            <v>nein</v>
          </cell>
          <cell r="H3" t="str">
            <v>nein</v>
          </cell>
          <cell r="I3" t="str">
            <v>Bitte auswählen</v>
          </cell>
        </row>
        <row r="4">
          <cell r="C4" t="str">
            <v>K_BAUGRV</v>
          </cell>
          <cell r="D4" t="str">
            <v>Baugrube Kosten/m³</v>
          </cell>
          <cell r="G4">
            <v>27.599999999999998</v>
          </cell>
          <cell r="H4">
            <v>27.599999999999998</v>
          </cell>
        </row>
        <row r="5">
          <cell r="C5" t="str">
            <v>K_GRÜNDF</v>
          </cell>
          <cell r="D5" t="str">
            <v>Gründung Kosten/m²</v>
          </cell>
          <cell r="G5">
            <v>303.59999999999997</v>
          </cell>
          <cell r="H5">
            <v>303.59999999999997</v>
          </cell>
        </row>
        <row r="6">
          <cell r="C6" t="str">
            <v>K_AWF</v>
          </cell>
          <cell r="D6" t="str">
            <v>Außenwand Kosten/m²</v>
          </cell>
          <cell r="G6">
            <v>530.4</v>
          </cell>
          <cell r="H6">
            <v>530.4</v>
          </cell>
        </row>
        <row r="7">
          <cell r="C7" t="str">
            <v>F_AWFROH</v>
          </cell>
          <cell r="D7" t="str">
            <v>Anteil der Außenwand-Kosten für Rohbau Wand in %</v>
          </cell>
          <cell r="G7">
            <v>5</v>
          </cell>
          <cell r="H7">
            <v>5</v>
          </cell>
        </row>
        <row r="8">
          <cell r="C8" t="str">
            <v>F_AWSTÜTZ</v>
          </cell>
          <cell r="D8" t="str">
            <v>Anteil der Außenwand-Kosten für Rohbau Stützen in %</v>
          </cell>
          <cell r="G8">
            <v>30</v>
          </cell>
          <cell r="H8">
            <v>30</v>
          </cell>
        </row>
        <row r="9">
          <cell r="C9" t="str">
            <v>F_AWFAUS</v>
          </cell>
          <cell r="D9" t="str">
            <v>Anteil der Außenwand-Kosten fürAusbau in %</v>
          </cell>
          <cell r="G9">
            <v>65</v>
          </cell>
          <cell r="H9">
            <v>65</v>
          </cell>
        </row>
        <row r="10">
          <cell r="C10" t="str">
            <v>K_INWF</v>
          </cell>
          <cell r="D10" t="str">
            <v>Innenwand Kosten/m²</v>
          </cell>
          <cell r="G10">
            <v>301.2</v>
          </cell>
          <cell r="H10">
            <v>301.2</v>
          </cell>
        </row>
        <row r="11">
          <cell r="C11" t="str">
            <v>F_INWFROH</v>
          </cell>
          <cell r="D11" t="str">
            <v>Anteil Innenwand-Kosten für Rohbau Wand in %</v>
          </cell>
          <cell r="G11">
            <v>7</v>
          </cell>
          <cell r="H11">
            <v>7</v>
          </cell>
        </row>
        <row r="12">
          <cell r="C12" t="str">
            <v>F_INWSTÜTZ</v>
          </cell>
          <cell r="D12" t="str">
            <v>Anteil der Innenwandkosten für Rohbau Stützen in %</v>
          </cell>
          <cell r="G12">
            <v>23</v>
          </cell>
          <cell r="H12">
            <v>23</v>
          </cell>
        </row>
        <row r="13">
          <cell r="C13" t="str">
            <v>F_INWFAUS</v>
          </cell>
          <cell r="D13" t="str">
            <v>Anteil der Innenwandkosten für Ausbau in %</v>
          </cell>
          <cell r="G13">
            <v>70</v>
          </cell>
          <cell r="H13">
            <v>70</v>
          </cell>
        </row>
        <row r="14">
          <cell r="C14" t="str">
            <v>K_DECKF</v>
          </cell>
          <cell r="D14" t="str">
            <v>Decke Kosten/m²</v>
          </cell>
          <cell r="G14">
            <v>349.2</v>
          </cell>
          <cell r="H14">
            <v>349.2</v>
          </cell>
        </row>
        <row r="15">
          <cell r="C15" t="str">
            <v>F_DECKFROH</v>
          </cell>
          <cell r="D15" t="str">
            <v>Anteil Decken-Kosten für Rohbau in %</v>
          </cell>
          <cell r="G15">
            <v>55</v>
          </cell>
          <cell r="H15">
            <v>55</v>
          </cell>
        </row>
        <row r="16">
          <cell r="C16" t="str">
            <v>F_DECKFAUS</v>
          </cell>
          <cell r="D16" t="str">
            <v>Anteil Decken-Kosten für Ausbau in %</v>
          </cell>
          <cell r="G16">
            <v>45</v>
          </cell>
          <cell r="H16">
            <v>45</v>
          </cell>
        </row>
        <row r="17">
          <cell r="C17" t="str">
            <v>K_DACHF</v>
          </cell>
          <cell r="D17" t="str">
            <v>Dach Kosten/m²</v>
          </cell>
          <cell r="G17">
            <v>351.59999999999997</v>
          </cell>
          <cell r="H17">
            <v>351.59999999999997</v>
          </cell>
        </row>
        <row r="18">
          <cell r="C18" t="str">
            <v>F_DACHFROH</v>
          </cell>
          <cell r="D18" t="str">
            <v>Anteil Dach-Kosten für Rohbau in %</v>
          </cell>
          <cell r="G18">
            <v>10</v>
          </cell>
          <cell r="H18">
            <v>10</v>
          </cell>
        </row>
        <row r="19">
          <cell r="C19" t="str">
            <v>F_DACHFAUS</v>
          </cell>
          <cell r="D19" t="str">
            <v>Anteil Dach-Kosten für Ausbau in %</v>
          </cell>
          <cell r="G19">
            <v>90</v>
          </cell>
          <cell r="H19">
            <v>90</v>
          </cell>
        </row>
        <row r="20">
          <cell r="C20" t="str">
            <v>K_BKEINB</v>
          </cell>
          <cell r="D20" t="str">
            <v>Baukonstruktive Einbauten Kosten /m² BGF</v>
          </cell>
          <cell r="G20">
            <v>36</v>
          </cell>
          <cell r="H20">
            <v>36</v>
          </cell>
        </row>
        <row r="21">
          <cell r="C21" t="str">
            <v>K_SBK</v>
          </cell>
          <cell r="D21" t="str">
            <v>Sonstige Baukonstruktionen  Kosten /m² BGF</v>
          </cell>
          <cell r="G21">
            <v>55.199999999999996</v>
          </cell>
          <cell r="H21">
            <v>55.199999999999996</v>
          </cell>
        </row>
        <row r="22">
          <cell r="C22" t="str">
            <v>K_WASGAS</v>
          </cell>
          <cell r="D22" t="str">
            <v>Abwasser, Wasser, Gas Kosten /m² BGF</v>
          </cell>
          <cell r="G22">
            <v>62.4</v>
          </cell>
          <cell r="H22">
            <v>62.4</v>
          </cell>
        </row>
        <row r="23">
          <cell r="C23" t="str">
            <v>K_WÄRMEANL</v>
          </cell>
          <cell r="D23" t="str">
            <v>Wärmeversorgungsanlagen Kosten /m² BGF</v>
          </cell>
          <cell r="G23">
            <v>84</v>
          </cell>
          <cell r="H23">
            <v>84</v>
          </cell>
        </row>
        <row r="24">
          <cell r="C24" t="str">
            <v>K_LUFTANL</v>
          </cell>
          <cell r="D24" t="str">
            <v>Lufttechnische Anlagen  Kosten /m² BGF</v>
          </cell>
          <cell r="G24">
            <v>52.8</v>
          </cell>
          <cell r="H24">
            <v>52.8</v>
          </cell>
        </row>
        <row r="25">
          <cell r="C25" t="str">
            <v>K_SSANL</v>
          </cell>
          <cell r="D25" t="str">
            <v>Starkstromanlagen Kosten /m² BGF</v>
          </cell>
          <cell r="G25">
            <v>128.4</v>
          </cell>
          <cell r="H25">
            <v>128.4</v>
          </cell>
        </row>
        <row r="26">
          <cell r="C26" t="str">
            <v>K_PVDACH</v>
          </cell>
          <cell r="D26" t="str">
            <v>PV-Anlage Dach</v>
          </cell>
          <cell r="G26">
            <v>250</v>
          </cell>
          <cell r="H26">
            <v>250</v>
          </cell>
        </row>
        <row r="27">
          <cell r="C27" t="str">
            <v>K_PVFASS</v>
          </cell>
          <cell r="D27" t="str">
            <v>PV-Anlage Fassade</v>
          </cell>
          <cell r="G27">
            <v>300</v>
          </cell>
          <cell r="H27">
            <v>300</v>
          </cell>
        </row>
        <row r="28">
          <cell r="C28" t="str">
            <v>K_FMANL</v>
          </cell>
          <cell r="D28" t="str">
            <v>Fernmeldeanlagen Kosten /m² BGF</v>
          </cell>
          <cell r="G28">
            <v>45.6</v>
          </cell>
          <cell r="H28">
            <v>45.6</v>
          </cell>
        </row>
        <row r="29">
          <cell r="C29" t="str">
            <v>K_FÖRDANL</v>
          </cell>
          <cell r="D29" t="str">
            <v>Förderanlagen Kosten /m² BGF</v>
          </cell>
          <cell r="G29">
            <v>31.2</v>
          </cell>
          <cell r="H29">
            <v>31.2</v>
          </cell>
        </row>
        <row r="30">
          <cell r="C30" t="str">
            <v>K_NSPANL</v>
          </cell>
          <cell r="D30" t="str">
            <v>Nutzungsspezifische Anlagen Kosten /m² BGF</v>
          </cell>
          <cell r="G30">
            <v>21.599999999999998</v>
          </cell>
          <cell r="H30">
            <v>21.599999999999998</v>
          </cell>
        </row>
        <row r="31">
          <cell r="C31" t="str">
            <v>K_GEBAUTOANL</v>
          </cell>
          <cell r="D31" t="str">
            <v>Gebäudeautomation Kosten /m² BGF</v>
          </cell>
          <cell r="G31">
            <v>307.2</v>
          </cell>
          <cell r="H31">
            <v>307.2</v>
          </cell>
        </row>
        <row r="32">
          <cell r="C32" t="str">
            <v>K_STANL</v>
          </cell>
          <cell r="D32" t="str">
            <v>Sonstige Technische Anlagen Kosten /m² BGF</v>
          </cell>
          <cell r="G32">
            <v>12</v>
          </cell>
          <cell r="H32">
            <v>12</v>
          </cell>
        </row>
        <row r="33">
          <cell r="C33" t="str">
            <v>F_EINR</v>
          </cell>
          <cell r="D33" t="str">
            <v>Sonstige Einrichtung in % der Bauwerkskosten [E2-E4]</v>
          </cell>
          <cell r="G33">
            <v>20</v>
          </cell>
          <cell r="H33">
            <v>20</v>
          </cell>
        </row>
        <row r="34">
          <cell r="C34" t="str">
            <v>F_AUSSENAN</v>
          </cell>
          <cell r="D34" t="str">
            <v>Sonstige Außenanlagen in % der Bauwerkskosten [E2-E4]</v>
          </cell>
          <cell r="G34">
            <v>3</v>
          </cell>
          <cell r="H34">
            <v>3</v>
          </cell>
        </row>
        <row r="35">
          <cell r="C35" t="str">
            <v>F_PLAN</v>
          </cell>
          <cell r="D35" t="str">
            <v>Sonstige Planungsleistungen in % der Bauwerkskosten [E2-E4]</v>
          </cell>
          <cell r="G35">
            <v>20</v>
          </cell>
          <cell r="H35">
            <v>20</v>
          </cell>
        </row>
        <row r="36">
          <cell r="C36" t="str">
            <v>F_NEBEN</v>
          </cell>
          <cell r="D36" t="str">
            <v>Sonstige Nebenleistungen in % der Bauwerkskosten [E2-E4]</v>
          </cell>
          <cell r="G36">
            <v>2</v>
          </cell>
          <cell r="H36">
            <v>2</v>
          </cell>
        </row>
        <row r="37">
          <cell r="C37" t="str">
            <v>F_RESERVE</v>
          </cell>
          <cell r="D37" t="str">
            <v>Sonstige Reservemittel in % der Bauwerkskosten [E2-E4]</v>
          </cell>
          <cell r="G37">
            <v>13</v>
          </cell>
          <cell r="H37">
            <v>13</v>
          </cell>
        </row>
        <row r="38">
          <cell r="D38" t="str">
            <v>Kostenkennwerte Objektteile zur Ermittlung der Errichtungsk. (BKI)</v>
          </cell>
          <cell r="G38" t="str">
            <v>Zurück zu "Errichtung"</v>
          </cell>
        </row>
        <row r="56">
          <cell r="D56" t="str">
            <v>Parameter zur Abschätzung der Flächenkennwerte</v>
          </cell>
          <cell r="G56" t="str">
            <v>Zurück zu "Objektkenndaten"</v>
          </cell>
        </row>
        <row r="57">
          <cell r="D57" t="str">
            <v>Ergebnisse als überschreibbare Rechenwerte ins Blatt "Objektkenndaten" übernehmen?</v>
          </cell>
          <cell r="G57" t="str">
            <v>nein</v>
          </cell>
          <cell r="H57" t="str">
            <v>nein</v>
          </cell>
          <cell r="I57" t="str">
            <v>Bitte auswählen</v>
          </cell>
        </row>
        <row r="58">
          <cell r="C58" t="str">
            <v>F_GLASF</v>
          </cell>
          <cell r="D58" t="str">
            <v>Faktor Anteil Fenster/Glasflächen außen an Außenwandfläche</v>
          </cell>
          <cell r="G58">
            <v>0.1</v>
          </cell>
          <cell r="H58">
            <v>0.1</v>
          </cell>
        </row>
        <row r="59">
          <cell r="C59" t="str">
            <v>F_GLASFab</v>
          </cell>
          <cell r="D59" t="str">
            <v>Faktor Anteil Fenster/Glasflächen außen mit Arbeitsbühne</v>
          </cell>
          <cell r="G59">
            <v>0.6</v>
          </cell>
          <cell r="H59">
            <v>0.6</v>
          </cell>
        </row>
        <row r="60">
          <cell r="C60" t="str">
            <v>F_GLASFF</v>
          </cell>
          <cell r="D60" t="str">
            <v>Faktor Anteil Glasfassadenfläche außen an Außenwandfläche</v>
          </cell>
          <cell r="G60">
            <v>0.7</v>
          </cell>
          <cell r="H60">
            <v>0.7</v>
          </cell>
        </row>
        <row r="61">
          <cell r="C61" t="str">
            <v>F_GLASFFab</v>
          </cell>
          <cell r="D61" t="str">
            <v>Faktor Anteil Glasfassadenflächen außen mit Arbeitsbühne</v>
          </cell>
          <cell r="G61">
            <v>0.6</v>
          </cell>
          <cell r="H61">
            <v>0.6</v>
          </cell>
        </row>
        <row r="62">
          <cell r="C62" t="str">
            <v>F_IGLASF</v>
          </cell>
          <cell r="D62" t="str">
            <v>Faktor Anteil Glasflächen innen an Außenwandfläche</v>
          </cell>
          <cell r="G62">
            <v>0.7</v>
          </cell>
          <cell r="H62">
            <v>0.7</v>
          </cell>
        </row>
        <row r="63">
          <cell r="C63" t="str">
            <v>F_IGLASFab</v>
          </cell>
          <cell r="D63" t="str">
            <v>Faktor Anteil Glasflächen innen mit Arbeitsbühne</v>
          </cell>
          <cell r="G63">
            <v>0.2</v>
          </cell>
          <cell r="H63">
            <v>0.2</v>
          </cell>
        </row>
        <row r="64">
          <cell r="C64" t="str">
            <v>F_JALF</v>
          </cell>
          <cell r="D64" t="str">
            <v>Faktor Anteil Jalousienflächen an Innenglasflächen</v>
          </cell>
          <cell r="G64">
            <v>1</v>
          </cell>
          <cell r="H64">
            <v>1</v>
          </cell>
        </row>
        <row r="65">
          <cell r="C65" t="str">
            <v>F_JALFab</v>
          </cell>
          <cell r="D65" t="str">
            <v>Faktor Anteil Jalousienflächen mit Arbeitsbühne</v>
          </cell>
          <cell r="G65">
            <v>0.2</v>
          </cell>
          <cell r="H65">
            <v>0.2</v>
          </cell>
        </row>
        <row r="66">
          <cell r="C66" t="str">
            <v>F_GANGF</v>
          </cell>
          <cell r="D66" t="str">
            <v>Faktor Anteil Gangflächen an Nebenfläche</v>
          </cell>
          <cell r="E66" t="str">
            <v>Nebenfläche = (NGF-NF)</v>
          </cell>
          <cell r="G66">
            <v>0.6</v>
          </cell>
          <cell r="H66">
            <v>0.6</v>
          </cell>
        </row>
        <row r="67">
          <cell r="C67" t="str">
            <v>F_STIEGF</v>
          </cell>
          <cell r="D67" t="str">
            <v>Faktor Anteil Stiegenflächen an Nebenfläche</v>
          </cell>
          <cell r="E67" t="str">
            <v>Nebenfläche = (NGF-NF)</v>
          </cell>
          <cell r="G67">
            <v>0.1</v>
          </cell>
          <cell r="H67">
            <v>0.1</v>
          </cell>
        </row>
        <row r="68">
          <cell r="C68" t="str">
            <v>F_GARAF</v>
          </cell>
          <cell r="D68" t="str">
            <v>Faktor Anteil Garagenflächen an Nebenfläche</v>
          </cell>
          <cell r="E68" t="str">
            <v>Nebenfläche = (NGF-NF)</v>
          </cell>
          <cell r="G68">
            <v>0.2</v>
          </cell>
          <cell r="H68">
            <v>0.2</v>
          </cell>
        </row>
        <row r="69">
          <cell r="C69" t="str">
            <v>F_NEBF</v>
          </cell>
          <cell r="D69" t="str">
            <v>Faktor Anteil Nebenraumflächen an Nebenfläche</v>
          </cell>
          <cell r="E69" t="str">
            <v>Nebenfläche = (NGF-NF)</v>
          </cell>
          <cell r="G69">
            <v>0.1</v>
          </cell>
          <cell r="H69">
            <v>0.1</v>
          </cell>
        </row>
        <row r="70">
          <cell r="C70" t="str">
            <v>F_MALFw</v>
          </cell>
          <cell r="D70" t="str">
            <v>Faktor Anteil Ausmalflächen Wände an Innenwandfläche</v>
          </cell>
          <cell r="G70">
            <v>2</v>
          </cell>
          <cell r="H70">
            <v>2</v>
          </cell>
        </row>
        <row r="71">
          <cell r="C71" t="str">
            <v>F_MALFd</v>
          </cell>
          <cell r="D71" t="str">
            <v>Faktor Anteil Ausmalflächen Decken an Deckenfläche</v>
          </cell>
          <cell r="G71">
            <v>0</v>
          </cell>
          <cell r="H71">
            <v>1</v>
          </cell>
          <cell r="I71">
            <v>0</v>
          </cell>
        </row>
        <row r="72">
          <cell r="D72" t="str">
            <v>Parameter zur Abschätzung der Flächenkennwerte</v>
          </cell>
          <cell r="G72" t="str">
            <v>Zurück zu "Objektkenndaten"</v>
          </cell>
        </row>
        <row r="108">
          <cell r="D108" t="str">
            <v>Parameter zur Abschätzung der Flächenkennwerte für Solarerträge</v>
          </cell>
          <cell r="G108" t="str">
            <v>Zurück zu "Objektkenndaten"</v>
          </cell>
        </row>
        <row r="109">
          <cell r="D109" t="str">
            <v>Ergebnisse als überschreibbare Rechenwerte ins Blatt "Objektkenndaten" übernehmen?</v>
          </cell>
          <cell r="G109" t="str">
            <v>nein</v>
          </cell>
          <cell r="H109" t="str">
            <v>nein</v>
          </cell>
          <cell r="I109" t="str">
            <v>Bitte auswählen</v>
          </cell>
        </row>
        <row r="110">
          <cell r="C110" t="str">
            <v>F_PVDE</v>
          </cell>
          <cell r="D110" t="str">
            <v>Faktor Anteil für PV und Solaranlage nutzbare Flächen an Dachfläche (Einspeisung)</v>
          </cell>
          <cell r="G110">
            <v>0.4</v>
          </cell>
          <cell r="H110">
            <v>0.4</v>
          </cell>
          <cell r="I110">
            <v>0.4</v>
          </cell>
        </row>
        <row r="111">
          <cell r="C111" t="str">
            <v>F_PVF</v>
          </cell>
          <cell r="D111" t="str">
            <v>Faktor Anteil für PV und Solaranlage nutzbare Flächen an Fassadenfläche (Einspeisung)</v>
          </cell>
          <cell r="G111">
            <v>0.2</v>
          </cell>
          <cell r="H111">
            <v>0.2</v>
          </cell>
          <cell r="I111">
            <v>0.2</v>
          </cell>
        </row>
      </sheetData>
      <sheetData sheetId="12">
        <row r="3">
          <cell r="C3" t="str">
            <v>PBAU</v>
          </cell>
          <cell r="D3" t="str">
            <v>Preissteigerung Bau pBau</v>
          </cell>
          <cell r="G3">
            <v>3.3</v>
          </cell>
          <cell r="H3">
            <v>3.3</v>
          </cell>
        </row>
        <row r="4">
          <cell r="C4" t="str">
            <v>PTECHNIK</v>
          </cell>
          <cell r="D4" t="str">
            <v>Preissteigerung Technik pTechnik</v>
          </cell>
          <cell r="G4">
            <v>2</v>
          </cell>
          <cell r="H4">
            <v>2</v>
          </cell>
        </row>
        <row r="5">
          <cell r="C5" t="str">
            <v>PALLG</v>
          </cell>
          <cell r="D5" t="str">
            <v>Preissteigerung Verbrauchspreise pAllg</v>
          </cell>
          <cell r="E5" t="str">
            <v>siehe auch http://www.statistik.at/</v>
          </cell>
          <cell r="G5">
            <v>2.5</v>
          </cell>
          <cell r="H5">
            <v>2.5</v>
          </cell>
        </row>
        <row r="6">
          <cell r="C6" t="str">
            <v>PENERG</v>
          </cell>
          <cell r="D6" t="str">
            <v>Preissteigerung pEnergie</v>
          </cell>
          <cell r="E6" t="str">
            <v>siehe auch http://www.statistik.at/</v>
          </cell>
          <cell r="G6">
            <v>4.5</v>
          </cell>
          <cell r="H6">
            <v>4.5</v>
          </cell>
        </row>
        <row r="7">
          <cell r="C7" t="str">
            <v>PLOHN</v>
          </cell>
          <cell r="D7" t="str">
            <v>Preissteigerung Lohnintensiv pLohn</v>
          </cell>
          <cell r="E7" t="str">
            <v>siehe auch http://www.statistik.at/</v>
          </cell>
          <cell r="G7">
            <v>2.5</v>
          </cell>
          <cell r="H7">
            <v>2.5</v>
          </cell>
        </row>
        <row r="8">
          <cell r="C8" t="str">
            <v>R</v>
          </cell>
          <cell r="D8" t="str">
            <v>Verzinsung r</v>
          </cell>
          <cell r="E8" t="str">
            <v xml:space="preserve">als Orientierung für diesen Wert dient die Sekundärmarktrendite </v>
          </cell>
          <cell r="G8">
            <v>1.5</v>
          </cell>
          <cell r="H8">
            <v>1.5</v>
          </cell>
        </row>
        <row r="9">
          <cell r="G9" t="str">
            <v>zurück zu "Nutzung und Betrieb"</v>
          </cell>
        </row>
        <row r="50">
          <cell r="D50" t="str">
            <v>Umsatzsteuersätze für</v>
          </cell>
          <cell r="G50" t="str">
            <v>zurück zu "Allgemeine Angaben"</v>
          </cell>
        </row>
        <row r="51">
          <cell r="C51" t="str">
            <v>USTERR</v>
          </cell>
          <cell r="D51" t="str">
            <v>Errichtungskosten und Kostenkennwerte</v>
          </cell>
          <cell r="G51">
            <v>0.2</v>
          </cell>
          <cell r="H51">
            <v>0.2</v>
          </cell>
        </row>
        <row r="52">
          <cell r="C52" t="str">
            <v>USTABBR</v>
          </cell>
          <cell r="D52" t="str">
            <v>Abbruch- und Entsorgungskosten</v>
          </cell>
          <cell r="G52">
            <v>0.2</v>
          </cell>
          <cell r="H52">
            <v>0.2</v>
          </cell>
        </row>
        <row r="53">
          <cell r="C53" t="str">
            <v>USTENERG</v>
          </cell>
          <cell r="D53" t="str">
            <v>Tarife Energieversorgung</v>
          </cell>
          <cell r="E53" t="str">
            <v>siehe auch http://www.statistik.at/</v>
          </cell>
          <cell r="G53">
            <v>0.2</v>
          </cell>
          <cell r="H53">
            <v>0.2</v>
          </cell>
        </row>
        <row r="54">
          <cell r="C54" t="str">
            <v>USTWASS</v>
          </cell>
          <cell r="D54" t="str">
            <v>Tarife Wasser und Abwasser</v>
          </cell>
          <cell r="E54" t="str">
            <v>siehe auch http://www.statistik.at/</v>
          </cell>
          <cell r="G54">
            <v>0</v>
          </cell>
          <cell r="H54">
            <v>0</v>
          </cell>
        </row>
        <row r="55">
          <cell r="C55" t="str">
            <v>USTMÜLL</v>
          </cell>
          <cell r="D55" t="str">
            <v>Tarife Müllentsorgung</v>
          </cell>
          <cell r="E55" t="str">
            <v>siehe auch http://www.statistik.at/</v>
          </cell>
          <cell r="G55">
            <v>0</v>
          </cell>
          <cell r="H55">
            <v>0</v>
          </cell>
        </row>
        <row r="56">
          <cell r="C56" t="str">
            <v>USTDL</v>
          </cell>
          <cell r="D56" t="str">
            <v>Dienstleistungen</v>
          </cell>
          <cell r="E56" t="str">
            <v xml:space="preserve">als Orientierung für diesen Wert dient die Sekundärmarktrendite </v>
          </cell>
          <cell r="G56">
            <v>0.2</v>
          </cell>
          <cell r="H56">
            <v>0.2</v>
          </cell>
        </row>
        <row r="57">
          <cell r="G57" t="str">
            <v>zurück zu "Allgemeine Angaben"</v>
          </cell>
        </row>
      </sheetData>
      <sheetData sheetId="13">
        <row r="3">
          <cell r="D3" t="str">
            <v>Umzüge</v>
          </cell>
        </row>
        <row r="4">
          <cell r="C4" t="str">
            <v>Umzugsrate</v>
          </cell>
          <cell r="D4" t="str">
            <v>Umzugsrate (Umzüge/Jahr)</v>
          </cell>
          <cell r="G4">
            <v>0.25</v>
          </cell>
          <cell r="H4">
            <v>0.25</v>
          </cell>
        </row>
        <row r="5">
          <cell r="C5" t="str">
            <v>Umzugskosten</v>
          </cell>
          <cell r="D5" t="str">
            <v>Umzugskosten</v>
          </cell>
          <cell r="G5">
            <v>3000</v>
          </cell>
          <cell r="H5">
            <v>3000</v>
          </cell>
        </row>
        <row r="7">
          <cell r="D7" t="str">
            <v>Kosten Dienstleistungen pro verrechneter Arbeitsstunde</v>
          </cell>
        </row>
        <row r="8">
          <cell r="C8" t="str">
            <v>VWKh</v>
          </cell>
          <cell r="D8" t="str">
            <v>Kosten Verwaltung/Stunde</v>
          </cell>
          <cell r="G8">
            <v>42</v>
          </cell>
          <cell r="H8">
            <v>42</v>
          </cell>
        </row>
        <row r="9">
          <cell r="C9" t="str">
            <v>TKh</v>
          </cell>
          <cell r="D9" t="str">
            <v>Kosten Technische Wartung/Stunde</v>
          </cell>
          <cell r="G9">
            <v>42</v>
          </cell>
          <cell r="H9">
            <v>42</v>
          </cell>
        </row>
        <row r="10">
          <cell r="C10" t="str">
            <v>RKh</v>
          </cell>
          <cell r="D10" t="str">
            <v>Kosten Reinigung/Stunde</v>
          </cell>
          <cell r="G10">
            <v>26.4</v>
          </cell>
          <cell r="H10">
            <v>26.4</v>
          </cell>
        </row>
        <row r="11">
          <cell r="C11" t="str">
            <v>GKh</v>
          </cell>
          <cell r="D11" t="str">
            <v>Kosten Gärtnerdienst/Stunde</v>
          </cell>
          <cell r="G11">
            <v>30</v>
          </cell>
          <cell r="H11">
            <v>30</v>
          </cell>
        </row>
        <row r="12">
          <cell r="C12" t="str">
            <v>SKh</v>
          </cell>
          <cell r="D12" t="str">
            <v>Kosten Sicherheitsdienst/Stunde</v>
          </cell>
          <cell r="G12">
            <v>30</v>
          </cell>
          <cell r="H12">
            <v>30</v>
          </cell>
        </row>
        <row r="13">
          <cell r="C13" t="str">
            <v>PKh</v>
          </cell>
          <cell r="D13" t="str">
            <v>Kosten Empfangsdienst/Stunde</v>
          </cell>
          <cell r="G13">
            <v>30</v>
          </cell>
          <cell r="H13">
            <v>30</v>
          </cell>
        </row>
        <row r="14">
          <cell r="C14" t="str">
            <v>CSh</v>
          </cell>
          <cell r="D14" t="str">
            <v>Kosten Consulting/Stunde</v>
          </cell>
          <cell r="G14">
            <v>120</v>
          </cell>
          <cell r="H14">
            <v>120</v>
          </cell>
        </row>
        <row r="16">
          <cell r="D16" t="str">
            <v>Arbeitszeit Dienstleistungsperson</v>
          </cell>
        </row>
        <row r="17">
          <cell r="C17" t="str">
            <v>TAGEjahr</v>
          </cell>
          <cell r="D17" t="str">
            <v>durchschnittliche Arbeitstage pro Jahr</v>
          </cell>
          <cell r="G17">
            <v>200</v>
          </cell>
          <cell r="H17">
            <v>200</v>
          </cell>
        </row>
        <row r="18">
          <cell r="C18" t="str">
            <v>STUNDENtag</v>
          </cell>
          <cell r="D18" t="str">
            <v>durchschnittliche Arbeitsstunden pro Tag</v>
          </cell>
          <cell r="E18" t="str">
            <v>Statistik Austria, durchschnittliche tatsächlich geleistete Arbeitszeit pro Woche, Haupttätigkeit</v>
          </cell>
          <cell r="G18">
            <v>6.6</v>
          </cell>
          <cell r="H18">
            <v>6.6</v>
          </cell>
        </row>
        <row r="19">
          <cell r="C19" t="str">
            <v>STUNDENjahr</v>
          </cell>
          <cell r="D19" t="str">
            <v>durchschnittliche Arbeitsstunden pro Jahr</v>
          </cell>
          <cell r="F19" t="str">
            <v>STUNDENtag*TAGEjahr</v>
          </cell>
          <cell r="G19">
            <v>1320</v>
          </cell>
          <cell r="H19">
            <v>1320</v>
          </cell>
        </row>
        <row r="21">
          <cell r="D21" t="str">
            <v>Personentransport</v>
          </cell>
        </row>
        <row r="22">
          <cell r="C22" t="str">
            <v>ENTFap</v>
          </cell>
          <cell r="D22" t="str">
            <v>Durchschnittlich zurückgelegte Entfernung des Mitarbeiters zum Arbeitsplatz</v>
          </cell>
          <cell r="E22" t="str">
            <v>Annahme: 10 km Stadt, 20 km Land</v>
          </cell>
          <cell r="G22">
            <v>10</v>
          </cell>
          <cell r="H22">
            <v>10</v>
          </cell>
        </row>
        <row r="23">
          <cell r="C23" t="str">
            <v>ENTFobj</v>
          </cell>
          <cell r="D23" t="str">
            <v>Durchschnittliche zurückgelegte Entfernung des Mitarbeiters zum Betreuungsobjekt</v>
          </cell>
          <cell r="E23" t="str">
            <v>Annahme: 10 km Stadt, 20 km Land</v>
          </cell>
          <cell r="G23">
            <v>10</v>
          </cell>
          <cell r="H23">
            <v>10</v>
          </cell>
        </row>
        <row r="24">
          <cell r="D24" t="str">
            <v>PKW</v>
          </cell>
        </row>
        <row r="25">
          <cell r="D25" t="str">
            <v>ÖPNV</v>
          </cell>
        </row>
        <row r="26">
          <cell r="D26" t="str">
            <v>MIX ÖPNV/PKW</v>
          </cell>
        </row>
        <row r="30">
          <cell r="D30" t="str">
            <v>Externer Büroarbeitsplatz des Dienstleisters</v>
          </cell>
        </row>
        <row r="31">
          <cell r="C31" t="str">
            <v>BGFap</v>
          </cell>
          <cell r="D31" t="str">
            <v>Bruttogrundfläche (BGFbeheizt) pro Arbeitsplatz</v>
          </cell>
          <cell r="G31">
            <v>25</v>
          </cell>
          <cell r="H31">
            <v>25</v>
          </cell>
        </row>
        <row r="32">
          <cell r="C32" t="str">
            <v>STROMDLm2</v>
          </cell>
          <cell r="D32" t="str">
            <v>Gesamtstrombedarf inkl. Betriebsstrom pro m² BGFbeheizt</v>
          </cell>
          <cell r="E32" t="str">
            <v>Default Annahme: durchschnittliches Bürogebäude*</v>
          </cell>
          <cell r="G32">
            <v>105.84264705882353</v>
          </cell>
          <cell r="H32">
            <v>105.84264705882353</v>
          </cell>
        </row>
        <row r="33">
          <cell r="C33" t="str">
            <v>HEIZDLm2</v>
          </cell>
          <cell r="D33" t="str">
            <v xml:space="preserve">Heizenergiebedarf Raumwärme HEB-RH (exkl. Hilfsstrom) pro m² BGFbeheizt </v>
          </cell>
          <cell r="E33" t="str">
            <v>Default Annahme: durchschnittliches Bürogebäude*</v>
          </cell>
          <cell r="G33">
            <v>61.376470588235307</v>
          </cell>
          <cell r="H33">
            <v>61.376470588235307</v>
          </cell>
        </row>
        <row r="34">
          <cell r="D34" t="str">
            <v>Energieträger Strom im Büro des Dienstleisters</v>
          </cell>
          <cell r="G34" t="str">
            <v>AT Mix</v>
          </cell>
          <cell r="H34" t="str">
            <v>AT Mix</v>
          </cell>
        </row>
        <row r="35">
          <cell r="D35" t="str">
            <v>Energieträger Heizung im Büro des Dienstleisters</v>
          </cell>
          <cell r="G35" t="str">
            <v>Gas konventionell</v>
          </cell>
          <cell r="H35" t="str">
            <v>Gas konventionell</v>
          </cell>
        </row>
        <row r="37">
          <cell r="D37" t="str">
            <v>Ökokennzahlen: CO2-äquiv. Emissionen, PEIn.e.</v>
          </cell>
        </row>
        <row r="38">
          <cell r="C38" t="str">
            <v>GWPSTROMDL</v>
          </cell>
          <cell r="D38" t="str">
            <v>GWP für Strom/kWh im Büro des Dienstleisters</v>
          </cell>
          <cell r="G38">
            <v>0.11</v>
          </cell>
        </row>
        <row r="39">
          <cell r="C39" t="str">
            <v>PESTROMDL</v>
          </cell>
          <cell r="D39" t="str">
            <v>PE n.e. für Strom/kWh im Büro des Dienstleisters</v>
          </cell>
          <cell r="G39">
            <v>5.3639999999999999</v>
          </cell>
        </row>
        <row r="40">
          <cell r="C40" t="str">
            <v>GWPHEIZDL</v>
          </cell>
          <cell r="D40" t="str">
            <v>GWP für Heizung/kWh im Büro des Dienstleisters</v>
          </cell>
          <cell r="G40">
            <v>0.25200000000000006</v>
          </cell>
        </row>
        <row r="41">
          <cell r="C41" t="str">
            <v>PEHEIZDL</v>
          </cell>
          <cell r="D41" t="str">
            <v>PE n.e. für Heizung/kWh im Büro des Dienstleisters</v>
          </cell>
          <cell r="G41">
            <v>4.2119999999999997</v>
          </cell>
        </row>
        <row r="42">
          <cell r="C42" t="str">
            <v>BÜROpersCO2</v>
          </cell>
          <cell r="D42" t="str">
            <v>durchschnittliche CO2-äquiv. Emissionen pro Personenjahr für den Büroarbeitsplatz</v>
          </cell>
          <cell r="F42" t="str">
            <v>BGFap*STROMDL*GWPSTROMDL+BGFap*HEIZDL*GWPHEIZDL</v>
          </cell>
          <cell r="G42">
            <v>0</v>
          </cell>
          <cell r="H42">
            <v>0</v>
          </cell>
        </row>
        <row r="43">
          <cell r="C43" t="str">
            <v>BÜROpersPEI</v>
          </cell>
          <cell r="D43" t="str">
            <v>durchschnittliche PEIne Emissionen pro Personenjahr für den Büroarbeitsplatz</v>
          </cell>
          <cell r="F43" t="str">
            <v>BGFap*STROMDL*PESTROMDL+BGFap*HEIZDL*PEHEIZDL</v>
          </cell>
          <cell r="G43">
            <v>0</v>
          </cell>
          <cell r="H43">
            <v>0</v>
          </cell>
        </row>
        <row r="44">
          <cell r="C44" t="str">
            <v>STROMobjCO2</v>
          </cell>
          <cell r="D44" t="str">
            <v>GWP für Strom/kWh am Gebäudestandort</v>
          </cell>
          <cell r="F44" t="str">
            <v>GWPSTROM</v>
          </cell>
          <cell r="G44">
            <v>0.39600000000000002</v>
          </cell>
          <cell r="H44">
            <v>0.39600000000000002</v>
          </cell>
        </row>
        <row r="45">
          <cell r="C45" t="str">
            <v>STROMobjPEI</v>
          </cell>
          <cell r="D45" t="str">
            <v>PE n.e. für Strom/kWh am Gebäudestandort</v>
          </cell>
          <cell r="F45" t="str">
            <v>PESTROM</v>
          </cell>
          <cell r="G45">
            <v>5.3639999999999999</v>
          </cell>
          <cell r="H45">
            <v>5.3639999999999999</v>
          </cell>
        </row>
        <row r="46">
          <cell r="C46" t="str">
            <v>PKW</v>
          </cell>
          <cell r="D46" t="str">
            <v>PKW-Fahrten Dienstleister</v>
          </cell>
          <cell r="G46" t="str">
            <v>PKW Mix</v>
          </cell>
          <cell r="H46" t="str">
            <v>PKW Mix</v>
          </cell>
        </row>
        <row r="47">
          <cell r="C47" t="str">
            <v>ÖPNV</v>
          </cell>
          <cell r="D47" t="str">
            <v>ÖPNV-Fahrten Dienstleister</v>
          </cell>
          <cell r="G47" t="str">
            <v>ÖPNV Mix</v>
          </cell>
          <cell r="H47" t="str">
            <v>ÖPNV Mix</v>
          </cell>
        </row>
        <row r="48">
          <cell r="C48" t="str">
            <v>MIX ÖPNV/PKW</v>
          </cell>
          <cell r="D48" t="str">
            <v>MIX ÖPNV/PKW-Fahrten Dienstleister</v>
          </cell>
          <cell r="G48" t="str">
            <v>Mix ÖPNV/PKW</v>
          </cell>
          <cell r="H48" t="str">
            <v>Mix ÖPNV/PKW</v>
          </cell>
        </row>
        <row r="49">
          <cell r="C49" t="str">
            <v>DIESEL</v>
          </cell>
          <cell r="D49" t="str">
            <v>Diesel für Maschinen für Gebäudedienstleistungen (Rasenmäher, Arbeitsbühne, …)</v>
          </cell>
          <cell r="G49" t="str">
            <v>Diesel Maschinen</v>
          </cell>
          <cell r="H49" t="str">
            <v>Diesel Maschinen</v>
          </cell>
        </row>
        <row r="50">
          <cell r="G50" t="str">
            <v>zurück zu "Nutzung und Betrieb"</v>
          </cell>
        </row>
      </sheetData>
      <sheetData sheetId="14">
        <row r="2">
          <cell r="D2" t="str">
            <v>Verwaltungskosten (F1)</v>
          </cell>
          <cell r="G2" t="str">
            <v>zurück zu "Nutzung und Betrieb"</v>
          </cell>
        </row>
        <row r="3">
          <cell r="C3" t="str">
            <v>VWKm2</v>
          </cell>
          <cell r="D3" t="str">
            <v>Verwaltungskosten pro m² Nutzfläche</v>
          </cell>
          <cell r="G3">
            <v>3.6959999999999997</v>
          </cell>
          <cell r="H3">
            <v>3.6959999999999997</v>
          </cell>
        </row>
        <row r="5">
          <cell r="D5" t="str">
            <v>Technischer Gebäudebetrieb (F2)</v>
          </cell>
        </row>
        <row r="6">
          <cell r="C6" t="str">
            <v>TGM</v>
          </cell>
          <cell r="D6" t="str">
            <v>Technisches Gebäudemanagement</v>
          </cell>
          <cell r="G6">
            <v>2.4</v>
          </cell>
          <cell r="H6">
            <v>2.4</v>
          </cell>
        </row>
        <row r="8">
          <cell r="D8" t="str">
            <v>Wartung, kleine Instandsetzung und Reparaturen</v>
          </cell>
        </row>
        <row r="9">
          <cell r="D9" t="str">
            <v>Förderanlagen</v>
          </cell>
        </row>
        <row r="10">
          <cell r="C10" t="str">
            <v>E3Bw</v>
          </cell>
          <cell r="D10" t="str">
            <v>Förderanlagen W</v>
          </cell>
          <cell r="G10">
            <v>1.5</v>
          </cell>
          <cell r="H10">
            <v>1.5</v>
          </cell>
        </row>
        <row r="11">
          <cell r="C11" t="str">
            <v>E3Bi</v>
          </cell>
          <cell r="D11" t="str">
            <v>Förderanlagen I</v>
          </cell>
          <cell r="G11">
            <v>1</v>
          </cell>
          <cell r="H11">
            <v>1</v>
          </cell>
        </row>
        <row r="12">
          <cell r="D12" t="str">
            <v>Wärmeversorgungsanlagen</v>
          </cell>
        </row>
        <row r="13">
          <cell r="C13" t="str">
            <v>E3C01w</v>
          </cell>
          <cell r="D13" t="str">
            <v>Wärmeerzeugungsanlagen W</v>
          </cell>
          <cell r="G13">
            <v>1</v>
          </cell>
          <cell r="H13">
            <v>1</v>
          </cell>
        </row>
        <row r="14">
          <cell r="C14" t="str">
            <v>E3C01i</v>
          </cell>
          <cell r="D14" t="str">
            <v>Wärmeerzeugungsanlagen I</v>
          </cell>
          <cell r="G14">
            <v>2</v>
          </cell>
          <cell r="H14">
            <v>2</v>
          </cell>
        </row>
        <row r="15">
          <cell r="C15" t="str">
            <v>E3C02w</v>
          </cell>
          <cell r="D15" t="str">
            <v>Wärmeverteilnetze W</v>
          </cell>
          <cell r="G15">
            <v>0.5</v>
          </cell>
          <cell r="H15">
            <v>0.5</v>
          </cell>
        </row>
        <row r="16">
          <cell r="C16" t="str">
            <v>E3C02i</v>
          </cell>
          <cell r="D16" t="str">
            <v>Wärmeverteilnetze I</v>
          </cell>
          <cell r="G16">
            <v>0.5</v>
          </cell>
          <cell r="H16">
            <v>0.5</v>
          </cell>
        </row>
        <row r="17">
          <cell r="C17" t="str">
            <v>E3C03w</v>
          </cell>
          <cell r="D17" t="str">
            <v>Raumheizflächen W</v>
          </cell>
          <cell r="G17">
            <v>0.5</v>
          </cell>
          <cell r="H17">
            <v>0.5</v>
          </cell>
        </row>
        <row r="18">
          <cell r="C18" t="str">
            <v>E3C03i</v>
          </cell>
          <cell r="D18" t="str">
            <v>Raumheizflächen I</v>
          </cell>
          <cell r="G18">
            <v>0.5</v>
          </cell>
          <cell r="H18">
            <v>0.5</v>
          </cell>
        </row>
        <row r="19">
          <cell r="C19" t="str">
            <v>E3CSw</v>
          </cell>
          <cell r="D19" t="str">
            <v>Wärmeversorgungsanlagen Sonstiges W</v>
          </cell>
          <cell r="G19">
            <v>0.5</v>
          </cell>
          <cell r="H19">
            <v>0.5</v>
          </cell>
        </row>
        <row r="20">
          <cell r="C20" t="str">
            <v>E3CSi</v>
          </cell>
          <cell r="D20" t="str">
            <v>Wärmeversorgungsanlagen Sonstiges I</v>
          </cell>
          <cell r="G20">
            <v>0.5</v>
          </cell>
          <cell r="H20">
            <v>0.5</v>
          </cell>
        </row>
        <row r="21">
          <cell r="D21" t="str">
            <v>Klima-/Lüftungsanlagen</v>
          </cell>
        </row>
        <row r="22">
          <cell r="C22" t="str">
            <v>E3D01Rw</v>
          </cell>
          <cell r="D22" t="str">
            <v>Lüftungsanlagen Rohre W</v>
          </cell>
          <cell r="G22">
            <v>0.5</v>
          </cell>
          <cell r="H22">
            <v>0.5</v>
          </cell>
        </row>
        <row r="23">
          <cell r="C23" t="str">
            <v>E3D01Ri</v>
          </cell>
          <cell r="D23" t="str">
            <v>Lüftungsanlagen Rohre I</v>
          </cell>
          <cell r="G23">
            <v>0</v>
          </cell>
          <cell r="H23">
            <v>0</v>
          </cell>
        </row>
        <row r="24">
          <cell r="C24" t="str">
            <v>E3D01Vw</v>
          </cell>
          <cell r="D24" t="str">
            <v>Lüftungsanlagen Ventilatoren W</v>
          </cell>
          <cell r="G24">
            <v>10</v>
          </cell>
          <cell r="H24">
            <v>10</v>
          </cell>
        </row>
        <row r="25">
          <cell r="C25" t="str">
            <v>E3D01Vi</v>
          </cell>
          <cell r="D25" t="str">
            <v>Lüftungsanlagen Ventilatoren I</v>
          </cell>
          <cell r="G25">
            <v>2</v>
          </cell>
          <cell r="H25">
            <v>2</v>
          </cell>
        </row>
        <row r="26">
          <cell r="C26" t="str">
            <v>E3D01VAnteil</v>
          </cell>
          <cell r="D26" t="str">
            <v>Anteil Ventilatoren an Lüftungsanlagen (Rest Rohre)</v>
          </cell>
          <cell r="G26">
            <v>10</v>
          </cell>
          <cell r="H26">
            <v>10</v>
          </cell>
        </row>
        <row r="27">
          <cell r="C27" t="str">
            <v>E3D02w</v>
          </cell>
          <cell r="D27" t="str">
            <v>Teilklimaanlagen W</v>
          </cell>
          <cell r="G27">
            <v>1</v>
          </cell>
          <cell r="H27">
            <v>1</v>
          </cell>
        </row>
        <row r="28">
          <cell r="C28" t="str">
            <v>E3D02i</v>
          </cell>
          <cell r="D28" t="str">
            <v>Teilklimaanlagen I</v>
          </cell>
          <cell r="G28">
            <v>2</v>
          </cell>
          <cell r="H28">
            <v>2</v>
          </cell>
        </row>
        <row r="29">
          <cell r="C29" t="str">
            <v>E3D03w</v>
          </cell>
          <cell r="D29" t="str">
            <v>Klimaanlagen W</v>
          </cell>
          <cell r="G29">
            <v>1</v>
          </cell>
          <cell r="H29">
            <v>1</v>
          </cell>
        </row>
        <row r="30">
          <cell r="C30" t="str">
            <v>E3D03i</v>
          </cell>
          <cell r="D30" t="str">
            <v>Klimaanlagen I</v>
          </cell>
          <cell r="G30">
            <v>2</v>
          </cell>
          <cell r="H30">
            <v>2</v>
          </cell>
        </row>
        <row r="31">
          <cell r="C31" t="str">
            <v>E3D04w</v>
          </cell>
          <cell r="D31" t="str">
            <v>Kälteanlagen W</v>
          </cell>
          <cell r="G31">
            <v>1</v>
          </cell>
          <cell r="H31">
            <v>1</v>
          </cell>
        </row>
        <row r="32">
          <cell r="C32" t="str">
            <v>E3D04i</v>
          </cell>
          <cell r="D32" t="str">
            <v>Kälteanlagen I</v>
          </cell>
          <cell r="G32">
            <v>2</v>
          </cell>
          <cell r="H32">
            <v>2</v>
          </cell>
        </row>
        <row r="33">
          <cell r="C33" t="str">
            <v>E3D05w</v>
          </cell>
          <cell r="D33" t="str">
            <v>Prozesslufttechnische Anlagen W</v>
          </cell>
          <cell r="G33">
            <v>0.5</v>
          </cell>
          <cell r="H33">
            <v>0.5</v>
          </cell>
        </row>
        <row r="34">
          <cell r="C34" t="str">
            <v>E3D05i</v>
          </cell>
          <cell r="D34" t="str">
            <v>Prozesslufttechnische Anlagen I</v>
          </cell>
          <cell r="G34">
            <v>0</v>
          </cell>
          <cell r="H34">
            <v>0</v>
          </cell>
        </row>
        <row r="35">
          <cell r="C35" t="str">
            <v>E3DSw</v>
          </cell>
          <cell r="D35" t="str">
            <v>Klima-/Lüftungsanlagen Sonstiges W</v>
          </cell>
          <cell r="G35">
            <v>0.5</v>
          </cell>
          <cell r="H35">
            <v>0.5</v>
          </cell>
        </row>
        <row r="36">
          <cell r="C36" t="str">
            <v>E3DSi</v>
          </cell>
          <cell r="D36" t="str">
            <v>Klima-/Lüftungsanlagen Sonstiges I</v>
          </cell>
          <cell r="G36">
            <v>0.5</v>
          </cell>
          <cell r="H36">
            <v>0.5</v>
          </cell>
        </row>
        <row r="37">
          <cell r="D37" t="str">
            <v>Sanitär-/Gasanlagen</v>
          </cell>
        </row>
        <row r="38">
          <cell r="C38" t="str">
            <v>E3E01w</v>
          </cell>
          <cell r="D38" t="str">
            <v>Abwasseranlagen W</v>
          </cell>
          <cell r="G38">
            <v>0</v>
          </cell>
          <cell r="H38">
            <v>0</v>
          </cell>
        </row>
        <row r="39">
          <cell r="C39" t="str">
            <v>E3E01i</v>
          </cell>
          <cell r="D39" t="str">
            <v>Abwasseranlagen I</v>
          </cell>
          <cell r="G39">
            <v>1</v>
          </cell>
          <cell r="H39">
            <v>1</v>
          </cell>
        </row>
        <row r="40">
          <cell r="C40" t="str">
            <v>E3E02w</v>
          </cell>
          <cell r="D40" t="str">
            <v>Wasseranlagen W</v>
          </cell>
          <cell r="G40">
            <v>0.3</v>
          </cell>
          <cell r="H40">
            <v>0.3</v>
          </cell>
        </row>
        <row r="41">
          <cell r="C41" t="str">
            <v>E3E02i</v>
          </cell>
          <cell r="D41" t="str">
            <v>Wasseranlagen I</v>
          </cell>
          <cell r="G41">
            <v>1</v>
          </cell>
          <cell r="H41">
            <v>1</v>
          </cell>
        </row>
        <row r="42">
          <cell r="C42" t="str">
            <v>E3E03w</v>
          </cell>
          <cell r="D42" t="str">
            <v>Gasanlagen W</v>
          </cell>
          <cell r="G42">
            <v>1</v>
          </cell>
          <cell r="H42">
            <v>1</v>
          </cell>
        </row>
        <row r="43">
          <cell r="C43" t="str">
            <v>E3E03i</v>
          </cell>
          <cell r="D43" t="str">
            <v>Gasanlagen I</v>
          </cell>
          <cell r="G43">
            <v>1</v>
          </cell>
          <cell r="H43">
            <v>1</v>
          </cell>
        </row>
        <row r="44">
          <cell r="C44" t="str">
            <v>E3E04w</v>
          </cell>
          <cell r="D44" t="str">
            <v>Feuerlöschanlagen W</v>
          </cell>
          <cell r="G44">
            <v>1.5</v>
          </cell>
          <cell r="H44">
            <v>1.5</v>
          </cell>
        </row>
        <row r="45">
          <cell r="C45" t="str">
            <v>E3E04i</v>
          </cell>
          <cell r="D45" t="str">
            <v>Feuerlöschanlagen I</v>
          </cell>
          <cell r="G45">
            <v>0.5</v>
          </cell>
          <cell r="H45">
            <v>0.5</v>
          </cell>
        </row>
        <row r="46">
          <cell r="C46" t="str">
            <v>E3ESw</v>
          </cell>
          <cell r="D46" t="str">
            <v>Sanitär-/Gasanlagen Sonstiges W</v>
          </cell>
          <cell r="G46">
            <v>0.2</v>
          </cell>
          <cell r="H46">
            <v>0.2</v>
          </cell>
        </row>
        <row r="47">
          <cell r="C47" t="str">
            <v>E3ESi</v>
          </cell>
          <cell r="D47" t="str">
            <v>Sanitär-/Gasanlagen Sonstiges I</v>
          </cell>
          <cell r="G47">
            <v>0.5</v>
          </cell>
          <cell r="H47">
            <v>0.5</v>
          </cell>
        </row>
        <row r="48">
          <cell r="D48" t="str">
            <v>Starkstromanlagen</v>
          </cell>
        </row>
        <row r="49">
          <cell r="C49" t="str">
            <v>E3Fw</v>
          </cell>
          <cell r="D49" t="str">
            <v>Starkstromanlagen W</v>
          </cell>
          <cell r="G49">
            <v>1</v>
          </cell>
          <cell r="H49">
            <v>1</v>
          </cell>
        </row>
        <row r="50">
          <cell r="C50" t="str">
            <v>E3Fi</v>
          </cell>
          <cell r="D50" t="str">
            <v>Starkstromanlagen I</v>
          </cell>
          <cell r="G50">
            <v>1.5</v>
          </cell>
          <cell r="H50">
            <v>1.5</v>
          </cell>
        </row>
        <row r="51">
          <cell r="D51" t="str">
            <v>Fernmelde- und Informationstechnische Anlagen</v>
          </cell>
        </row>
        <row r="52">
          <cell r="C52" t="str">
            <v>E3Gw</v>
          </cell>
          <cell r="D52" t="str">
            <v>Fernmelde- und Informationstechnische Anlagen W</v>
          </cell>
          <cell r="G52">
            <v>1</v>
          </cell>
          <cell r="H52">
            <v>1</v>
          </cell>
        </row>
        <row r="53">
          <cell r="C53" t="str">
            <v>E3Gi</v>
          </cell>
          <cell r="D53" t="str">
            <v>Fernmelde- und Informationstechnische Anlagen I</v>
          </cell>
          <cell r="G53">
            <v>1.5</v>
          </cell>
          <cell r="H53">
            <v>1.5</v>
          </cell>
        </row>
        <row r="54">
          <cell r="D54" t="str">
            <v>Gebäudeautomation</v>
          </cell>
        </row>
        <row r="55">
          <cell r="C55" t="str">
            <v>E3Hw</v>
          </cell>
          <cell r="D55" t="str">
            <v>Gebäudeautomation W</v>
          </cell>
          <cell r="G55">
            <v>1</v>
          </cell>
          <cell r="H55">
            <v>1</v>
          </cell>
        </row>
        <row r="56">
          <cell r="C56" t="str">
            <v>E3Hi</v>
          </cell>
          <cell r="D56" t="str">
            <v>Gebäudeautomation I</v>
          </cell>
          <cell r="G56">
            <v>1.5</v>
          </cell>
          <cell r="H56">
            <v>1.5</v>
          </cell>
        </row>
        <row r="57">
          <cell r="D57" t="str">
            <v>Spezielle Anlagen</v>
          </cell>
        </row>
        <row r="58">
          <cell r="C58" t="str">
            <v>E3Iw</v>
          </cell>
          <cell r="D58" t="str">
            <v>Spezielle Anlagen W</v>
          </cell>
          <cell r="G58">
            <v>1</v>
          </cell>
          <cell r="H58">
            <v>1</v>
          </cell>
        </row>
        <row r="59">
          <cell r="C59" t="str">
            <v>E3Ii</v>
          </cell>
          <cell r="D59" t="str">
            <v>Spezielle Anlagen I</v>
          </cell>
          <cell r="G59">
            <v>1.5</v>
          </cell>
          <cell r="H59">
            <v>1.5</v>
          </cell>
        </row>
        <row r="60">
          <cell r="D60" t="str">
            <v>Dachverkleidung</v>
          </cell>
        </row>
        <row r="61">
          <cell r="C61" t="str">
            <v>E4Bw</v>
          </cell>
          <cell r="D61" t="str">
            <v>Dachverkleidung W</v>
          </cell>
          <cell r="G61">
            <v>0</v>
          </cell>
          <cell r="H61">
            <v>0</v>
          </cell>
        </row>
        <row r="62">
          <cell r="C62" t="str">
            <v>E4Bi</v>
          </cell>
          <cell r="D62" t="str">
            <v>Dachverkleidung I</v>
          </cell>
          <cell r="G62">
            <v>1.5</v>
          </cell>
          <cell r="H62">
            <v>1.5</v>
          </cell>
        </row>
        <row r="63">
          <cell r="D63" t="str">
            <v>Fassadenhülle</v>
          </cell>
        </row>
        <row r="64">
          <cell r="C64" t="str">
            <v>E4Cw</v>
          </cell>
          <cell r="D64" t="str">
            <v>Fassadenhülle W</v>
          </cell>
          <cell r="G64">
            <v>0</v>
          </cell>
          <cell r="H64">
            <v>0</v>
          </cell>
        </row>
        <row r="65">
          <cell r="C65" t="str">
            <v>E4Ci</v>
          </cell>
          <cell r="D65" t="str">
            <v>Fassadenhülle I</v>
          </cell>
          <cell r="G65">
            <v>0.5</v>
          </cell>
          <cell r="H65">
            <v>0.5</v>
          </cell>
        </row>
        <row r="66">
          <cell r="D66" t="str">
            <v>Innenausbau</v>
          </cell>
        </row>
        <row r="67">
          <cell r="C67" t="str">
            <v>E4Dw</v>
          </cell>
          <cell r="D67" t="str">
            <v>Innenausbau W</v>
          </cell>
          <cell r="G67">
            <v>0</v>
          </cell>
          <cell r="H67">
            <v>0</v>
          </cell>
        </row>
        <row r="68">
          <cell r="C68" t="str">
            <v>E4Di</v>
          </cell>
          <cell r="D68" t="str">
            <v>Innenausbau I</v>
          </cell>
          <cell r="G68">
            <v>0.5</v>
          </cell>
          <cell r="H68">
            <v>0.5</v>
          </cell>
        </row>
        <row r="69">
          <cell r="D69" t="str">
            <v>Betriebseinrichtungen</v>
          </cell>
        </row>
        <row r="70">
          <cell r="C70" t="str">
            <v>E5Bw</v>
          </cell>
          <cell r="D70" t="str">
            <v>Betriebseinrichtungen W</v>
          </cell>
          <cell r="G70">
            <v>1</v>
          </cell>
          <cell r="H70">
            <v>1</v>
          </cell>
        </row>
        <row r="71">
          <cell r="C71" t="str">
            <v>E5Bi</v>
          </cell>
          <cell r="D71" t="str">
            <v>Betriebseinrichtungen I</v>
          </cell>
          <cell r="G71">
            <v>2</v>
          </cell>
          <cell r="H71">
            <v>2</v>
          </cell>
        </row>
        <row r="72">
          <cell r="D72" t="str">
            <v>Ausstattungen, Kunstwerke</v>
          </cell>
        </row>
        <row r="73">
          <cell r="C73" t="str">
            <v>E5Cw</v>
          </cell>
          <cell r="D73" t="str">
            <v>Ausstattungen, Kunstwerke W</v>
          </cell>
          <cell r="G73">
            <v>0</v>
          </cell>
          <cell r="H73">
            <v>0</v>
          </cell>
        </row>
        <row r="74">
          <cell r="C74" t="str">
            <v>E5Ci</v>
          </cell>
          <cell r="D74" t="str">
            <v>Ausstattungen, Kunstwerke I</v>
          </cell>
          <cell r="G74">
            <v>0.5</v>
          </cell>
          <cell r="H74">
            <v>0.5</v>
          </cell>
        </row>
        <row r="75">
          <cell r="D75" t="str">
            <v>Befestigte Flächen</v>
          </cell>
        </row>
        <row r="76">
          <cell r="C76" t="str">
            <v>E6Cw</v>
          </cell>
          <cell r="D76" t="str">
            <v>Befestigte Flächen W</v>
          </cell>
          <cell r="G76">
            <v>0</v>
          </cell>
          <cell r="H76">
            <v>0</v>
          </cell>
        </row>
        <row r="77">
          <cell r="C77" t="str">
            <v>E6Ci</v>
          </cell>
          <cell r="D77" t="str">
            <v>Befestigte Flächen I</v>
          </cell>
          <cell r="G77">
            <v>0.5</v>
          </cell>
          <cell r="H77">
            <v>0.5</v>
          </cell>
        </row>
        <row r="78">
          <cell r="D78" t="str">
            <v>Bauteile Außenanlagen</v>
          </cell>
        </row>
        <row r="79">
          <cell r="C79" t="str">
            <v>E6Dw</v>
          </cell>
          <cell r="D79" t="str">
            <v>Bauteile Außenanlagen W</v>
          </cell>
          <cell r="G79">
            <v>0.5</v>
          </cell>
          <cell r="H79">
            <v>0.5</v>
          </cell>
        </row>
        <row r="80">
          <cell r="C80" t="str">
            <v>E6Di</v>
          </cell>
          <cell r="D80" t="str">
            <v>Bauteile Außenanlagen I</v>
          </cell>
          <cell r="G80">
            <v>0.5</v>
          </cell>
          <cell r="H80">
            <v>0.5</v>
          </cell>
        </row>
        <row r="81">
          <cell r="G81" t="str">
            <v>zurück zu "Nutzung und Betrieb"</v>
          </cell>
        </row>
      </sheetData>
      <sheetData sheetId="15">
        <row r="3">
          <cell r="D3" t="str">
            <v>Kosten Energieträger</v>
          </cell>
        </row>
        <row r="4">
          <cell r="C4" t="str">
            <v>KOST</v>
          </cell>
          <cell r="D4" t="str">
            <v>Kosten Strom</v>
          </cell>
          <cell r="E4" t="str">
            <v>Quelle Default: Heizvergleich, Österreichische Energeiagentur</v>
          </cell>
          <cell r="G4">
            <v>0.18</v>
          </cell>
          <cell r="H4">
            <v>0.18</v>
          </cell>
        </row>
        <row r="5">
          <cell r="C5" t="str">
            <v>KOÖKOST</v>
          </cell>
          <cell r="D5" t="str">
            <v>Kosten Ökostrom</v>
          </cell>
          <cell r="E5" t="str">
            <v>Quelle Default: http://www.e-control.at/de/konsumenten/strom/strompreis/strompreis-monitor</v>
          </cell>
          <cell r="G5">
            <v>0.219</v>
          </cell>
          <cell r="H5">
            <v>0.219</v>
          </cell>
        </row>
        <row r="6">
          <cell r="C6" t="str">
            <v>KOGA</v>
          </cell>
          <cell r="D6" t="str">
            <v>Kosten Gas</v>
          </cell>
          <cell r="E6" t="str">
            <v>Quelle Default: Heizvergleich, Österreichische Energeiagentur</v>
          </cell>
          <cell r="G6">
            <v>7.2996000000000005E-2</v>
          </cell>
          <cell r="H6">
            <v>7.2996000000000005E-2</v>
          </cell>
        </row>
        <row r="7">
          <cell r="C7" t="str">
            <v>KOFERNW</v>
          </cell>
          <cell r="D7" t="str">
            <v>Kosten Fernwärme</v>
          </cell>
          <cell r="E7" t="str">
            <v>Quelle Default: http://www.iwo-austria.at/nc/konsumenten/heizkosten/energiepreisinformation.html (inkl. Leistungs- u. Messpreis)</v>
          </cell>
          <cell r="G7">
            <v>9.2604000000000006E-2</v>
          </cell>
          <cell r="H7">
            <v>9.2604000000000006E-2</v>
          </cell>
        </row>
        <row r="8">
          <cell r="C8" t="str">
            <v>KOFERNK</v>
          </cell>
          <cell r="D8" t="str">
            <v>Kosten Fernkälte</v>
          </cell>
          <cell r="G8">
            <v>0</v>
          </cell>
        </row>
        <row r="9">
          <cell r="C9" t="str">
            <v>KOPELL</v>
          </cell>
          <cell r="D9" t="str">
            <v>Kosten Pellets</v>
          </cell>
          <cell r="E9" t="str">
            <v>Quelle Default: http://www.propellets.at/de/pelletpreise/preisvergleiche/</v>
          </cell>
          <cell r="G9">
            <v>5.4204000000000002E-2</v>
          </cell>
          <cell r="H9">
            <v>5.4204000000000002E-2</v>
          </cell>
        </row>
        <row r="10">
          <cell r="C10" t="str">
            <v>KOHACK</v>
          </cell>
          <cell r="D10" t="str">
            <v>Kosten Hackschnitzel</v>
          </cell>
          <cell r="E10" t="str">
            <v>Quelle Default: http://www.energieinstitut.at/?sID=2850</v>
          </cell>
          <cell r="G10">
            <v>4.6199999999999998E-2</v>
          </cell>
          <cell r="H10">
            <v>4.6199999999999998E-2</v>
          </cell>
        </row>
        <row r="11">
          <cell r="D11" t="str">
            <v>Einspeisetarif</v>
          </cell>
        </row>
        <row r="12">
          <cell r="D12" t="str">
            <v>Ökostromanlage</v>
          </cell>
          <cell r="G12" t="str">
            <v/>
          </cell>
          <cell r="I12" t="str">
            <v>Bitte auswählen</v>
          </cell>
        </row>
        <row r="13">
          <cell r="C13" t="str">
            <v>EINSPTARIF</v>
          </cell>
          <cell r="D13" t="str">
            <v>Einspeisetarif</v>
          </cell>
          <cell r="E13" t="str">
            <v>Quelle Default: Ökostrom- Einspeisetarifverordnung 2012/e-control</v>
          </cell>
          <cell r="G13">
            <v>4.8960000000000004E-2</v>
          </cell>
          <cell r="H13">
            <v>4.8960000000000004E-2</v>
          </cell>
        </row>
        <row r="14">
          <cell r="G14" t="str">
            <v>zurück zu "Energie"</v>
          </cell>
        </row>
        <row r="94">
          <cell r="D94" t="str">
            <v>Ver- und Entsorgung</v>
          </cell>
          <cell r="G94" t="str">
            <v>zurück zu "Nutzung und Betrieb"</v>
          </cell>
        </row>
        <row r="95">
          <cell r="D95" t="str">
            <v>Wasser und Abwasser</v>
          </cell>
        </row>
        <row r="96">
          <cell r="C96" t="str">
            <v>KOWA</v>
          </cell>
          <cell r="D96" t="str">
            <v>Wasserbezugsgebühr pro Kubikmeter</v>
          </cell>
          <cell r="E96" t="str">
            <v>Wasserwerke Wien, Stand Jänner 2013</v>
          </cell>
          <cell r="G96">
            <v>1.5727</v>
          </cell>
          <cell r="H96">
            <v>1.5727</v>
          </cell>
        </row>
        <row r="97">
          <cell r="C97" t="str">
            <v>KOAW</v>
          </cell>
          <cell r="D97" t="str">
            <v>Abwassergebühr pro Kubikmeter Wasser</v>
          </cell>
          <cell r="E97" t="str">
            <v>Wasserwerke Wien, Stand Jänner 2013</v>
          </cell>
          <cell r="G97">
            <v>1.7181999999999999</v>
          </cell>
          <cell r="H97">
            <v>1.7181999999999999</v>
          </cell>
        </row>
        <row r="98">
          <cell r="C98" t="str">
            <v>WAVpa</v>
          </cell>
          <cell r="D98" t="str">
            <v>Wasserverbrauch pro Person/Jahr</v>
          </cell>
          <cell r="F98" t="str">
            <v>45'l' * 200'Arbeitstage'</v>
          </cell>
          <cell r="G98">
            <v>9000</v>
          </cell>
          <cell r="H98">
            <v>9000</v>
          </cell>
        </row>
        <row r="99">
          <cell r="C99" t="str">
            <v>WAVnf</v>
          </cell>
          <cell r="D99" t="str">
            <v>Wasserverbrauch pro m² Nutzfläche</v>
          </cell>
          <cell r="F99" t="str">
            <v>WAVpa/1000'm3'/NFNUE</v>
          </cell>
          <cell r="G99">
            <v>0.6</v>
          </cell>
          <cell r="H99">
            <v>0.6</v>
          </cell>
        </row>
        <row r="100">
          <cell r="C100" t="str">
            <v>AWVnf</v>
          </cell>
          <cell r="D100" t="str">
            <v>Abwasserverbrauch pro m² Nutzfläche</v>
          </cell>
          <cell r="F100" t="str">
            <v>WAVnf</v>
          </cell>
          <cell r="G100">
            <v>0.6</v>
          </cell>
          <cell r="H100">
            <v>0.6</v>
          </cell>
        </row>
        <row r="101">
          <cell r="C101" t="str">
            <v>WAVgf</v>
          </cell>
          <cell r="D101" t="str">
            <v>Wasserverbrauch pro m² Grünfläche</v>
          </cell>
          <cell r="E101" t="str">
            <v>Annahme: Rasen 0,1, Sträuchern und Zierpflanzen 0,25</v>
          </cell>
          <cell r="G101">
            <v>0.1</v>
          </cell>
          <cell r="H101">
            <v>0.1</v>
          </cell>
        </row>
        <row r="102">
          <cell r="C102" t="str">
            <v>AWVgf</v>
          </cell>
          <cell r="D102" t="str">
            <v>Abwasserverbrauch pro m² Grünfläche</v>
          </cell>
          <cell r="F102" t="str">
            <v>WAVgf</v>
          </cell>
          <cell r="G102">
            <v>0.1</v>
          </cell>
          <cell r="H102">
            <v>0.1</v>
          </cell>
        </row>
        <row r="103">
          <cell r="D103" t="str">
            <v>Müllentsorgung</v>
          </cell>
        </row>
        <row r="104">
          <cell r="C104" t="str">
            <v>MÜLLKm3</v>
          </cell>
          <cell r="D104" t="str">
            <v>Müllentsorgungskosten pro 1000l</v>
          </cell>
          <cell r="E104" t="str">
            <v>Wien MA48, Stand Jänner 2013</v>
          </cell>
          <cell r="G104">
            <v>35.040999999999997</v>
          </cell>
          <cell r="H104">
            <v>35.040999999999997</v>
          </cell>
        </row>
        <row r="105">
          <cell r="C105" t="str">
            <v>MÜLLm3</v>
          </cell>
          <cell r="D105" t="str">
            <v>Müllmenge pro Person (Nutzungseinheit) und Jahr</v>
          </cell>
          <cell r="G105">
            <v>2.6</v>
          </cell>
          <cell r="H105">
            <v>2.6</v>
          </cell>
        </row>
        <row r="106">
          <cell r="G106" t="str">
            <v>zurück zu "Nutzung und Betrieb"</v>
          </cell>
        </row>
      </sheetData>
      <sheetData sheetId="16">
        <row r="2">
          <cell r="D2" t="str">
            <v>Unterhaltsreinigung</v>
          </cell>
          <cell r="G2" t="str">
            <v>zurück zu "Nutzung und Betrieb"</v>
          </cell>
        </row>
        <row r="3">
          <cell r="C3" t="str">
            <v>RBWfreq</v>
          </cell>
          <cell r="D3" t="str">
            <v>Frequenz Reinigung Hauptnutzflächen (Büro, Wohnen, …)</v>
          </cell>
          <cell r="G3">
            <v>5</v>
          </cell>
          <cell r="H3">
            <v>5</v>
          </cell>
          <cell r="I3">
            <v>5</v>
          </cell>
        </row>
        <row r="4">
          <cell r="C4" t="str">
            <v>RBWleis</v>
          </cell>
          <cell r="D4" t="str">
            <v>Reinigungsleistung Hauptnutzflächen (Büro, Wohnen, …)</v>
          </cell>
          <cell r="G4">
            <v>0.27</v>
          </cell>
          <cell r="H4">
            <v>0.27</v>
          </cell>
        </row>
        <row r="5">
          <cell r="C5" t="str">
            <v>RKBWm2mon</v>
          </cell>
          <cell r="D5" t="str">
            <v>Monat. Hauptnutzflächenreinigungskosten/m²</v>
          </cell>
          <cell r="F5" t="str">
            <v>RKh*RBWfreq*RBWleis*4,35/60</v>
          </cell>
          <cell r="G5">
            <v>2.5838999999999999</v>
          </cell>
          <cell r="H5">
            <v>2.5838999999999999</v>
          </cell>
        </row>
        <row r="6">
          <cell r="C6" t="str">
            <v>RKBWa</v>
          </cell>
          <cell r="D6" t="str">
            <v xml:space="preserve">Jährl. Hauptnutzflächenreinigungskosten </v>
          </cell>
          <cell r="F6" t="str">
            <v>RKBWm2mon*HNF*12</v>
          </cell>
          <cell r="G6">
            <v>11328.644448000001</v>
          </cell>
          <cell r="H6">
            <v>11328.644448000001</v>
          </cell>
        </row>
        <row r="7">
          <cell r="D7" t="str">
            <v>Sanitärflächen</v>
          </cell>
        </row>
        <row r="8">
          <cell r="C8" t="str">
            <v>RFliesfreqh</v>
          </cell>
          <cell r="D8" t="str">
            <v>Frequenz Reinigung Sanitär bezogen auf die Fliesenfläche</v>
          </cell>
          <cell r="G8">
            <v>5</v>
          </cell>
          <cell r="H8">
            <v>5</v>
          </cell>
          <cell r="I8">
            <v>5</v>
          </cell>
        </row>
        <row r="9">
          <cell r="C9" t="str">
            <v>RFliesLeish</v>
          </cell>
          <cell r="D9" t="str">
            <v>Reinigungsleistung Sanitär bezogen auf die Fliesenfläche</v>
          </cell>
          <cell r="G9">
            <v>0.4</v>
          </cell>
          <cell r="H9">
            <v>0.4</v>
          </cell>
        </row>
        <row r="10">
          <cell r="C10" t="str">
            <v>RKSANhm2mon</v>
          </cell>
          <cell r="D10" t="str">
            <v>Monat. Sanitärreinigungskostenh/m²</v>
          </cell>
          <cell r="F10" t="str">
            <v>RFliesfreqh*RFliesLeish*RKh*4,35/60</v>
          </cell>
          <cell r="G10">
            <v>3.8279999999999998</v>
          </cell>
          <cell r="H10">
            <v>3.8279999999999998</v>
          </cell>
        </row>
        <row r="11">
          <cell r="C11" t="str">
            <v>RFliesfreqv</v>
          </cell>
          <cell r="D11" t="str">
            <v>Frequenz Reinigung Sanitär bezogen auf die Bodenfläche</v>
          </cell>
          <cell r="G11">
            <v>5</v>
          </cell>
          <cell r="H11">
            <v>1</v>
          </cell>
          <cell r="I11">
            <v>5</v>
          </cell>
        </row>
        <row r="12">
          <cell r="C12" t="str">
            <v>RFliesLeisv</v>
          </cell>
          <cell r="D12" t="str">
            <v>Reinigungsleistung Sanitär bezogen auf die Bodenfläche</v>
          </cell>
          <cell r="G12">
            <v>1.1000000000000001</v>
          </cell>
          <cell r="H12">
            <v>1.1000000000000001</v>
          </cell>
        </row>
        <row r="13">
          <cell r="C13" t="str">
            <v>RKSANvm2mon</v>
          </cell>
          <cell r="D13" t="str">
            <v>Monat. Sanitärreinigungskostenv/m²</v>
          </cell>
          <cell r="F13" t="str">
            <v>RFliesfreqv*RFliesLeisv*RKh*4,35/60</v>
          </cell>
          <cell r="G13">
            <v>10.526999999999997</v>
          </cell>
          <cell r="H13">
            <v>10.526999999999997</v>
          </cell>
        </row>
        <row r="14">
          <cell r="C14" t="str">
            <v>RKSANta</v>
          </cell>
          <cell r="D14" t="str">
            <v>Jährl. Sanitärreinigungskosten</v>
          </cell>
          <cell r="F14" t="str">
            <v>(RKSANhm2mon*SANFH + RKSANvm2mon*SANFV)*12</v>
          </cell>
          <cell r="G14">
            <v>38420.29619999999</v>
          </cell>
          <cell r="H14">
            <v>38420.29619999999</v>
          </cell>
        </row>
        <row r="15">
          <cell r="D15" t="str">
            <v>Gang- und Stiegenflächen</v>
          </cell>
        </row>
        <row r="16">
          <cell r="C16" t="str">
            <v>RGangfreq</v>
          </cell>
          <cell r="D16" t="str">
            <v>Frequenz Reinigung Gang</v>
          </cell>
          <cell r="G16">
            <v>5</v>
          </cell>
          <cell r="H16">
            <v>5</v>
          </cell>
          <cell r="I16">
            <v>5</v>
          </cell>
        </row>
        <row r="17">
          <cell r="C17" t="str">
            <v>RGangLeis</v>
          </cell>
          <cell r="D17" t="str">
            <v>Reinigungsleistung Gang</v>
          </cell>
          <cell r="G17">
            <v>0.12</v>
          </cell>
          <cell r="H17">
            <v>0.12</v>
          </cell>
        </row>
        <row r="18">
          <cell r="C18" t="str">
            <v>RKGm2mon</v>
          </cell>
          <cell r="D18" t="str">
            <v>Gang Reinigungskosten/m²</v>
          </cell>
          <cell r="F18" t="str">
            <v>RGangfreq*RGangLeis*RKh*4,35/60</v>
          </cell>
          <cell r="G18">
            <v>1.1483999999999996</v>
          </cell>
          <cell r="H18">
            <v>1.1483999999999996</v>
          </cell>
        </row>
        <row r="19">
          <cell r="C19" t="str">
            <v>RStiegfreq</v>
          </cell>
          <cell r="D19" t="str">
            <v>Frequenz Reinigung Stiege</v>
          </cell>
          <cell r="G19">
            <v>5</v>
          </cell>
          <cell r="H19">
            <v>5</v>
          </cell>
          <cell r="I19">
            <v>5</v>
          </cell>
        </row>
        <row r="20">
          <cell r="C20" t="str">
            <v>RStiegLeis</v>
          </cell>
          <cell r="D20" t="str">
            <v>Reinigungsleistung Stiege</v>
          </cell>
          <cell r="G20">
            <v>0.3</v>
          </cell>
          <cell r="H20">
            <v>0.3</v>
          </cell>
        </row>
        <row r="21">
          <cell r="C21" t="str">
            <v>RKSTm2mon</v>
          </cell>
          <cell r="D21" t="str">
            <v>Stiegen Reinigungskosten/m²</v>
          </cell>
          <cell r="F21" t="str">
            <v>RStiegfreq*RStiegLeis*RKh*4,35/60</v>
          </cell>
          <cell r="G21">
            <v>2.8709999999999996</v>
          </cell>
          <cell r="H21">
            <v>2.8709999999999996</v>
          </cell>
        </row>
        <row r="22">
          <cell r="C22" t="str">
            <v>RKGSTa</v>
          </cell>
          <cell r="D22" t="str">
            <v>Jährl. Gang+Stiegenreinigungskosten</v>
          </cell>
          <cell r="F22" t="str">
            <v>(RKGm2mon*GANGF + RKSTm2mon*STIEGF)*12</v>
          </cell>
          <cell r="G22">
            <v>1101.7060559999995</v>
          </cell>
          <cell r="H22">
            <v>1101.7060559999995</v>
          </cell>
        </row>
        <row r="23">
          <cell r="D23" t="str">
            <v>Garage und Nebenflächen</v>
          </cell>
        </row>
        <row r="24">
          <cell r="C24" t="str">
            <v>RTGfreq</v>
          </cell>
          <cell r="D24" t="str">
            <v>Frequenz Reinigung Tiefgarage</v>
          </cell>
          <cell r="G24">
            <v>0</v>
          </cell>
          <cell r="H24">
            <v>0.1</v>
          </cell>
          <cell r="I24">
            <v>0</v>
          </cell>
        </row>
        <row r="25">
          <cell r="C25" t="str">
            <v>RTGLeis</v>
          </cell>
          <cell r="D25" t="str">
            <v>Reinigungsleistung Tiefgarage</v>
          </cell>
          <cell r="G25">
            <v>0.15</v>
          </cell>
          <cell r="H25">
            <v>0.15</v>
          </cell>
        </row>
        <row r="26">
          <cell r="C26" t="str">
            <v>RKTGm2mon</v>
          </cell>
          <cell r="D26" t="str">
            <v>Tiefgarage</v>
          </cell>
          <cell r="F26" t="str">
            <v>RTGfreq*RTGLeis*RKh*4,25/60</v>
          </cell>
          <cell r="G26">
            <v>0</v>
          </cell>
          <cell r="H26">
            <v>0</v>
          </cell>
        </row>
        <row r="27">
          <cell r="C27" t="str">
            <v>RNebfreq</v>
          </cell>
          <cell r="D27" t="str">
            <v>Frequenz Reinigung Nebenflächen</v>
          </cell>
          <cell r="G27">
            <v>0</v>
          </cell>
          <cell r="H27">
            <v>1</v>
          </cell>
          <cell r="I27">
            <v>0</v>
          </cell>
        </row>
        <row r="28">
          <cell r="C28" t="str">
            <v>RNebFLeis</v>
          </cell>
          <cell r="D28" t="str">
            <v>Reinigungsleistung Nebenflächen</v>
          </cell>
          <cell r="G28">
            <v>0.2</v>
          </cell>
          <cell r="H28">
            <v>0.2</v>
          </cell>
        </row>
        <row r="29">
          <cell r="C29" t="str">
            <v>RKNebFm2mon</v>
          </cell>
          <cell r="D29" t="str">
            <v>Nebenflächen</v>
          </cell>
          <cell r="F29" t="str">
            <v>RNebfreq*RNebFLeis*RKh*4,25/60</v>
          </cell>
          <cell r="G29">
            <v>0</v>
          </cell>
          <cell r="H29">
            <v>0</v>
          </cell>
        </row>
        <row r="30">
          <cell r="C30" t="str">
            <v>RKTGNFa</v>
          </cell>
          <cell r="D30" t="str">
            <v>Jährl. Tiefgaragen+Nebenflreinigungskosten</v>
          </cell>
          <cell r="F30" t="str">
            <v>(RKTGm2mon*GARAF + RKNebFm2mon*NEBF)*12</v>
          </cell>
          <cell r="G30">
            <v>0</v>
          </cell>
          <cell r="H30">
            <v>0</v>
          </cell>
        </row>
        <row r="31">
          <cell r="D31" t="str">
            <v>Fensterreinigung</v>
          </cell>
        </row>
        <row r="32">
          <cell r="C32" t="str">
            <v>GLASFRKm2</v>
          </cell>
          <cell r="D32" t="str">
            <v>Fensterreinigungskosten</v>
          </cell>
          <cell r="G32">
            <v>1.44</v>
          </cell>
          <cell r="H32">
            <v>1.44</v>
          </cell>
        </row>
        <row r="33">
          <cell r="C33" t="str">
            <v>GLASFRfreq</v>
          </cell>
          <cell r="D33" t="str">
            <v>Frequenz Reinigung Fenster und Glaswände</v>
          </cell>
          <cell r="G33">
            <v>2</v>
          </cell>
          <cell r="H33">
            <v>2</v>
          </cell>
        </row>
        <row r="34">
          <cell r="C34" t="str">
            <v>BÜHd</v>
          </cell>
          <cell r="D34" t="str">
            <v>Arbeitsbühne Miete</v>
          </cell>
          <cell r="G34">
            <v>120</v>
          </cell>
          <cell r="H34">
            <v>120</v>
          </cell>
        </row>
        <row r="35">
          <cell r="C35" t="str">
            <v>GLASFRKa</v>
          </cell>
          <cell r="D35" t="str">
            <v>Jährliche Fensterreinigungskosten</v>
          </cell>
          <cell r="F35" t="str">
            <v>GLASFRKm2*GLASFRfreq*(GLASF+GLASFNV)+((GLASFab+GLASFNVab)*GLASFRKm2*GLASFRfreq/RKh/8)*BÜHd</v>
          </cell>
          <cell r="G35">
            <v>127.224</v>
          </cell>
          <cell r="H35">
            <v>127.224</v>
          </cell>
        </row>
        <row r="36">
          <cell r="C36" t="str">
            <v>IGLASFRKm2</v>
          </cell>
          <cell r="D36" t="str">
            <v>Glasflächen innen Reinigungskosten</v>
          </cell>
          <cell r="G36">
            <v>1.2</v>
          </cell>
          <cell r="H36">
            <v>1.2</v>
          </cell>
        </row>
        <row r="37">
          <cell r="C37" t="str">
            <v>GLASFIRfreq</v>
          </cell>
          <cell r="D37" t="str">
            <v>Frequenz Reinigung Glasflächen innen</v>
          </cell>
          <cell r="G37">
            <v>10</v>
          </cell>
          <cell r="H37">
            <v>10</v>
          </cell>
        </row>
        <row r="38">
          <cell r="C38" t="str">
            <v>IGLASFRKa</v>
          </cell>
          <cell r="D38" t="str">
            <v>Jährliche Innenglasflächenreinigung</v>
          </cell>
          <cell r="F38" t="str">
            <v>IGLASFRKm2*GLASFIRfreq*(IGLASF*2+GLASF+GLASFF+GLASFNV)+(IGLASFab*IGLASFRKm2*GLASFIRfreq/RKh/8)*BÜHd</v>
          </cell>
          <cell r="G38">
            <v>2337.7200000000003</v>
          </cell>
          <cell r="H38">
            <v>2337.7200000000003</v>
          </cell>
        </row>
        <row r="39">
          <cell r="D39" t="str">
            <v>Reinigung PV und Solarthermie</v>
          </cell>
        </row>
        <row r="40">
          <cell r="C40" t="str">
            <v>PVRKm2</v>
          </cell>
          <cell r="D40" t="str">
            <v>Reinigungskosten PV</v>
          </cell>
          <cell r="G40">
            <v>1.44</v>
          </cell>
          <cell r="H40">
            <v>1.44</v>
          </cell>
        </row>
        <row r="41">
          <cell r="C41" t="str">
            <v>SOLRKm2</v>
          </cell>
          <cell r="D41" t="str">
            <v>Reinigungskosten Solarthermie</v>
          </cell>
          <cell r="G41">
            <v>1.44</v>
          </cell>
          <cell r="H41">
            <v>1.44</v>
          </cell>
        </row>
        <row r="42">
          <cell r="C42" t="str">
            <v>PVRfreq</v>
          </cell>
          <cell r="D42" t="str">
            <v>Frequenz Reinigung PV</v>
          </cell>
          <cell r="G42">
            <v>1</v>
          </cell>
          <cell r="H42">
            <v>1</v>
          </cell>
        </row>
        <row r="43">
          <cell r="C43" t="str">
            <v>SOLRfreq</v>
          </cell>
          <cell r="D43" t="str">
            <v>Frequenz Reinigung Solarthermie</v>
          </cell>
          <cell r="G43">
            <v>1</v>
          </cell>
          <cell r="H43">
            <v>1</v>
          </cell>
        </row>
        <row r="44">
          <cell r="C44" t="str">
            <v>PVBÜHd</v>
          </cell>
          <cell r="D44" t="str">
            <v>Arbeitsbühne Miete</v>
          </cell>
          <cell r="G44">
            <v>120</v>
          </cell>
          <cell r="H44">
            <v>120</v>
          </cell>
        </row>
        <row r="45">
          <cell r="C45" t="str">
            <v>PVSOLRKa</v>
          </cell>
          <cell r="D45" t="str">
            <v>Jährliche Reinigungskosten PV und Solarthermie</v>
          </cell>
          <cell r="F45" t="str">
            <v>PVRKm2*PVRfreq*(PVDACH+PVFASS)+SOLRKm2*SOLRfreq*(SOLARD+SOLARF)+((PVRKm2*PVRfreq*PVFASSab+SOLRKm2*SOLRfreq*(SOLARFab))/RKh/8)*PVBÜHd</v>
          </cell>
          <cell r="G45">
            <v>0</v>
          </cell>
          <cell r="H45">
            <v>0</v>
          </cell>
        </row>
        <row r="46">
          <cell r="D46" t="str">
            <v>Jalousien und Sonnenschutz</v>
          </cell>
        </row>
        <row r="47">
          <cell r="C47" t="str">
            <v>JALRKm2</v>
          </cell>
          <cell r="D47" t="str">
            <v>Reinigung Sonnenschutz</v>
          </cell>
          <cell r="G47">
            <v>4.2</v>
          </cell>
          <cell r="H47">
            <v>4.2</v>
          </cell>
        </row>
        <row r="48">
          <cell r="C48" t="str">
            <v>JALRfreq</v>
          </cell>
          <cell r="D48" t="str">
            <v>Frequenz Jalousienreinigung</v>
          </cell>
          <cell r="G48">
            <v>1</v>
          </cell>
          <cell r="H48">
            <v>1</v>
          </cell>
          <cell r="I48">
            <v>1</v>
          </cell>
        </row>
        <row r="49">
          <cell r="C49" t="str">
            <v>SBÜHd</v>
          </cell>
          <cell r="D49" t="str">
            <v>Arbeitsbühne Miete</v>
          </cell>
          <cell r="G49">
            <v>120</v>
          </cell>
          <cell r="H49">
            <v>120</v>
          </cell>
        </row>
        <row r="50">
          <cell r="C50" t="str">
            <v>JALRKa</v>
          </cell>
          <cell r="D50" t="str">
            <v>Jährliche Sonnenschutzreinig.kosten</v>
          </cell>
          <cell r="F50" t="str">
            <v>JALRKm2*JALRfreq*JALF+(JALFab*JALRKm2*JALRfreq/RKh/8)*SBÜHd</v>
          </cell>
          <cell r="G50">
            <v>415.8</v>
          </cell>
          <cell r="H50">
            <v>415.8</v>
          </cell>
        </row>
        <row r="51">
          <cell r="D51" t="str">
            <v>Fassadenflächen</v>
          </cell>
        </row>
        <row r="52">
          <cell r="C52" t="str">
            <v>FASSRKm2</v>
          </cell>
          <cell r="D52" t="str">
            <v>Fassadenreinigung</v>
          </cell>
          <cell r="G52">
            <v>1.7999999999999998</v>
          </cell>
          <cell r="H52">
            <v>1.7999999999999998</v>
          </cell>
        </row>
        <row r="53">
          <cell r="C53" t="str">
            <v>FASSRfreq</v>
          </cell>
          <cell r="D53" t="str">
            <v>Frequenz Reinigung Glasfassade</v>
          </cell>
          <cell r="G53">
            <v>1</v>
          </cell>
          <cell r="H53">
            <v>1</v>
          </cell>
        </row>
        <row r="54">
          <cell r="C54" t="str">
            <v>FASSRKa</v>
          </cell>
          <cell r="D54" t="str">
            <v>Jährliche Fassadenreinigung ohne A.</v>
          </cell>
          <cell r="F54" t="str">
            <v>FASSRKm2*FASSRfreq*GLASFF</v>
          </cell>
          <cell r="G54">
            <v>178.55999999999997</v>
          </cell>
          <cell r="H54">
            <v>178.55999999999997</v>
          </cell>
        </row>
        <row r="55">
          <cell r="C55" t="str">
            <v>FBÜHd</v>
          </cell>
          <cell r="D55" t="str">
            <v>Arbeitsbühne Miete</v>
          </cell>
          <cell r="G55">
            <v>24</v>
          </cell>
          <cell r="H55">
            <v>24</v>
          </cell>
        </row>
        <row r="56">
          <cell r="C56" t="str">
            <v>FASSRKTa</v>
          </cell>
          <cell r="D56" t="str">
            <v>Jährliche Fassadenreinigung</v>
          </cell>
          <cell r="F56" t="str">
            <v>FASSRKm2*FASSRfreq*GLASFF+(GLASFFab*FASSRKm2*FASSRfreq/RKh/8)*FBÜHd</v>
          </cell>
          <cell r="G56">
            <v>178.55999999999997</v>
          </cell>
          <cell r="H56">
            <v>178.55999999999997</v>
          </cell>
        </row>
        <row r="57">
          <cell r="D57" t="str">
            <v>Reinigung und Pflege Außenanlagen</v>
          </cell>
        </row>
        <row r="58">
          <cell r="C58" t="str">
            <v>RAPKm2a</v>
          </cell>
          <cell r="D58" t="str">
            <v>Kosten Rasenflächenpflege</v>
          </cell>
          <cell r="G58">
            <v>2.4</v>
          </cell>
          <cell r="H58">
            <v>2.4</v>
          </cell>
        </row>
        <row r="59">
          <cell r="C59" t="str">
            <v>RAPKGa</v>
          </cell>
          <cell r="D59" t="str">
            <v>Jährliche Rasenpflegekosten</v>
          </cell>
          <cell r="F59" t="str">
            <v>RAPKm2a*GRÜNF</v>
          </cell>
          <cell r="G59">
            <v>4539.6719999999996</v>
          </cell>
          <cell r="H59">
            <v>4539.6719999999996</v>
          </cell>
        </row>
        <row r="60">
          <cell r="C60" t="str">
            <v>RAuFfreq</v>
          </cell>
          <cell r="D60" t="str">
            <v>Frequenz Reinigung Außenflächen</v>
          </cell>
          <cell r="G60">
            <v>0.1</v>
          </cell>
          <cell r="H60">
            <v>0.1</v>
          </cell>
        </row>
        <row r="61">
          <cell r="C61" t="str">
            <v>RAuFLeis</v>
          </cell>
          <cell r="D61" t="str">
            <v>Reinigungsleistung Außenflächen</v>
          </cell>
          <cell r="G61">
            <v>0.15</v>
          </cell>
          <cell r="H61">
            <v>0.15</v>
          </cell>
        </row>
        <row r="62">
          <cell r="C62" t="str">
            <v>SRKm2a</v>
          </cell>
          <cell r="D62" t="str">
            <v>Kosten Reinigung und Schneeräumung</v>
          </cell>
          <cell r="G62">
            <v>1.2</v>
          </cell>
          <cell r="H62">
            <v>1.2</v>
          </cell>
        </row>
        <row r="63">
          <cell r="C63" t="str">
            <v>AuFKm2a</v>
          </cell>
          <cell r="D63" t="str">
            <v>Kosten Reinigung befestigte Außenflächen</v>
          </cell>
          <cell r="F63" t="str">
            <v>RAuFfreq*RAuFLeis*RKh*4,35*12/60</v>
          </cell>
          <cell r="G63">
            <v>0.34451999999999994</v>
          </cell>
          <cell r="H63">
            <v>0.34451999999999994</v>
          </cell>
        </row>
        <row r="64">
          <cell r="C64" t="str">
            <v>SRKGa</v>
          </cell>
          <cell r="D64" t="str">
            <v>Jährl. Reinigungs- und Schneer.kosten</v>
          </cell>
          <cell r="F64" t="str">
            <v>(SRKm2a+AuFKm2a)*BEFAF</v>
          </cell>
          <cell r="G64">
            <v>255.38638199999997</v>
          </cell>
          <cell r="H64">
            <v>255.38638199999997</v>
          </cell>
        </row>
        <row r="65">
          <cell r="G65" t="str">
            <v>zurück zu "Nutzung und Betrieb"</v>
          </cell>
        </row>
      </sheetData>
      <sheetData sheetId="17">
        <row r="1">
          <cell r="A1" t="str">
            <v>Variable</v>
          </cell>
          <cell r="B1" t="str">
            <v>Bezeichnung</v>
          </cell>
          <cell r="C1" t="str">
            <v>Anmerkung</v>
          </cell>
          <cell r="D1" t="str">
            <v>Stundensatz</v>
          </cell>
          <cell r="E1" t="str">
            <v>Fahrten zum Arbeitsplatz</v>
          </cell>
          <cell r="F1" t="str">
            <v>Fahrten zum Objekt</v>
          </cell>
          <cell r="G1" t="str">
            <v>Arbeitszeit pro Einsatz</v>
          </cell>
          <cell r="H1" t="str">
            <v>Bürotätigkeit</v>
          </cell>
          <cell r="I1" t="str">
            <v>Geräte Strom [kWh/h]</v>
          </cell>
          <cell r="J1" t="str">
            <v>Geräte Diesel [l/h]</v>
          </cell>
          <cell r="K1" t="str">
            <v>Fahrten zum Arbeitsplatz</v>
          </cell>
          <cell r="L1" t="str">
            <v>Fahrten zum Objekt</v>
          </cell>
          <cell r="M1" t="str">
            <v>Bürotätigkeit</v>
          </cell>
          <cell r="N1" t="str">
            <v>Gerätebetrieb Strom</v>
          </cell>
          <cell r="O1" t="str">
            <v>Gerätebetrieb Diesel</v>
          </cell>
          <cell r="P1" t="str">
            <v>verrechnete Arbeitsstunden</v>
          </cell>
          <cell r="Q1" t="str">
            <v>Wert</v>
          </cell>
          <cell r="R1" t="str">
            <v>Einheit</v>
          </cell>
          <cell r="S1" t="str">
            <v>Fahrten zum Arbeitsplatz</v>
          </cell>
          <cell r="T1" t="str">
            <v>Fahrten zum Objekt</v>
          </cell>
          <cell r="U1" t="str">
            <v>Bürotätigkeit</v>
          </cell>
          <cell r="V1" t="str">
            <v>Gerätebetrieb Strom</v>
          </cell>
          <cell r="W1" t="str">
            <v>Gerätebetrieb Diesel</v>
          </cell>
          <cell r="X1" t="str">
            <v>Wert</v>
          </cell>
          <cell r="Y1" t="str">
            <v>Einheit</v>
          </cell>
        </row>
        <row r="2">
          <cell r="K2" t="str">
            <v>2*TAGEjahr*ENTFap*SVERWEIS(Q3;PTRANSP;2;0)*Bürotätigkeit/STUNDENjahr</v>
          </cell>
          <cell r="L2" t="str">
            <v>((STUNDENjahr/Einsatzzeit + WENN(STUNDENjahr/Einsatzzeit &gt;= TAGEjahr ; TAGEjahr ; STUNDENjahr/Einsatzzeit)))* ENTFobj * SVERWEIS(U4;PTRANSP;2;0) / STUNDENjahr</v>
          </cell>
          <cell r="M2" t="str">
            <v>BÜROpersCO2*Bürotätigkeit/STUNDENjahr</v>
          </cell>
          <cell r="N2" t="str">
            <v>Geräte Strom*STROMobjCO2</v>
          </cell>
          <cell r="O2" t="str">
            <v>Geräte Diesel * DieselCO2</v>
          </cell>
          <cell r="P2" t="str">
            <v xml:space="preserve">(Folgekosten der Position - Kosten für Hebebühne) /Stundensatz </v>
          </cell>
          <cell r="S2" t="str">
            <v>2*TAGEjahr*ENTFap*SVERWEIS(Q3;PTRANSP;2;0)*Bürotätigkeit/STUNDENjahr</v>
          </cell>
          <cell r="T2" t="str">
            <v>((STUNDENjahr/Einsatzzeit + WENN(STUNDENjahr/Einsatzzeit &gt;= TAGEjahr ; TAGEjahr ; STUNDENjahr/Einsatzzeit)))* ENTFobj * SVERWEIS(U4;PTRANSP;2;0) / STUNDENjahr</v>
          </cell>
          <cell r="U2" t="str">
            <v>BÜROpersCO2*Bürotätigkeit/STUNDENjahr</v>
          </cell>
          <cell r="V2" t="str">
            <v>Geräte Strom*STROMobjCO2</v>
          </cell>
          <cell r="W2" t="str">
            <v>Geräte Diesel * DieselCO2</v>
          </cell>
        </row>
        <row r="3">
          <cell r="B3" t="str">
            <v>zurück zu "Nutzung und Betrieb"</v>
          </cell>
        </row>
        <row r="4">
          <cell r="A4" t="str">
            <v>F1.1</v>
          </cell>
          <cell r="B4" t="str">
            <v>Verwaltung und Management</v>
          </cell>
          <cell r="D4" t="str">
            <v>VWKh</v>
          </cell>
          <cell r="E4" t="str">
            <v>keine</v>
          </cell>
          <cell r="F4" t="str">
            <v>Mix ÖPNV/PKW</v>
          </cell>
          <cell r="G4">
            <v>8</v>
          </cell>
          <cell r="H4">
            <v>1.2</v>
          </cell>
          <cell r="I4">
            <v>0</v>
          </cell>
          <cell r="J4">
            <v>0</v>
          </cell>
          <cell r="K4">
            <v>0</v>
          </cell>
          <cell r="L4">
            <v>0.27561841317365271</v>
          </cell>
          <cell r="M4">
            <v>0</v>
          </cell>
          <cell r="N4">
            <v>0</v>
          </cell>
          <cell r="O4">
            <v>0</v>
          </cell>
          <cell r="P4">
            <v>38.562479999999994</v>
          </cell>
          <cell r="Q4">
            <v>10.628529545640717</v>
          </cell>
          <cell r="R4" t="str">
            <v>kg CO2 eq./a</v>
          </cell>
          <cell r="S4">
            <v>0</v>
          </cell>
          <cell r="T4">
            <v>4.8539893213572851</v>
          </cell>
          <cell r="U4">
            <v>0</v>
          </cell>
          <cell r="V4">
            <v>0</v>
          </cell>
          <cell r="W4">
            <v>0</v>
          </cell>
          <cell r="X4">
            <v>187.18186612505386</v>
          </cell>
          <cell r="Y4" t="str">
            <v>MJ/a</v>
          </cell>
        </row>
        <row r="5">
          <cell r="A5" t="str">
            <v>F1.3</v>
          </cell>
          <cell r="B5" t="str">
            <v>Flächenmanagement</v>
          </cell>
          <cell r="D5" t="str">
            <v>VWKh</v>
          </cell>
          <cell r="E5" t="str">
            <v>keine</v>
          </cell>
          <cell r="F5" t="str">
            <v>Mix ÖPNV/PKW</v>
          </cell>
          <cell r="G5">
            <v>8</v>
          </cell>
          <cell r="H5">
            <v>1.2</v>
          </cell>
          <cell r="I5">
            <v>0</v>
          </cell>
          <cell r="J5">
            <v>0</v>
          </cell>
          <cell r="K5">
            <v>0</v>
          </cell>
          <cell r="L5">
            <v>0.27561841317365271</v>
          </cell>
          <cell r="M5">
            <v>0</v>
          </cell>
          <cell r="N5">
            <v>0</v>
          </cell>
          <cell r="O5">
            <v>0</v>
          </cell>
          <cell r="P5">
            <v>0</v>
          </cell>
          <cell r="Q5">
            <v>0</v>
          </cell>
          <cell r="R5" t="str">
            <v>kg CO2 eq./a</v>
          </cell>
          <cell r="S5">
            <v>0</v>
          </cell>
          <cell r="T5">
            <v>4.8539893213572851</v>
          </cell>
          <cell r="U5">
            <v>0</v>
          </cell>
          <cell r="V5">
            <v>0</v>
          </cell>
          <cell r="W5">
            <v>0</v>
          </cell>
          <cell r="X5">
            <v>0</v>
          </cell>
          <cell r="Y5" t="str">
            <v>MJ/a</v>
          </cell>
        </row>
        <row r="7">
          <cell r="A7" t="str">
            <v>F2.1</v>
          </cell>
          <cell r="B7" t="str">
            <v>Technisches Gebäudemanagement</v>
          </cell>
          <cell r="D7" t="str">
            <v>VWKh</v>
          </cell>
          <cell r="E7" t="str">
            <v>keine</v>
          </cell>
          <cell r="F7" t="str">
            <v>Mix ÖPNV/PKW</v>
          </cell>
          <cell r="G7">
            <v>8</v>
          </cell>
          <cell r="H7">
            <v>1.2</v>
          </cell>
          <cell r="I7">
            <v>0</v>
          </cell>
          <cell r="J7">
            <v>0</v>
          </cell>
          <cell r="K7">
            <v>0</v>
          </cell>
          <cell r="L7">
            <v>0.27561841317365271</v>
          </cell>
          <cell r="M7">
            <v>0</v>
          </cell>
          <cell r="N7">
            <v>0</v>
          </cell>
          <cell r="O7">
            <v>0</v>
          </cell>
          <cell r="P7">
            <v>25.040571428571429</v>
          </cell>
          <cell r="Q7">
            <v>6.9016425621043629</v>
          </cell>
          <cell r="R7" t="str">
            <v>kg CO2 eq./a</v>
          </cell>
          <cell r="S7">
            <v>0</v>
          </cell>
          <cell r="T7">
            <v>4.8539893213572851</v>
          </cell>
          <cell r="U7">
            <v>0</v>
          </cell>
          <cell r="V7">
            <v>0</v>
          </cell>
          <cell r="W7">
            <v>0</v>
          </cell>
          <cell r="X7">
            <v>121.54666631497005</v>
          </cell>
          <cell r="Y7" t="str">
            <v>MJ/a</v>
          </cell>
        </row>
        <row r="8">
          <cell r="A8" t="str">
            <v>F2.2</v>
          </cell>
          <cell r="B8" t="str">
            <v>Inspektionen</v>
          </cell>
          <cell r="C8" t="str">
            <v xml:space="preserve">Materialien werden nicht berücksichtigt --&gt; wenn relevant fällt das wahrscheinlich schon unter große Instandsetzung </v>
          </cell>
          <cell r="D8" t="str">
            <v>TKh</v>
          </cell>
          <cell r="E8" t="str">
            <v>keine</v>
          </cell>
          <cell r="F8" t="str">
            <v>PKW</v>
          </cell>
          <cell r="G8">
            <v>2</v>
          </cell>
          <cell r="H8">
            <v>0.25</v>
          </cell>
          <cell r="I8">
            <v>0</v>
          </cell>
          <cell r="J8">
            <v>0</v>
          </cell>
          <cell r="K8">
            <v>0</v>
          </cell>
          <cell r="L8">
            <v>1.1703474868444927</v>
          </cell>
          <cell r="M8">
            <v>0</v>
          </cell>
          <cell r="N8">
            <v>0</v>
          </cell>
          <cell r="O8">
            <v>0</v>
          </cell>
          <cell r="P8">
            <v>0</v>
          </cell>
          <cell r="Q8">
            <v>0</v>
          </cell>
          <cell r="R8" t="str">
            <v>kg CO2 eq./a</v>
          </cell>
          <cell r="S8">
            <v>0</v>
          </cell>
          <cell r="T8">
            <v>18.452677674953122</v>
          </cell>
          <cell r="U8">
            <v>0</v>
          </cell>
          <cell r="V8">
            <v>0</v>
          </cell>
          <cell r="W8">
            <v>0</v>
          </cell>
          <cell r="X8">
            <v>0</v>
          </cell>
          <cell r="Y8" t="str">
            <v>MJ/a</v>
          </cell>
        </row>
        <row r="9">
          <cell r="A9" t="str">
            <v>F2.3</v>
          </cell>
          <cell r="B9" t="str">
            <v>Wartung</v>
          </cell>
          <cell r="D9" t="str">
            <v>TKh</v>
          </cell>
          <cell r="E9" t="str">
            <v>keine</v>
          </cell>
          <cell r="F9" t="str">
            <v>PKW</v>
          </cell>
          <cell r="G9">
            <v>2</v>
          </cell>
          <cell r="H9">
            <v>0.25</v>
          </cell>
          <cell r="I9">
            <v>0</v>
          </cell>
          <cell r="J9">
            <v>0</v>
          </cell>
          <cell r="K9">
            <v>0</v>
          </cell>
          <cell r="L9">
            <v>1.1703474868444927</v>
          </cell>
          <cell r="M9">
            <v>0</v>
          </cell>
          <cell r="N9">
            <v>0</v>
          </cell>
          <cell r="O9">
            <v>0</v>
          </cell>
          <cell r="P9">
            <v>36.600525714285716</v>
          </cell>
          <cell r="Q9">
            <v>42.835333286901523</v>
          </cell>
          <cell r="R9" t="str">
            <v>kg CO2 eq./a</v>
          </cell>
          <cell r="S9">
            <v>0</v>
          </cell>
          <cell r="T9">
            <v>18.452677674953122</v>
          </cell>
          <cell r="U9">
            <v>0</v>
          </cell>
          <cell r="V9">
            <v>0</v>
          </cell>
          <cell r="W9">
            <v>0</v>
          </cell>
          <cell r="X9">
            <v>675.37770373954777</v>
          </cell>
          <cell r="Y9" t="str">
            <v>MJ/a</v>
          </cell>
        </row>
        <row r="10">
          <cell r="A10" t="str">
            <v>F2.4</v>
          </cell>
          <cell r="B10" t="str">
            <v>Kleine Instandsetzung, Reparaturen</v>
          </cell>
          <cell r="D10" t="str">
            <v>TKh</v>
          </cell>
          <cell r="E10" t="str">
            <v>keine</v>
          </cell>
          <cell r="F10" t="str">
            <v>PKW</v>
          </cell>
          <cell r="G10">
            <v>2</v>
          </cell>
          <cell r="H10">
            <v>0.25</v>
          </cell>
          <cell r="I10">
            <v>0</v>
          </cell>
          <cell r="J10">
            <v>0</v>
          </cell>
          <cell r="K10">
            <v>0</v>
          </cell>
          <cell r="L10">
            <v>1.1703474868444927</v>
          </cell>
          <cell r="M10">
            <v>0</v>
          </cell>
          <cell r="N10">
            <v>0</v>
          </cell>
          <cell r="O10">
            <v>0</v>
          </cell>
          <cell r="P10">
            <v>121.55349166666667</v>
          </cell>
          <cell r="Q10">
            <v>142.25982348925632</v>
          </cell>
          <cell r="R10" t="str">
            <v>kg CO2 eq./a</v>
          </cell>
          <cell r="S10">
            <v>0</v>
          </cell>
          <cell r="T10">
            <v>18.452677674953122</v>
          </cell>
          <cell r="U10">
            <v>0</v>
          </cell>
          <cell r="V10">
            <v>0</v>
          </cell>
          <cell r="W10">
            <v>0</v>
          </cell>
          <cell r="X10">
            <v>2242.9874019901004</v>
          </cell>
          <cell r="Y10" t="str">
            <v>MJ/a</v>
          </cell>
        </row>
        <row r="12">
          <cell r="A12" t="str">
            <v>F4.1</v>
          </cell>
          <cell r="B12" t="str">
            <v>Unterhaltsreinigung</v>
          </cell>
          <cell r="D12" t="str">
            <v>RKh</v>
          </cell>
          <cell r="E12" t="str">
            <v>keine</v>
          </cell>
          <cell r="F12" t="str">
            <v>Mix ÖPNV/PKW</v>
          </cell>
          <cell r="G12">
            <v>4</v>
          </cell>
          <cell r="H12">
            <v>0.1</v>
          </cell>
          <cell r="I12">
            <v>0</v>
          </cell>
          <cell r="J12">
            <v>0</v>
          </cell>
          <cell r="K12">
            <v>0</v>
          </cell>
          <cell r="L12">
            <v>0.44265987570313919</v>
          </cell>
          <cell r="M12">
            <v>0</v>
          </cell>
          <cell r="N12">
            <v>0</v>
          </cell>
          <cell r="O12">
            <v>0</v>
          </cell>
          <cell r="P12">
            <v>1926.1608599999997</v>
          </cell>
          <cell r="Q12">
            <v>852.63412687185155</v>
          </cell>
          <cell r="R12" t="str">
            <v>kg CO2 eq./a</v>
          </cell>
          <cell r="S12">
            <v>0</v>
          </cell>
          <cell r="T12">
            <v>7.7958010312707904</v>
          </cell>
          <cell r="U12">
            <v>0</v>
          </cell>
          <cell r="V12">
            <v>0</v>
          </cell>
          <cell r="W12">
            <v>0</v>
          </cell>
          <cell r="X12">
            <v>15015.96681878143</v>
          </cell>
          <cell r="Y12" t="str">
            <v>MJ/a</v>
          </cell>
        </row>
        <row r="13">
          <cell r="A13" t="str">
            <v>F4.1.a</v>
          </cell>
          <cell r="B13" t="str">
            <v>Büro/Wohnflächenreinigungskosten</v>
          </cell>
          <cell r="D13" t="str">
            <v>RKh</v>
          </cell>
          <cell r="E13" t="str">
            <v>keine</v>
          </cell>
          <cell r="F13" t="str">
            <v>Mix ÖPNV/PKW</v>
          </cell>
          <cell r="G13">
            <v>4</v>
          </cell>
          <cell r="H13">
            <v>0.1</v>
          </cell>
          <cell r="I13">
            <v>0</v>
          </cell>
          <cell r="J13">
            <v>0</v>
          </cell>
          <cell r="K13">
            <v>0</v>
          </cell>
          <cell r="L13">
            <v>0.44265987570313919</v>
          </cell>
          <cell r="M13">
            <v>0</v>
          </cell>
          <cell r="N13">
            <v>0</v>
          </cell>
          <cell r="O13">
            <v>0</v>
          </cell>
          <cell r="P13">
            <v>429.11532000000005</v>
          </cell>
          <cell r="Q13">
            <v>189.95213421351284</v>
          </cell>
          <cell r="R13" t="str">
            <v>kg CO2 eq./a</v>
          </cell>
          <cell r="S13">
            <v>0</v>
          </cell>
          <cell r="T13">
            <v>7.7958010312707904</v>
          </cell>
          <cell r="U13">
            <v>0</v>
          </cell>
          <cell r="V13">
            <v>0</v>
          </cell>
          <cell r="W13">
            <v>0</v>
          </cell>
          <cell r="X13">
            <v>3345.2976541900957</v>
          </cell>
          <cell r="Y13" t="str">
            <v>MJ/a</v>
          </cell>
        </row>
        <row r="14">
          <cell r="A14" t="str">
            <v>F4.1.b</v>
          </cell>
          <cell r="B14" t="str">
            <v>Sanitärreinigungskosten</v>
          </cell>
          <cell r="D14" t="str">
            <v>RKh</v>
          </cell>
          <cell r="E14" t="str">
            <v>keine</v>
          </cell>
          <cell r="F14" t="str">
            <v>Mix ÖPNV/PKW</v>
          </cell>
          <cell r="G14">
            <v>4</v>
          </cell>
          <cell r="H14">
            <v>0.1</v>
          </cell>
          <cell r="I14">
            <v>0</v>
          </cell>
          <cell r="J14">
            <v>0</v>
          </cell>
          <cell r="K14">
            <v>0</v>
          </cell>
          <cell r="L14">
            <v>0.44265987570313919</v>
          </cell>
          <cell r="M14">
            <v>0</v>
          </cell>
          <cell r="N14">
            <v>0</v>
          </cell>
          <cell r="O14">
            <v>0</v>
          </cell>
          <cell r="P14">
            <v>1455.3142499999997</v>
          </cell>
          <cell r="Q14">
            <v>644.20922501400707</v>
          </cell>
          <cell r="R14" t="str">
            <v>kg CO2 eq./a</v>
          </cell>
          <cell r="S14">
            <v>0</v>
          </cell>
          <cell r="T14">
            <v>7.7958010312707904</v>
          </cell>
          <cell r="U14">
            <v>0</v>
          </cell>
          <cell r="V14">
            <v>0</v>
          </cell>
          <cell r="W14">
            <v>0</v>
          </cell>
          <cell r="X14">
            <v>11345.340330973075</v>
          </cell>
          <cell r="Y14" t="str">
            <v>MJ/a</v>
          </cell>
        </row>
        <row r="15">
          <cell r="A15" t="str">
            <v>F4.1.c</v>
          </cell>
          <cell r="B15" t="str">
            <v>Gang+Stiegenreinigungskosten</v>
          </cell>
          <cell r="D15" t="str">
            <v>RKh</v>
          </cell>
          <cell r="E15" t="str">
            <v>keine</v>
          </cell>
          <cell r="F15" t="str">
            <v>Mix ÖPNV/PKW</v>
          </cell>
          <cell r="G15">
            <v>4</v>
          </cell>
          <cell r="H15">
            <v>0.1</v>
          </cell>
          <cell r="I15">
            <v>1</v>
          </cell>
          <cell r="J15">
            <v>0</v>
          </cell>
          <cell r="K15">
            <v>0</v>
          </cell>
          <cell r="L15">
            <v>0.44265987570313919</v>
          </cell>
          <cell r="M15">
            <v>0</v>
          </cell>
          <cell r="N15">
            <v>0.39600000000000002</v>
          </cell>
          <cell r="O15">
            <v>0</v>
          </cell>
          <cell r="P15">
            <v>41.731289999999987</v>
          </cell>
          <cell r="Q15">
            <v>34.998358484331646</v>
          </cell>
          <cell r="R15" t="str">
            <v>kg CO2 eq./a</v>
          </cell>
          <cell r="S15">
            <v>0</v>
          </cell>
          <cell r="T15">
            <v>7.7958010312707904</v>
          </cell>
          <cell r="U15">
            <v>0</v>
          </cell>
          <cell r="V15">
            <v>5.3639999999999999</v>
          </cell>
          <cell r="W15">
            <v>0</v>
          </cell>
          <cell r="X15">
            <v>549.17547317826029</v>
          </cell>
          <cell r="Y15" t="str">
            <v>MJ/a</v>
          </cell>
        </row>
        <row r="16">
          <cell r="A16" t="str">
            <v>F4.1.d</v>
          </cell>
          <cell r="B16" t="str">
            <v>Tiefgaragen+Nebenflächenreinigungskosten</v>
          </cell>
          <cell r="D16" t="str">
            <v>RKh</v>
          </cell>
          <cell r="E16" t="str">
            <v>keine</v>
          </cell>
          <cell r="F16" t="str">
            <v>Mix ÖPNV/PKW</v>
          </cell>
          <cell r="G16">
            <v>8</v>
          </cell>
          <cell r="H16">
            <v>0.1</v>
          </cell>
          <cell r="I16">
            <v>1</v>
          </cell>
          <cell r="J16">
            <v>0</v>
          </cell>
          <cell r="K16">
            <v>0</v>
          </cell>
          <cell r="L16">
            <v>0.27561841317365271</v>
          </cell>
          <cell r="M16">
            <v>0</v>
          </cell>
          <cell r="N16">
            <v>0.39600000000000002</v>
          </cell>
          <cell r="O16">
            <v>0</v>
          </cell>
          <cell r="P16">
            <v>0</v>
          </cell>
          <cell r="Q16">
            <v>0</v>
          </cell>
          <cell r="R16" t="str">
            <v>kg CO2 eq./a</v>
          </cell>
          <cell r="S16">
            <v>0</v>
          </cell>
          <cell r="T16">
            <v>4.8539893213572851</v>
          </cell>
          <cell r="U16">
            <v>0</v>
          </cell>
          <cell r="V16">
            <v>5.3639999999999999</v>
          </cell>
          <cell r="W16">
            <v>0</v>
          </cell>
          <cell r="X16">
            <v>0</v>
          </cell>
          <cell r="Y16" t="str">
            <v>MJ/a</v>
          </cell>
        </row>
        <row r="18">
          <cell r="A18" t="str">
            <v>F4.2.a</v>
          </cell>
          <cell r="B18" t="str">
            <v>Fensterreinigungskosten</v>
          </cell>
          <cell r="C18" t="str">
            <v>abzüglich Kosten für Hebebühne</v>
          </cell>
          <cell r="D18" t="str">
            <v>RKh</v>
          </cell>
          <cell r="E18" t="str">
            <v>keine</v>
          </cell>
          <cell r="F18" t="str">
            <v>PKW</v>
          </cell>
          <cell r="G18">
            <v>8</v>
          </cell>
          <cell r="H18">
            <v>0.1</v>
          </cell>
          <cell r="I18">
            <v>0</v>
          </cell>
          <cell r="J18">
            <v>0</v>
          </cell>
          <cell r="K18">
            <v>0</v>
          </cell>
          <cell r="L18">
            <v>0.4490868263473054</v>
          </cell>
          <cell r="M18">
            <v>0</v>
          </cell>
          <cell r="N18">
            <v>0</v>
          </cell>
          <cell r="O18">
            <v>0</v>
          </cell>
          <cell r="P18">
            <v>4.7509090909090919</v>
          </cell>
          <cell r="Q18">
            <v>2.133570685900926</v>
          </cell>
          <cell r="R18" t="str">
            <v>kg CO2 eq./a</v>
          </cell>
          <cell r="S18">
            <v>0</v>
          </cell>
          <cell r="T18">
            <v>7.0806786427145694</v>
          </cell>
          <cell r="U18">
            <v>0</v>
          </cell>
          <cell r="V18">
            <v>0</v>
          </cell>
          <cell r="W18">
            <v>0</v>
          </cell>
          <cell r="X18">
            <v>33.639660533478498</v>
          </cell>
          <cell r="Y18" t="str">
            <v>MJ/a</v>
          </cell>
        </row>
        <row r="19">
          <cell r="A19" t="str">
            <v>F4.2.b</v>
          </cell>
          <cell r="B19" t="str">
            <v>Innenglasflächenreinigung</v>
          </cell>
          <cell r="C19" t="str">
            <v>abzüglich Kosten für Hebebühne</v>
          </cell>
          <cell r="D19" t="str">
            <v>RKh</v>
          </cell>
          <cell r="E19" t="str">
            <v>keine</v>
          </cell>
          <cell r="F19" t="str">
            <v>PKW</v>
          </cell>
          <cell r="G19">
            <v>8</v>
          </cell>
          <cell r="H19">
            <v>0.1</v>
          </cell>
          <cell r="I19">
            <v>0</v>
          </cell>
          <cell r="J19">
            <v>0</v>
          </cell>
          <cell r="K19">
            <v>0</v>
          </cell>
          <cell r="L19">
            <v>0.4490868263473054</v>
          </cell>
          <cell r="M19">
            <v>0</v>
          </cell>
          <cell r="N19">
            <v>0</v>
          </cell>
          <cell r="O19">
            <v>0</v>
          </cell>
          <cell r="P19">
            <v>88.550000000000011</v>
          </cell>
          <cell r="Q19">
            <v>39.766638473053895</v>
          </cell>
          <cell r="R19" t="str">
            <v>kg CO2 eq./a</v>
          </cell>
          <cell r="S19">
            <v>0</v>
          </cell>
          <cell r="T19">
            <v>7.0806786427145694</v>
          </cell>
          <cell r="U19">
            <v>0</v>
          </cell>
          <cell r="V19">
            <v>0</v>
          </cell>
          <cell r="W19">
            <v>0</v>
          </cell>
          <cell r="X19">
            <v>626.99409381237524</v>
          </cell>
          <cell r="Y19" t="str">
            <v>MJ/a</v>
          </cell>
        </row>
        <row r="20">
          <cell r="A20" t="str">
            <v>F4.3</v>
          </cell>
          <cell r="B20" t="str">
            <v>Fassadenreinigung</v>
          </cell>
          <cell r="C20" t="str">
            <v>abzüglich Kosten für Hebebühne</v>
          </cell>
          <cell r="D20" t="str">
            <v>RKh</v>
          </cell>
          <cell r="E20" t="str">
            <v>keine</v>
          </cell>
          <cell r="F20" t="str">
            <v>PKW</v>
          </cell>
          <cell r="G20">
            <v>8</v>
          </cell>
          <cell r="H20">
            <v>0.1</v>
          </cell>
          <cell r="I20">
            <v>1</v>
          </cell>
          <cell r="J20">
            <v>0</v>
          </cell>
          <cell r="K20">
            <v>0</v>
          </cell>
          <cell r="L20">
            <v>0.4490868263473054</v>
          </cell>
          <cell r="M20">
            <v>0</v>
          </cell>
          <cell r="N20">
            <v>0.39600000000000002</v>
          </cell>
          <cell r="O20">
            <v>0</v>
          </cell>
          <cell r="P20">
            <v>6.7636363636363628</v>
          </cell>
          <cell r="Q20">
            <v>5.7158599891126833</v>
          </cell>
          <cell r="R20" t="str">
            <v>kg CO2 eq./a</v>
          </cell>
          <cell r="S20">
            <v>0</v>
          </cell>
          <cell r="T20">
            <v>7.0806786427145694</v>
          </cell>
          <cell r="U20">
            <v>0</v>
          </cell>
          <cell r="V20">
            <v>5.3639999999999999</v>
          </cell>
          <cell r="W20">
            <v>0</v>
          </cell>
          <cell r="X20">
            <v>84.171281001633076</v>
          </cell>
          <cell r="Y20" t="str">
            <v>MJ/a</v>
          </cell>
        </row>
        <row r="21">
          <cell r="A21" t="str">
            <v>F4.4.a</v>
          </cell>
          <cell r="B21" t="str">
            <v>Sonnenschutzreinigungskosten</v>
          </cell>
          <cell r="C21" t="str">
            <v>abzüglich Kosten für Hebebühne</v>
          </cell>
          <cell r="D21" t="str">
            <v>RKh</v>
          </cell>
          <cell r="E21" t="str">
            <v>keine</v>
          </cell>
          <cell r="F21" t="str">
            <v>PKW</v>
          </cell>
          <cell r="G21">
            <v>8</v>
          </cell>
          <cell r="H21">
            <v>0.1</v>
          </cell>
          <cell r="I21">
            <v>1</v>
          </cell>
          <cell r="J21">
            <v>0</v>
          </cell>
          <cell r="K21">
            <v>0</v>
          </cell>
          <cell r="L21">
            <v>0.4490868263473054</v>
          </cell>
          <cell r="M21">
            <v>0</v>
          </cell>
          <cell r="N21">
            <v>0.39600000000000002</v>
          </cell>
          <cell r="O21">
            <v>0</v>
          </cell>
          <cell r="P21">
            <v>15.750000000000002</v>
          </cell>
          <cell r="Q21">
            <v>13.310117514970063</v>
          </cell>
          <cell r="R21" t="str">
            <v>kg CO2 eq./a</v>
          </cell>
          <cell r="S21">
            <v>0</v>
          </cell>
          <cell r="T21">
            <v>7.0806786427145694</v>
          </cell>
          <cell r="U21">
            <v>0</v>
          </cell>
          <cell r="V21">
            <v>5.3639999999999999</v>
          </cell>
          <cell r="W21">
            <v>0</v>
          </cell>
          <cell r="X21">
            <v>196.00368862275448</v>
          </cell>
          <cell r="Y21" t="str">
            <v>MJ/a</v>
          </cell>
        </row>
        <row r="22">
          <cell r="A22" t="str">
            <v>F4.4.b</v>
          </cell>
          <cell r="B22" t="str">
            <v>Reinigungskosten PV und Solarthermie</v>
          </cell>
          <cell r="C22" t="str">
            <v>abzüglich Kosten für Hebebühne</v>
          </cell>
          <cell r="D22" t="str">
            <v>RKh</v>
          </cell>
          <cell r="E22" t="str">
            <v>keine</v>
          </cell>
          <cell r="F22" t="str">
            <v>PKW</v>
          </cell>
          <cell r="G22">
            <v>8</v>
          </cell>
          <cell r="H22">
            <v>0.1</v>
          </cell>
          <cell r="I22">
            <v>1</v>
          </cell>
          <cell r="J22">
            <v>0</v>
          </cell>
          <cell r="K22">
            <v>0</v>
          </cell>
          <cell r="L22">
            <v>0.4490868263473054</v>
          </cell>
          <cell r="M22">
            <v>0</v>
          </cell>
          <cell r="N22">
            <v>0.39600000000000002</v>
          </cell>
          <cell r="O22">
            <v>0</v>
          </cell>
          <cell r="P22">
            <v>0</v>
          </cell>
          <cell r="Q22">
            <v>0</v>
          </cell>
          <cell r="R22" t="str">
            <v>kg CO2 eq./a</v>
          </cell>
          <cell r="S22">
            <v>0</v>
          </cell>
          <cell r="T22">
            <v>7.0806786427145694</v>
          </cell>
          <cell r="U22">
            <v>0</v>
          </cell>
          <cell r="V22">
            <v>5.3639999999999999</v>
          </cell>
          <cell r="W22">
            <v>0</v>
          </cell>
          <cell r="X22">
            <v>0</v>
          </cell>
          <cell r="Y22" t="str">
            <v>MJ/a</v>
          </cell>
        </row>
        <row r="24">
          <cell r="A24" t="str">
            <v>F4.5</v>
          </cell>
          <cell r="B24" t="str">
            <v>Winterdienste</v>
          </cell>
          <cell r="D24" t="str">
            <v>GKh</v>
          </cell>
          <cell r="E24" t="str">
            <v>keine</v>
          </cell>
          <cell r="F24" t="str">
            <v>PKW</v>
          </cell>
          <cell r="G24">
            <v>2</v>
          </cell>
          <cell r="H24">
            <v>0.1</v>
          </cell>
          <cell r="I24">
            <v>0</v>
          </cell>
          <cell r="J24">
            <v>0.5</v>
          </cell>
          <cell r="K24">
            <v>0</v>
          </cell>
          <cell r="L24">
            <v>1.1703474868444927</v>
          </cell>
          <cell r="M24">
            <v>0</v>
          </cell>
          <cell r="N24">
            <v>0</v>
          </cell>
          <cell r="O24">
            <v>1.6519999999999999</v>
          </cell>
          <cell r="P24">
            <v>6.6139999999999999</v>
          </cell>
          <cell r="Q24">
            <v>18.667006277989472</v>
          </cell>
          <cell r="R24" t="str">
            <v>kg CO2 eq./a</v>
          </cell>
          <cell r="S24">
            <v>0</v>
          </cell>
          <cell r="T24">
            <v>18.452677674953122</v>
          </cell>
          <cell r="U24">
            <v>0</v>
          </cell>
          <cell r="V24">
            <v>0</v>
          </cell>
          <cell r="W24">
            <v>23.297499999999999</v>
          </cell>
          <cell r="X24">
            <v>276.13567514213992</v>
          </cell>
          <cell r="Y24" t="str">
            <v>MJ/a</v>
          </cell>
        </row>
        <row r="25">
          <cell r="A25" t="str">
            <v>F4.6</v>
          </cell>
          <cell r="B25" t="str">
            <v>Reinigung Außenanlagen</v>
          </cell>
          <cell r="D25" t="str">
            <v>GKh</v>
          </cell>
          <cell r="E25" t="str">
            <v>keine</v>
          </cell>
          <cell r="F25" t="str">
            <v>PKW</v>
          </cell>
          <cell r="G25">
            <v>8</v>
          </cell>
          <cell r="H25">
            <v>0.1</v>
          </cell>
          <cell r="I25">
            <v>0</v>
          </cell>
          <cell r="J25">
            <v>0</v>
          </cell>
          <cell r="K25">
            <v>0</v>
          </cell>
          <cell r="L25">
            <v>0.4490868263473054</v>
          </cell>
          <cell r="M25">
            <v>0</v>
          </cell>
          <cell r="N25">
            <v>0</v>
          </cell>
          <cell r="O25">
            <v>0</v>
          </cell>
          <cell r="P25">
            <v>1.8988793999999996</v>
          </cell>
          <cell r="Q25">
            <v>0.85276172336227529</v>
          </cell>
          <cell r="R25" t="str">
            <v>kg CO2 eq./a</v>
          </cell>
          <cell r="S25">
            <v>0</v>
          </cell>
          <cell r="T25">
            <v>7.0806786427145694</v>
          </cell>
          <cell r="U25">
            <v>0</v>
          </cell>
          <cell r="V25">
            <v>0</v>
          </cell>
          <cell r="W25">
            <v>0</v>
          </cell>
          <cell r="X25">
            <v>13.445354812670653</v>
          </cell>
          <cell r="Y25" t="str">
            <v>MJ/a</v>
          </cell>
        </row>
        <row r="26">
          <cell r="A26" t="str">
            <v>F4.7</v>
          </cell>
          <cell r="B26" t="str">
            <v>Gärtnerdienste</v>
          </cell>
          <cell r="D26" t="str">
            <v>GKh</v>
          </cell>
          <cell r="E26" t="str">
            <v>keine</v>
          </cell>
          <cell r="F26" t="str">
            <v>PKW</v>
          </cell>
          <cell r="G26">
            <v>8</v>
          </cell>
          <cell r="H26">
            <v>0.1</v>
          </cell>
          <cell r="I26">
            <v>0</v>
          </cell>
          <cell r="J26">
            <v>0.5</v>
          </cell>
          <cell r="K26">
            <v>0</v>
          </cell>
          <cell r="L26">
            <v>0.4490868263473054</v>
          </cell>
          <cell r="M26">
            <v>0</v>
          </cell>
          <cell r="N26">
            <v>0</v>
          </cell>
          <cell r="O26">
            <v>1.6519999999999999</v>
          </cell>
          <cell r="P26">
            <v>151.32239999999999</v>
          </cell>
          <cell r="Q26">
            <v>317.94150117125741</v>
          </cell>
          <cell r="R26" t="str">
            <v>kg CO2 eq./a</v>
          </cell>
          <cell r="S26">
            <v>0</v>
          </cell>
          <cell r="T26">
            <v>7.0806786427145694</v>
          </cell>
          <cell r="U26">
            <v>0</v>
          </cell>
          <cell r="V26">
            <v>0</v>
          </cell>
          <cell r="W26">
            <v>23.297499999999999</v>
          </cell>
          <cell r="X26">
            <v>4596.898899844311</v>
          </cell>
          <cell r="Y26" t="str">
            <v>MJ/a</v>
          </cell>
        </row>
        <row r="28">
          <cell r="A28" t="str">
            <v>F5.1</v>
          </cell>
          <cell r="B28" t="str">
            <v>Sicherheitsdienste (Schließdienste, Bewachung)</v>
          </cell>
          <cell r="D28" t="str">
            <v>SKh</v>
          </cell>
          <cell r="E28" t="str">
            <v>keine</v>
          </cell>
          <cell r="F28" t="str">
            <v>PKW</v>
          </cell>
          <cell r="G28">
            <v>4</v>
          </cell>
          <cell r="H28">
            <v>0.1</v>
          </cell>
          <cell r="I28">
            <v>0</v>
          </cell>
          <cell r="J28">
            <v>0</v>
          </cell>
          <cell r="K28">
            <v>0</v>
          </cell>
          <cell r="L28">
            <v>0.7212606604971874</v>
          </cell>
          <cell r="M28">
            <v>0</v>
          </cell>
          <cell r="N28">
            <v>0</v>
          </cell>
          <cell r="O28">
            <v>0</v>
          </cell>
          <cell r="P28">
            <v>53.315550000000002</v>
          </cell>
          <cell r="Q28">
            <v>38.454408807770818</v>
          </cell>
          <cell r="R28" t="str">
            <v>kg CO2 eq./a</v>
          </cell>
          <cell r="S28">
            <v>0</v>
          </cell>
          <cell r="T28">
            <v>11.371999032238552</v>
          </cell>
          <cell r="U28">
            <v>0</v>
          </cell>
          <cell r="V28">
            <v>0</v>
          </cell>
          <cell r="W28">
            <v>0</v>
          </cell>
          <cell r="X28">
            <v>606.30438300326614</v>
          </cell>
          <cell r="Y28" t="str">
            <v>MJ/a</v>
          </cell>
        </row>
        <row r="29">
          <cell r="A29" t="str">
            <v>F5.2</v>
          </cell>
          <cell r="B29" t="str">
            <v>Brandschutzdienste</v>
          </cell>
          <cell r="C29" t="str">
            <v>organisatorischer Brandschutz - kein CO2</v>
          </cell>
          <cell r="D29" t="str">
            <v>CSh</v>
          </cell>
          <cell r="E29" t="str">
            <v>keine</v>
          </cell>
          <cell r="F29" t="str">
            <v>PKW</v>
          </cell>
          <cell r="G29">
            <v>8</v>
          </cell>
          <cell r="H29">
            <v>1.2</v>
          </cell>
          <cell r="I29">
            <v>0</v>
          </cell>
          <cell r="J29">
            <v>0</v>
          </cell>
          <cell r="K29">
            <v>0</v>
          </cell>
          <cell r="L29">
            <v>0.4490868263473054</v>
          </cell>
          <cell r="M29">
            <v>0</v>
          </cell>
          <cell r="N29">
            <v>0</v>
          </cell>
          <cell r="O29">
            <v>0</v>
          </cell>
          <cell r="P29">
            <v>0</v>
          </cell>
          <cell r="Q29">
            <v>0</v>
          </cell>
          <cell r="R29" t="str">
            <v>kg CO2 eq./a</v>
          </cell>
          <cell r="S29">
            <v>0</v>
          </cell>
          <cell r="T29">
            <v>7.0806786427145694</v>
          </cell>
          <cell r="U29">
            <v>0</v>
          </cell>
          <cell r="V29">
            <v>0</v>
          </cell>
          <cell r="W29">
            <v>0</v>
          </cell>
          <cell r="X29">
            <v>0</v>
          </cell>
          <cell r="Y29" t="str">
            <v>MJ/a</v>
          </cell>
        </row>
        <row r="31">
          <cell r="A31" t="str">
            <v>F6.1</v>
          </cell>
          <cell r="B31" t="str">
            <v>Hauspost (Verteilung der Post im Haus)</v>
          </cell>
          <cell r="D31" t="str">
            <v>SKh</v>
          </cell>
          <cell r="E31" t="str">
            <v>keine</v>
          </cell>
          <cell r="F31" t="str">
            <v>Mix ÖPNV/PKW</v>
          </cell>
          <cell r="G31">
            <v>8</v>
          </cell>
          <cell r="H31">
            <v>0</v>
          </cell>
          <cell r="I31">
            <v>0</v>
          </cell>
          <cell r="J31">
            <v>0</v>
          </cell>
          <cell r="K31">
            <v>0</v>
          </cell>
          <cell r="L31">
            <v>0.27561841317365271</v>
          </cell>
          <cell r="M31">
            <v>0</v>
          </cell>
          <cell r="N31">
            <v>0</v>
          </cell>
          <cell r="O31">
            <v>0</v>
          </cell>
          <cell r="P31">
            <v>0</v>
          </cell>
          <cell r="Q31">
            <v>0</v>
          </cell>
          <cell r="R31" t="str">
            <v>kg CO2 eq./a</v>
          </cell>
          <cell r="S31">
            <v>0</v>
          </cell>
          <cell r="T31">
            <v>4.8539893213572851</v>
          </cell>
          <cell r="U31">
            <v>0</v>
          </cell>
          <cell r="V31">
            <v>0</v>
          </cell>
          <cell r="W31">
            <v>0</v>
          </cell>
          <cell r="X31">
            <v>0</v>
          </cell>
          <cell r="Y31" t="str">
            <v>MJ/a</v>
          </cell>
        </row>
        <row r="32">
          <cell r="A32" t="str">
            <v>F6.2</v>
          </cell>
          <cell r="B32" t="str">
            <v>Kommunikations- und Informationstechnik</v>
          </cell>
          <cell r="D32" t="str">
            <v>TKh</v>
          </cell>
          <cell r="E32" t="str">
            <v>keine</v>
          </cell>
          <cell r="F32" t="str">
            <v>PKW</v>
          </cell>
          <cell r="G32">
            <v>2</v>
          </cell>
          <cell r="H32">
            <v>0.25</v>
          </cell>
          <cell r="I32">
            <v>0</v>
          </cell>
          <cell r="J32">
            <v>0</v>
          </cell>
          <cell r="K32">
            <v>0</v>
          </cell>
          <cell r="L32">
            <v>1.1703474868444927</v>
          </cell>
          <cell r="M32">
            <v>0</v>
          </cell>
          <cell r="N32">
            <v>0</v>
          </cell>
          <cell r="O32">
            <v>0</v>
          </cell>
          <cell r="P32">
            <v>0</v>
          </cell>
          <cell r="Q32">
            <v>0</v>
          </cell>
          <cell r="R32" t="str">
            <v>kg CO2 eq./a</v>
          </cell>
          <cell r="S32">
            <v>0</v>
          </cell>
          <cell r="T32">
            <v>18.452677674953122</v>
          </cell>
          <cell r="U32">
            <v>0</v>
          </cell>
          <cell r="V32">
            <v>0</v>
          </cell>
          <cell r="W32">
            <v>0</v>
          </cell>
          <cell r="X32">
            <v>0</v>
          </cell>
          <cell r="Y32" t="str">
            <v>MJ/a</v>
          </cell>
        </row>
        <row r="33">
          <cell r="A33" t="str">
            <v>F6.3</v>
          </cell>
          <cell r="B33" t="str">
            <v>Umzüge - interne Transporte, Hausarbeiterdienste</v>
          </cell>
          <cell r="D33" t="str">
            <v>TKh</v>
          </cell>
          <cell r="E33" t="str">
            <v>keine</v>
          </cell>
          <cell r="F33" t="str">
            <v>PKW</v>
          </cell>
          <cell r="G33">
            <v>8</v>
          </cell>
          <cell r="H33">
            <v>0.25</v>
          </cell>
          <cell r="I33">
            <v>0</v>
          </cell>
          <cell r="J33">
            <v>0</v>
          </cell>
          <cell r="K33">
            <v>0</v>
          </cell>
          <cell r="L33">
            <v>0.4490868263473054</v>
          </cell>
          <cell r="M33">
            <v>0</v>
          </cell>
          <cell r="N33">
            <v>0</v>
          </cell>
          <cell r="O33">
            <v>0</v>
          </cell>
          <cell r="P33">
            <v>535.71428571428567</v>
          </cell>
          <cell r="Q33">
            <v>240.58222840034216</v>
          </cell>
          <cell r="R33" t="str">
            <v>kg CO2 eq./a</v>
          </cell>
          <cell r="S33">
            <v>0</v>
          </cell>
          <cell r="T33">
            <v>7.0806786427145694</v>
          </cell>
          <cell r="U33">
            <v>0</v>
          </cell>
          <cell r="V33">
            <v>0</v>
          </cell>
          <cell r="W33">
            <v>0</v>
          </cell>
          <cell r="X33">
            <v>3793.2207014542332</v>
          </cell>
          <cell r="Y33" t="str">
            <v>MJ/a</v>
          </cell>
        </row>
        <row r="34">
          <cell r="A34" t="str">
            <v>F6.4</v>
          </cell>
          <cell r="B34" t="str">
            <v>Empfang und interne Bürodienste</v>
          </cell>
          <cell r="D34" t="str">
            <v>SKh</v>
          </cell>
          <cell r="E34" t="str">
            <v>keine</v>
          </cell>
          <cell r="F34" t="str">
            <v>Mix ÖPNV/PKW</v>
          </cell>
          <cell r="G34">
            <v>8</v>
          </cell>
          <cell r="H34">
            <v>0</v>
          </cell>
          <cell r="I34">
            <v>0</v>
          </cell>
          <cell r="J34">
            <v>0</v>
          </cell>
          <cell r="K34">
            <v>0</v>
          </cell>
          <cell r="L34">
            <v>0.27561841317365271</v>
          </cell>
          <cell r="M34">
            <v>0</v>
          </cell>
          <cell r="N34">
            <v>0</v>
          </cell>
          <cell r="O34">
            <v>0</v>
          </cell>
          <cell r="P34">
            <v>0</v>
          </cell>
          <cell r="Q34">
            <v>0</v>
          </cell>
          <cell r="R34" t="str">
            <v>kg CO2 eq./a</v>
          </cell>
          <cell r="S34">
            <v>0</v>
          </cell>
          <cell r="T34">
            <v>4.8539893213572851</v>
          </cell>
          <cell r="U34">
            <v>0</v>
          </cell>
          <cell r="V34">
            <v>0</v>
          </cell>
          <cell r="W34">
            <v>0</v>
          </cell>
          <cell r="X34">
            <v>0</v>
          </cell>
          <cell r="Y34" t="str">
            <v>MJ/a</v>
          </cell>
        </row>
        <row r="39">
          <cell r="A39" t="str">
            <v>Bitte auswählen</v>
          </cell>
        </row>
        <row r="40">
          <cell r="A40" t="str">
            <v>ÖPNV</v>
          </cell>
          <cell r="B40">
            <v>4.0859999999999994E-2</v>
          </cell>
          <cell r="C40">
            <v>1.0509199999999999</v>
          </cell>
        </row>
        <row r="41">
          <cell r="A41" t="str">
            <v>Mix ÖPNV/PKW</v>
          </cell>
          <cell r="B41">
            <v>0.11024736526946108</v>
          </cell>
          <cell r="C41">
            <v>1.941595728542914</v>
          </cell>
        </row>
        <row r="42">
          <cell r="A42" t="str">
            <v>PKW</v>
          </cell>
          <cell r="B42">
            <v>0.17963473053892215</v>
          </cell>
          <cell r="C42">
            <v>2.8322714570858278</v>
          </cell>
        </row>
        <row r="43">
          <cell r="A43" t="str">
            <v>keine</v>
          </cell>
          <cell r="B43">
            <v>0</v>
          </cell>
          <cell r="C43">
            <v>0</v>
          </cell>
        </row>
      </sheetData>
      <sheetData sheetId="18">
        <row r="2">
          <cell r="D2" t="str">
            <v>Große Instandsetzung</v>
          </cell>
          <cell r="G2" t="str">
            <v>zurück zu "Nutzung und Betrieb"</v>
          </cell>
        </row>
        <row r="3">
          <cell r="C3" t="str">
            <v>GIF</v>
          </cell>
          <cell r="D3" t="str">
            <v>Rohbauerneuerung bei Großer Instandsetzung</v>
          </cell>
          <cell r="G3">
            <v>15</v>
          </cell>
          <cell r="H3">
            <v>15</v>
          </cell>
        </row>
        <row r="4">
          <cell r="C4" t="str">
            <v>PLANUNG</v>
          </cell>
          <cell r="D4" t="str">
            <v>Anteil Planung, Nebenleistungen und Reserven in den EK</v>
          </cell>
          <cell r="F4" t="str">
            <v>E7/BK*100</v>
          </cell>
          <cell r="G4">
            <v>11.82962948827551</v>
          </cell>
          <cell r="H4">
            <v>11.82962948827551</v>
          </cell>
        </row>
        <row r="5">
          <cell r="C5" t="str">
            <v>EINZELP</v>
          </cell>
          <cell r="D5" t="str">
            <v>Zu-/Abschlag für die Einzelplanung der Instandsetzungen</v>
          </cell>
          <cell r="G5">
            <v>100</v>
          </cell>
          <cell r="H5">
            <v>100</v>
          </cell>
        </row>
        <row r="6">
          <cell r="C6" t="str">
            <v>PFAKT</v>
          </cell>
          <cell r="D6" t="str">
            <v>Planungsfaktor für große Instandsetzung</v>
          </cell>
          <cell r="F6" t="str">
            <v>1+(PLANUNG/100*(1+EINZELP/100))</v>
          </cell>
          <cell r="G6">
            <v>1.2365925897655101</v>
          </cell>
          <cell r="H6">
            <v>1.2365925897655101</v>
          </cell>
        </row>
        <row r="7">
          <cell r="D7" t="str">
            <v>Ausmalen</v>
          </cell>
        </row>
        <row r="8">
          <cell r="C8" t="str">
            <v>AUSMKm2</v>
          </cell>
          <cell r="D8" t="str">
            <v>Ausmalkosten</v>
          </cell>
          <cell r="G8">
            <v>2.88</v>
          </cell>
          <cell r="H8">
            <v>2.88</v>
          </cell>
        </row>
        <row r="9">
          <cell r="G9" t="str">
            <v>zurück zu "Nutzung und Betrieb"</v>
          </cell>
        </row>
        <row r="60">
          <cell r="D60" t="str">
            <v>Nutzungsdauern</v>
          </cell>
          <cell r="G60" t="str">
            <v>zurück zu "Nutzung und Betrieb"</v>
          </cell>
        </row>
        <row r="61">
          <cell r="C61" t="str">
            <v>E2</v>
          </cell>
          <cell r="D61" t="str">
            <v>Bauwerk - Rohbau</v>
          </cell>
        </row>
        <row r="62">
          <cell r="C62" t="str">
            <v>E2.A</v>
          </cell>
          <cell r="D62" t="str">
            <v>Allgemein</v>
          </cell>
          <cell r="E62" t="str">
            <v>Defaultwert aus LEKOS</v>
          </cell>
          <cell r="G62">
            <v>30</v>
          </cell>
          <cell r="H62">
            <v>30</v>
          </cell>
          <cell r="J62" t="str">
            <v>Jahre</v>
          </cell>
        </row>
        <row r="63">
          <cell r="C63" t="str">
            <v>E2.B</v>
          </cell>
          <cell r="D63" t="str">
            <v>Erdarbeiten, Baugrube</v>
          </cell>
          <cell r="E63" t="str">
            <v>Defaultwert aus LEKOS</v>
          </cell>
          <cell r="G63">
            <v>100</v>
          </cell>
          <cell r="H63">
            <v>100</v>
          </cell>
          <cell r="J63" t="str">
            <v>Jahre</v>
          </cell>
        </row>
        <row r="64">
          <cell r="C64" t="str">
            <v>E2.C</v>
          </cell>
          <cell r="D64" t="str">
            <v>Gründungen, Bodenkonstruktionen</v>
          </cell>
          <cell r="E64" t="str">
            <v>Defaultwert aus LEKOS</v>
          </cell>
          <cell r="G64">
            <v>100</v>
          </cell>
          <cell r="H64">
            <v>100</v>
          </cell>
          <cell r="J64" t="str">
            <v>Jahre</v>
          </cell>
        </row>
        <row r="65">
          <cell r="C65" t="str">
            <v>E2.C.03</v>
          </cell>
          <cell r="D65" t="str">
            <v>Flachgründungen</v>
          </cell>
        </row>
        <row r="66">
          <cell r="C66" t="str">
            <v>E2.C.03a</v>
          </cell>
          <cell r="D66" t="str">
            <v>Fundamentplatte inkl. Rollierung</v>
          </cell>
          <cell r="G66" t="str">
            <v>k.A.</v>
          </cell>
          <cell r="H66" t="str">
            <v>k.A.</v>
          </cell>
          <cell r="J66" t="str">
            <v>Jahre</v>
          </cell>
        </row>
        <row r="67">
          <cell r="C67" t="str">
            <v>E2.C.03b</v>
          </cell>
          <cell r="D67" t="str">
            <v>Wärmedämmung</v>
          </cell>
          <cell r="G67">
            <v>100</v>
          </cell>
          <cell r="H67">
            <v>100</v>
          </cell>
          <cell r="J67" t="str">
            <v>Jahre</v>
          </cell>
        </row>
        <row r="68">
          <cell r="C68" t="str">
            <v>E2.C.03c</v>
          </cell>
          <cell r="D68" t="str">
            <v>Bodenaufbau (Estrich)</v>
          </cell>
          <cell r="G68" t="str">
            <v>k.A.</v>
          </cell>
          <cell r="H68" t="str">
            <v>k.A.</v>
          </cell>
          <cell r="J68" t="str">
            <v>Jahre</v>
          </cell>
        </row>
        <row r="69">
          <cell r="C69" t="str">
            <v>E2.C.04</v>
          </cell>
          <cell r="D69" t="str">
            <v>Bodenkonstruktionen</v>
          </cell>
        </row>
        <row r="70">
          <cell r="C70" t="str">
            <v>E2.C.04a</v>
          </cell>
          <cell r="D70" t="str">
            <v>Fundamentplatte inkl. Rollierung</v>
          </cell>
          <cell r="G70">
            <v>100</v>
          </cell>
          <cell r="H70">
            <v>100</v>
          </cell>
          <cell r="J70" t="str">
            <v>Jahre</v>
          </cell>
        </row>
        <row r="71">
          <cell r="C71" t="str">
            <v>E2.C.04b</v>
          </cell>
          <cell r="D71" t="str">
            <v>Wärmedämmung</v>
          </cell>
          <cell r="G71">
            <v>50</v>
          </cell>
          <cell r="H71">
            <v>50</v>
          </cell>
          <cell r="J71" t="str">
            <v>Jahre</v>
          </cell>
        </row>
        <row r="72">
          <cell r="C72" t="str">
            <v>E2.C.04c</v>
          </cell>
          <cell r="D72" t="str">
            <v>Bodenaufbau (Estrich)</v>
          </cell>
          <cell r="G72">
            <v>50</v>
          </cell>
          <cell r="H72">
            <v>50</v>
          </cell>
          <cell r="J72" t="str">
            <v>Jahre</v>
          </cell>
        </row>
        <row r="73">
          <cell r="C73" t="str">
            <v>E2.C.05</v>
          </cell>
          <cell r="D73" t="str">
            <v>Bauwerksabdichtungen</v>
          </cell>
          <cell r="G73" t="str">
            <v>k.A.</v>
          </cell>
          <cell r="H73" t="str">
            <v>k.A.</v>
          </cell>
          <cell r="J73" t="str">
            <v>Jahre</v>
          </cell>
        </row>
        <row r="74">
          <cell r="C74" t="str">
            <v>E2.C.S</v>
          </cell>
          <cell r="D74" t="str">
            <v>Sonstige Gründungen, Bodenkonstruktionen</v>
          </cell>
          <cell r="E74" t="str">
            <v>Defaultwert aus LEKOS</v>
          </cell>
          <cell r="G74">
            <v>100</v>
          </cell>
          <cell r="H74">
            <v>100</v>
          </cell>
          <cell r="J74" t="str">
            <v>Jahre</v>
          </cell>
        </row>
        <row r="75">
          <cell r="C75" t="str">
            <v>E2.C.Fun</v>
          </cell>
          <cell r="D75" t="str">
            <v>Beton und Stahl für Fundament</v>
          </cell>
        </row>
        <row r="76">
          <cell r="C76" t="str">
            <v>E2.C.Fun.a</v>
          </cell>
          <cell r="D76" t="str">
            <v>Normalbeton</v>
          </cell>
          <cell r="G76">
            <v>100</v>
          </cell>
          <cell r="H76">
            <v>100</v>
          </cell>
          <cell r="J76" t="str">
            <v>Jahre</v>
          </cell>
        </row>
        <row r="77">
          <cell r="C77" t="str">
            <v>E2.C.Fun.b</v>
          </cell>
          <cell r="D77" t="str">
            <v>Armierungsstahl</v>
          </cell>
          <cell r="G77">
            <v>100</v>
          </cell>
          <cell r="H77">
            <v>100</v>
          </cell>
          <cell r="J77" t="str">
            <v>Jahre</v>
          </cell>
        </row>
        <row r="78">
          <cell r="C78" t="str">
            <v>E2.C.Fun.c</v>
          </cell>
          <cell r="D78" t="str">
            <v>Kies</v>
          </cell>
          <cell r="G78">
            <v>100</v>
          </cell>
          <cell r="H78">
            <v>100</v>
          </cell>
          <cell r="J78" t="str">
            <v>Jahre</v>
          </cell>
        </row>
        <row r="79">
          <cell r="C79" t="str">
            <v>E2.D</v>
          </cell>
          <cell r="D79" t="str">
            <v>Horizontale Baukonstruktionen</v>
          </cell>
        </row>
        <row r="80">
          <cell r="C80" t="str">
            <v>E2.D.01</v>
          </cell>
          <cell r="D80" t="str">
            <v>Deckenkonstruktionen</v>
          </cell>
          <cell r="E80" t="str">
            <v>Defaultwert aus LEKOS</v>
          </cell>
          <cell r="G80">
            <v>100</v>
          </cell>
          <cell r="H80">
            <v>100</v>
          </cell>
        </row>
        <row r="81">
          <cell r="C81" t="str">
            <v>E2.D.01.K</v>
          </cell>
          <cell r="D81" t="str">
            <v>Kellerdecke (KD)</v>
          </cell>
          <cell r="G81">
            <v>100</v>
          </cell>
          <cell r="H81">
            <v>100</v>
          </cell>
          <cell r="J81" t="str">
            <v>Jahre</v>
          </cell>
        </row>
        <row r="82">
          <cell r="C82" t="str">
            <v>E2.D.01.Ka</v>
          </cell>
          <cell r="D82" t="str">
            <v>Wärmedämmung für KD</v>
          </cell>
          <cell r="G82" t="str">
            <v>k.A.</v>
          </cell>
          <cell r="H82" t="str">
            <v>k.A.</v>
          </cell>
          <cell r="J82" t="str">
            <v>Jahre</v>
          </cell>
        </row>
        <row r="83">
          <cell r="C83" t="str">
            <v>E2.D.01.Kc</v>
          </cell>
          <cell r="D83" t="str">
            <v>Estrich auf KD</v>
          </cell>
          <cell r="G83" t="str">
            <v>k.A.</v>
          </cell>
          <cell r="H83" t="str">
            <v>k.A.</v>
          </cell>
          <cell r="J83" t="str">
            <v>Jahre</v>
          </cell>
        </row>
        <row r="84">
          <cell r="C84" t="str">
            <v>E2.D.01.G</v>
          </cell>
          <cell r="D84" t="str">
            <v>Geschoßdecken (GD)</v>
          </cell>
          <cell r="G84">
            <v>100</v>
          </cell>
          <cell r="H84">
            <v>100</v>
          </cell>
          <cell r="J84" t="str">
            <v>Jahre</v>
          </cell>
        </row>
        <row r="85">
          <cell r="C85" t="str">
            <v>E2.D.01.Ga</v>
          </cell>
          <cell r="D85" t="str">
            <v>Estrich auf GD</v>
          </cell>
          <cell r="G85" t="str">
            <v>k.A.</v>
          </cell>
          <cell r="H85" t="str">
            <v>k.A.</v>
          </cell>
          <cell r="J85" t="str">
            <v>Jahre</v>
          </cell>
        </row>
        <row r="86">
          <cell r="C86" t="str">
            <v>E2.D.01.A</v>
          </cell>
          <cell r="D86" t="str">
            <v>Vorkragende Decken (AD)</v>
          </cell>
          <cell r="G86">
            <v>100</v>
          </cell>
          <cell r="H86">
            <v>100</v>
          </cell>
          <cell r="J86" t="str">
            <v>Jahre</v>
          </cell>
        </row>
        <row r="87">
          <cell r="C87" t="str">
            <v>E2.D.01.Aa</v>
          </cell>
          <cell r="D87" t="str">
            <v>Wärmedämmung auf AD</v>
          </cell>
          <cell r="G87" t="str">
            <v>k.A.</v>
          </cell>
          <cell r="H87" t="str">
            <v>k.A.</v>
          </cell>
          <cell r="J87" t="str">
            <v>Jahre</v>
          </cell>
        </row>
        <row r="88">
          <cell r="C88" t="str">
            <v>E2.D.01.Ac</v>
          </cell>
          <cell r="D88" t="str">
            <v>Estrich auf AD</v>
          </cell>
          <cell r="G88" t="str">
            <v>k.A.</v>
          </cell>
          <cell r="H88" t="str">
            <v>k.A.</v>
          </cell>
          <cell r="J88" t="str">
            <v>Jahre</v>
          </cell>
        </row>
        <row r="89">
          <cell r="C89" t="str">
            <v>E2.D.02</v>
          </cell>
          <cell r="D89" t="str">
            <v>Treppenkonstruktionen</v>
          </cell>
          <cell r="G89">
            <v>100</v>
          </cell>
          <cell r="H89">
            <v>100</v>
          </cell>
          <cell r="J89" t="str">
            <v>Jahre</v>
          </cell>
        </row>
        <row r="90">
          <cell r="C90" t="str">
            <v>E2.D.03</v>
          </cell>
          <cell r="D90" t="str">
            <v>Dachkonstruktionen</v>
          </cell>
        </row>
        <row r="91">
          <cell r="C91" t="str">
            <v>E2.D.03.a</v>
          </cell>
          <cell r="D91" t="str">
            <v>Dachkonstruktion 1</v>
          </cell>
          <cell r="G91">
            <v>50</v>
          </cell>
          <cell r="H91">
            <v>50</v>
          </cell>
          <cell r="J91" t="str">
            <v>Jahre</v>
          </cell>
        </row>
        <row r="92">
          <cell r="C92" t="str">
            <v>E2.D.03.a1</v>
          </cell>
          <cell r="D92" t="str">
            <v>Dämmung</v>
          </cell>
          <cell r="G92">
            <v>50</v>
          </cell>
          <cell r="H92">
            <v>50</v>
          </cell>
          <cell r="J92" t="str">
            <v>Jahre</v>
          </cell>
        </row>
        <row r="93">
          <cell r="C93" t="str">
            <v>E2.D.03.a2</v>
          </cell>
          <cell r="D93" t="str">
            <v>Unterdach</v>
          </cell>
          <cell r="G93" t="str">
            <v>k.A.</v>
          </cell>
          <cell r="H93" t="str">
            <v>k.A.</v>
          </cell>
          <cell r="J93" t="str">
            <v>Jahre</v>
          </cell>
        </row>
        <row r="94">
          <cell r="C94" t="str">
            <v>E2.D.03.a3</v>
          </cell>
          <cell r="D94" t="str">
            <v>Dachabdichtung</v>
          </cell>
          <cell r="G94">
            <v>100</v>
          </cell>
          <cell r="H94">
            <v>100</v>
          </cell>
          <cell r="J94" t="str">
            <v>Jahre</v>
          </cell>
        </row>
        <row r="95">
          <cell r="C95" t="str">
            <v>E2.D.03.b</v>
          </cell>
          <cell r="D95" t="str">
            <v>Dachkonstruktion 2</v>
          </cell>
          <cell r="G95" t="str">
            <v>k.A.</v>
          </cell>
          <cell r="H95" t="str">
            <v>k.A.</v>
          </cell>
          <cell r="J95" t="str">
            <v>Jahre</v>
          </cell>
        </row>
        <row r="96">
          <cell r="C96" t="str">
            <v>E2.D.03.b1</v>
          </cell>
          <cell r="D96" t="str">
            <v>Dämmung</v>
          </cell>
          <cell r="G96" t="str">
            <v>k.A.</v>
          </cell>
          <cell r="H96" t="str">
            <v>k.A.</v>
          </cell>
          <cell r="J96" t="str">
            <v>Jahre</v>
          </cell>
        </row>
        <row r="97">
          <cell r="C97" t="str">
            <v>E2.D.03.b2</v>
          </cell>
          <cell r="D97" t="str">
            <v>Unterdach</v>
          </cell>
          <cell r="G97" t="str">
            <v>k.A.</v>
          </cell>
          <cell r="H97" t="str">
            <v>k.A.</v>
          </cell>
          <cell r="J97" t="str">
            <v>Jahre</v>
          </cell>
        </row>
        <row r="98">
          <cell r="C98" t="str">
            <v>E2.D.03.b3</v>
          </cell>
          <cell r="D98" t="str">
            <v>Dachabdichtung</v>
          </cell>
          <cell r="G98" t="str">
            <v>k.A.</v>
          </cell>
          <cell r="H98" t="str">
            <v>k.A.</v>
          </cell>
          <cell r="J98" t="str">
            <v>Jahre</v>
          </cell>
        </row>
        <row r="99">
          <cell r="C99" t="str">
            <v>E2.D.04</v>
          </cell>
          <cell r="D99" t="str">
            <v>spezielle Konstruktionen</v>
          </cell>
          <cell r="E99" t="str">
            <v>Defaultwert aus LEKOS</v>
          </cell>
          <cell r="G99">
            <v>40</v>
          </cell>
          <cell r="H99">
            <v>40</v>
          </cell>
          <cell r="J99" t="str">
            <v>Jahre</v>
          </cell>
        </row>
        <row r="100">
          <cell r="C100" t="str">
            <v>E2.D.S</v>
          </cell>
          <cell r="D100" t="str">
            <v>Sonstiges Horizontale Baukonstruktionen</v>
          </cell>
          <cell r="E100" t="str">
            <v>Defaultwert aus LEKOS</v>
          </cell>
          <cell r="G100">
            <v>40</v>
          </cell>
          <cell r="H100">
            <v>40</v>
          </cell>
          <cell r="J100" t="str">
            <v>Jahre</v>
          </cell>
        </row>
        <row r="101">
          <cell r="C101" t="str">
            <v>E2.E</v>
          </cell>
          <cell r="D101" t="str">
            <v>Vertikale Baukonstruktionen</v>
          </cell>
        </row>
        <row r="102">
          <cell r="C102" t="str">
            <v>E2.E.01</v>
          </cell>
          <cell r="D102" t="str">
            <v>Aussenwandkonstruktionen</v>
          </cell>
        </row>
        <row r="103">
          <cell r="C103" t="str">
            <v>E2.E.01.a</v>
          </cell>
          <cell r="D103" t="str">
            <v>Aussenwandkonstruktion 1</v>
          </cell>
          <cell r="G103">
            <v>100</v>
          </cell>
          <cell r="H103">
            <v>100</v>
          </cell>
          <cell r="J103" t="str">
            <v>Jahre</v>
          </cell>
        </row>
        <row r="104">
          <cell r="C104" t="str">
            <v>E2.E.01.b</v>
          </cell>
          <cell r="D104" t="str">
            <v>Aussenwandkonstruktion 2</v>
          </cell>
          <cell r="G104" t="str">
            <v>k.A.</v>
          </cell>
          <cell r="H104" t="str">
            <v>k.A.</v>
          </cell>
          <cell r="J104" t="str">
            <v>Jahre</v>
          </cell>
        </row>
        <row r="105">
          <cell r="C105" t="str">
            <v>E2.E.01.d</v>
          </cell>
          <cell r="D105" t="str">
            <v>Aussenwandkonstruktionen Holzleichtbau</v>
          </cell>
          <cell r="G105">
            <v>50</v>
          </cell>
          <cell r="H105">
            <v>50</v>
          </cell>
          <cell r="J105" t="str">
            <v>Jahre</v>
          </cell>
        </row>
        <row r="106">
          <cell r="C106" t="str">
            <v>E2.E.01.ds</v>
          </cell>
          <cell r="D106" t="str">
            <v>Dämmung Holzleichtbau</v>
          </cell>
          <cell r="G106">
            <v>0</v>
          </cell>
          <cell r="H106">
            <v>0</v>
          </cell>
          <cell r="J106" t="str">
            <v>Jahre</v>
          </cell>
        </row>
        <row r="107">
          <cell r="C107" t="str">
            <v>E2.E.01.f</v>
          </cell>
          <cell r="D107" t="str">
            <v>Erdberührte Außenwände</v>
          </cell>
          <cell r="G107" t="str">
            <v>k.A.</v>
          </cell>
          <cell r="H107" t="str">
            <v>k.A.</v>
          </cell>
          <cell r="J107" t="str">
            <v>Jahre</v>
          </cell>
        </row>
        <row r="108">
          <cell r="C108" t="str">
            <v>E2.E.02</v>
          </cell>
          <cell r="D108" t="str">
            <v>Innenwandkonstruktionen</v>
          </cell>
        </row>
        <row r="109">
          <cell r="C109" t="str">
            <v>E2.E.02a</v>
          </cell>
          <cell r="D109" t="str">
            <v>Innenwandkonstruktion 1</v>
          </cell>
          <cell r="G109">
            <v>50</v>
          </cell>
          <cell r="H109">
            <v>50</v>
          </cell>
          <cell r="J109" t="str">
            <v>Jahre</v>
          </cell>
        </row>
        <row r="110">
          <cell r="C110" t="str">
            <v>E2.E.02b</v>
          </cell>
          <cell r="D110" t="str">
            <v>Innenwandkonstruktion 2</v>
          </cell>
          <cell r="G110" t="str">
            <v>k.A.</v>
          </cell>
          <cell r="H110" t="str">
            <v>k.A.</v>
          </cell>
          <cell r="J110" t="str">
            <v>Jahre</v>
          </cell>
        </row>
        <row r="111">
          <cell r="C111" t="str">
            <v>E2.E.02c</v>
          </cell>
          <cell r="D111" t="str">
            <v>Innenwandkonstruktion 3</v>
          </cell>
          <cell r="G111" t="str">
            <v>k.A.</v>
          </cell>
          <cell r="H111" t="str">
            <v>k.A.</v>
          </cell>
          <cell r="J111" t="str">
            <v>Jahre</v>
          </cell>
        </row>
        <row r="112">
          <cell r="C112" t="str">
            <v>E2.E.03</v>
          </cell>
          <cell r="D112" t="str">
            <v>Stützenkonstruktionen</v>
          </cell>
          <cell r="G112" t="str">
            <v>k.A.</v>
          </cell>
          <cell r="H112" t="str">
            <v>k.A.</v>
          </cell>
          <cell r="J112" t="str">
            <v>Jahre</v>
          </cell>
        </row>
        <row r="113">
          <cell r="C113" t="str">
            <v>E2.E.04</v>
          </cell>
          <cell r="D113" t="str">
            <v>Spezielle Konstruktionen</v>
          </cell>
          <cell r="G113">
            <v>50</v>
          </cell>
          <cell r="H113">
            <v>50</v>
          </cell>
          <cell r="J113" t="str">
            <v>Jahre</v>
          </cell>
        </row>
        <row r="114">
          <cell r="C114" t="str">
            <v>E2.E.S</v>
          </cell>
          <cell r="D114" t="str">
            <v>Sonstiges Vertikale Baukonstruktionen</v>
          </cell>
          <cell r="G114">
            <v>50</v>
          </cell>
          <cell r="H114">
            <v>50</v>
          </cell>
          <cell r="J114" t="str">
            <v>Jahre</v>
          </cell>
        </row>
        <row r="115">
          <cell r="C115" t="str">
            <v>E2.F</v>
          </cell>
          <cell r="D115" t="str">
            <v>Spezielle Baukonstruktionen</v>
          </cell>
          <cell r="G115" t="str">
            <v>k.A.</v>
          </cell>
          <cell r="H115" t="str">
            <v>k.A.</v>
          </cell>
          <cell r="J115" t="str">
            <v>Jahre</v>
          </cell>
        </row>
        <row r="116">
          <cell r="C116" t="str">
            <v>E2.S</v>
          </cell>
          <cell r="D116" t="str">
            <v>Sonstige Bauwerk Rohbau</v>
          </cell>
          <cell r="E116" t="str">
            <v>Defaultwert aus LEKOS</v>
          </cell>
          <cell r="G116">
            <v>50</v>
          </cell>
          <cell r="H116">
            <v>50</v>
          </cell>
        </row>
        <row r="117">
          <cell r="C117" t="str">
            <v>E3</v>
          </cell>
          <cell r="D117" t="str">
            <v>Bauwerk - Technik</v>
          </cell>
        </row>
        <row r="118">
          <cell r="C118" t="str">
            <v>E3.A</v>
          </cell>
          <cell r="D118" t="str">
            <v>Allgemein</v>
          </cell>
          <cell r="E118" t="str">
            <v>Defaultwert aus LEKOS</v>
          </cell>
          <cell r="G118">
            <v>25</v>
          </cell>
          <cell r="H118">
            <v>25</v>
          </cell>
          <cell r="J118" t="str">
            <v>Jahre</v>
          </cell>
        </row>
        <row r="119">
          <cell r="C119" t="str">
            <v>E3.B</v>
          </cell>
          <cell r="D119" t="str">
            <v>Förderanlagen</v>
          </cell>
          <cell r="E119" t="str">
            <v>Defaultwert aus LEKOS</v>
          </cell>
          <cell r="G119">
            <v>25</v>
          </cell>
          <cell r="H119">
            <v>25</v>
          </cell>
          <cell r="J119" t="str">
            <v>Jahre</v>
          </cell>
        </row>
        <row r="120">
          <cell r="C120" t="str">
            <v>E3.C</v>
          </cell>
          <cell r="D120" t="str">
            <v>Wärmeversorgungsanlagen</v>
          </cell>
        </row>
        <row r="121">
          <cell r="C121" t="str">
            <v>E3.C.01</v>
          </cell>
          <cell r="D121" t="str">
            <v>Wärmeerzeugungsanlagen</v>
          </cell>
          <cell r="E121" t="str">
            <v>Defaultwert aus LEKOS</v>
          </cell>
          <cell r="G121">
            <v>18</v>
          </cell>
          <cell r="H121">
            <v>18</v>
          </cell>
          <cell r="J121" t="str">
            <v>Jahre</v>
          </cell>
        </row>
        <row r="122">
          <cell r="C122" t="str">
            <v>E3.C.02</v>
          </cell>
          <cell r="D122" t="str">
            <v>Wärmeverteilnetze</v>
          </cell>
          <cell r="E122" t="str">
            <v>Defaultwert aus LEKOS</v>
          </cell>
          <cell r="G122">
            <v>40</v>
          </cell>
          <cell r="H122">
            <v>40</v>
          </cell>
          <cell r="J122" t="str">
            <v>Jahre</v>
          </cell>
        </row>
        <row r="123">
          <cell r="C123" t="str">
            <v>E3.C.03</v>
          </cell>
          <cell r="D123" t="str">
            <v>Raumheizflächen</v>
          </cell>
          <cell r="E123" t="str">
            <v>Defaultwert aus LEKOS</v>
          </cell>
          <cell r="G123">
            <v>30</v>
          </cell>
          <cell r="H123">
            <v>30</v>
          </cell>
          <cell r="J123" t="str">
            <v>Jahre</v>
          </cell>
        </row>
        <row r="124">
          <cell r="C124" t="str">
            <v>E3.C.S</v>
          </cell>
          <cell r="D124" t="str">
            <v>Sonstige Wärmeversorgungsanlagen</v>
          </cell>
          <cell r="E124" t="str">
            <v>Defaultwert aus LEKOS</v>
          </cell>
          <cell r="G124">
            <v>25</v>
          </cell>
          <cell r="H124">
            <v>25</v>
          </cell>
          <cell r="J124" t="str">
            <v>Jahre</v>
          </cell>
        </row>
        <row r="125">
          <cell r="C125" t="str">
            <v>E3.D</v>
          </cell>
          <cell r="D125" t="str">
            <v>Klima-/Lüftungsanlagen</v>
          </cell>
        </row>
        <row r="126">
          <cell r="C126" t="str">
            <v>E3.D.01</v>
          </cell>
          <cell r="D126" t="str">
            <v>Lüftungsanlagen</v>
          </cell>
        </row>
        <row r="127">
          <cell r="C127" t="str">
            <v>E3.D.01a</v>
          </cell>
          <cell r="D127" t="str">
            <v>Lüftungsanlagen Rohre</v>
          </cell>
          <cell r="E127" t="str">
            <v>Defaultwert aus LEKOS</v>
          </cell>
          <cell r="G127">
            <v>20</v>
          </cell>
          <cell r="H127">
            <v>20</v>
          </cell>
          <cell r="J127" t="str">
            <v>Jahre</v>
          </cell>
        </row>
        <row r="128">
          <cell r="C128" t="str">
            <v>E3.D.01b</v>
          </cell>
          <cell r="D128" t="str">
            <v>Lüftungsanlagen Ventilatoren</v>
          </cell>
          <cell r="E128" t="str">
            <v>Defaultwert aus LEKOS</v>
          </cell>
          <cell r="G128">
            <v>12</v>
          </cell>
          <cell r="H128">
            <v>12</v>
          </cell>
          <cell r="J128" t="str">
            <v>Jahre</v>
          </cell>
        </row>
        <row r="129">
          <cell r="C129" t="str">
            <v>E3.D.02</v>
          </cell>
          <cell r="D129" t="str">
            <v>Teilklimaanlagen</v>
          </cell>
          <cell r="E129" t="str">
            <v>Defaultwert aus LEKOS</v>
          </cell>
          <cell r="G129">
            <v>20</v>
          </cell>
          <cell r="H129">
            <v>20</v>
          </cell>
          <cell r="J129" t="str">
            <v>Jahre</v>
          </cell>
        </row>
        <row r="130">
          <cell r="C130" t="str">
            <v>E3.D.03</v>
          </cell>
          <cell r="D130" t="str">
            <v>Klimaanlagen</v>
          </cell>
          <cell r="E130" t="str">
            <v>Defaultwert aus LEKOS</v>
          </cell>
          <cell r="G130">
            <v>15</v>
          </cell>
          <cell r="H130">
            <v>15</v>
          </cell>
          <cell r="J130" t="str">
            <v>Jahre</v>
          </cell>
        </row>
        <row r="131">
          <cell r="C131" t="str">
            <v>E3.D.04</v>
          </cell>
          <cell r="D131" t="str">
            <v>Kälteanlagen</v>
          </cell>
          <cell r="E131" t="str">
            <v>Defaultwert aus LEKOS</v>
          </cell>
          <cell r="G131">
            <v>15</v>
          </cell>
          <cell r="H131">
            <v>15</v>
          </cell>
          <cell r="J131" t="str">
            <v>Jahre</v>
          </cell>
        </row>
        <row r="132">
          <cell r="C132" t="str">
            <v>E3.D.05</v>
          </cell>
          <cell r="D132" t="str">
            <v>Prozesslufttechnische Anlagen</v>
          </cell>
          <cell r="E132" t="str">
            <v>Defaultwert aus LEKOS</v>
          </cell>
          <cell r="G132">
            <v>20</v>
          </cell>
          <cell r="H132">
            <v>20</v>
          </cell>
          <cell r="J132" t="str">
            <v>Jahre</v>
          </cell>
        </row>
        <row r="133">
          <cell r="C133" t="str">
            <v>E3.D.S</v>
          </cell>
          <cell r="D133" t="str">
            <v>Sonstige Klima-/Lüftungsanlagen</v>
          </cell>
          <cell r="E133" t="str">
            <v>Defaultwert aus LEKOS</v>
          </cell>
          <cell r="G133">
            <v>20</v>
          </cell>
          <cell r="H133">
            <v>20</v>
          </cell>
          <cell r="J133" t="str">
            <v>Jahre</v>
          </cell>
        </row>
        <row r="134">
          <cell r="C134" t="str">
            <v>E3.E</v>
          </cell>
          <cell r="D134" t="str">
            <v>Sanitär-/Gasanlagen</v>
          </cell>
        </row>
        <row r="135">
          <cell r="C135" t="str">
            <v>E3.E.01</v>
          </cell>
          <cell r="D135" t="str">
            <v>Abwasseranlagen</v>
          </cell>
          <cell r="E135" t="str">
            <v>Defaultwert aus LEKOS</v>
          </cell>
          <cell r="G135">
            <v>25</v>
          </cell>
          <cell r="H135">
            <v>25</v>
          </cell>
          <cell r="J135" t="str">
            <v>Jahre</v>
          </cell>
        </row>
        <row r="136">
          <cell r="C136" t="str">
            <v>E3.E.02</v>
          </cell>
          <cell r="D136" t="str">
            <v>Wasseranlagen</v>
          </cell>
          <cell r="E136" t="str">
            <v>Defaultwert aus LEKOS</v>
          </cell>
          <cell r="G136">
            <v>30</v>
          </cell>
          <cell r="H136">
            <v>30</v>
          </cell>
          <cell r="J136" t="str">
            <v>Jahre</v>
          </cell>
        </row>
        <row r="137">
          <cell r="C137" t="str">
            <v>E3.E.03</v>
          </cell>
          <cell r="D137" t="str">
            <v>Gasanlagen</v>
          </cell>
          <cell r="E137" t="str">
            <v>Defaultwert aus LEKOS</v>
          </cell>
          <cell r="G137">
            <v>20</v>
          </cell>
          <cell r="H137">
            <v>20</v>
          </cell>
          <cell r="J137" t="str">
            <v>Jahre</v>
          </cell>
        </row>
        <row r="138">
          <cell r="C138" t="str">
            <v>E3.E.04</v>
          </cell>
          <cell r="D138" t="str">
            <v>Feuerlöschanlagen</v>
          </cell>
          <cell r="E138" t="str">
            <v>Defaultwert aus LEKOS</v>
          </cell>
          <cell r="G138">
            <v>20</v>
          </cell>
          <cell r="H138">
            <v>20</v>
          </cell>
          <cell r="J138" t="str">
            <v>Jahre</v>
          </cell>
        </row>
        <row r="139">
          <cell r="C139" t="str">
            <v>E3.E.S</v>
          </cell>
          <cell r="D139" t="str">
            <v>Sonstige Sanitär-/Gasanlagen</v>
          </cell>
          <cell r="E139" t="str">
            <v>Defaultwert aus LEKOS</v>
          </cell>
          <cell r="G139">
            <v>20</v>
          </cell>
          <cell r="H139">
            <v>20</v>
          </cell>
          <cell r="J139" t="str">
            <v>Jahre</v>
          </cell>
        </row>
        <row r="140">
          <cell r="C140" t="str">
            <v>E3.F</v>
          </cell>
          <cell r="D140" t="str">
            <v>Starkstromanlagen</v>
          </cell>
          <cell r="E140" t="str">
            <v>Defaultwert aus LEKOS</v>
          </cell>
          <cell r="G140">
            <v>14</v>
          </cell>
          <cell r="H140">
            <v>14</v>
          </cell>
          <cell r="J140" t="str">
            <v>Jahre</v>
          </cell>
        </row>
        <row r="141">
          <cell r="C141" t="str">
            <v>E3.G</v>
          </cell>
          <cell r="D141" t="str">
            <v>Fernmelde- und Informationstechnische Anlagen</v>
          </cell>
        </row>
        <row r="142">
          <cell r="C142" t="str">
            <v>E3.G.01</v>
          </cell>
          <cell r="D142" t="str">
            <v>Telekommunikationsanlagen</v>
          </cell>
          <cell r="E142" t="str">
            <v>Defaultwert aus LEKOS</v>
          </cell>
          <cell r="G142">
            <v>10</v>
          </cell>
          <cell r="H142">
            <v>10</v>
          </cell>
          <cell r="J142" t="str">
            <v>Jahre</v>
          </cell>
        </row>
        <row r="143">
          <cell r="C143" t="str">
            <v>E3.G.02</v>
          </cell>
          <cell r="D143" t="str">
            <v>Such-/Signalanlagen</v>
          </cell>
          <cell r="E143" t="str">
            <v>Defaultwert aus LEKOS</v>
          </cell>
          <cell r="G143">
            <v>20</v>
          </cell>
          <cell r="H143">
            <v>20</v>
          </cell>
          <cell r="J143" t="str">
            <v>Jahre</v>
          </cell>
        </row>
        <row r="144">
          <cell r="C144" t="str">
            <v>E3.G.03</v>
          </cell>
          <cell r="D144" t="str">
            <v>Zeitdienstanlagen</v>
          </cell>
          <cell r="E144" t="str">
            <v>Defaultwert aus LEKOS</v>
          </cell>
          <cell r="G144">
            <v>14</v>
          </cell>
          <cell r="H144">
            <v>14</v>
          </cell>
          <cell r="J144" t="str">
            <v>Jahre</v>
          </cell>
        </row>
        <row r="145">
          <cell r="C145" t="str">
            <v>E3.G.04</v>
          </cell>
          <cell r="D145" t="str">
            <v>Elektroakustische Anlagen</v>
          </cell>
          <cell r="E145" t="str">
            <v>Defaultwert aus LEKOS</v>
          </cell>
          <cell r="G145">
            <v>15</v>
          </cell>
          <cell r="H145">
            <v>15</v>
          </cell>
          <cell r="J145" t="str">
            <v>Jahre</v>
          </cell>
        </row>
        <row r="146">
          <cell r="C146" t="str">
            <v>E3.G.05</v>
          </cell>
          <cell r="D146" t="str">
            <v>Fernseh-/Antennenanlagen</v>
          </cell>
          <cell r="E146" t="str">
            <v>Defaultwert aus LEKOS</v>
          </cell>
          <cell r="G146">
            <v>16</v>
          </cell>
          <cell r="H146">
            <v>16</v>
          </cell>
          <cell r="J146" t="str">
            <v>Jahre</v>
          </cell>
        </row>
        <row r="147">
          <cell r="C147" t="str">
            <v>E3.G.06</v>
          </cell>
          <cell r="D147" t="str">
            <v>Gefahrenmelde-/Alarmanlagen</v>
          </cell>
          <cell r="E147" t="str">
            <v>Defaultwert aus LEKOS</v>
          </cell>
          <cell r="G147">
            <v>10</v>
          </cell>
          <cell r="H147">
            <v>10</v>
          </cell>
          <cell r="J147" t="str">
            <v>Jahre</v>
          </cell>
        </row>
        <row r="148">
          <cell r="C148" t="str">
            <v>E3.G.07</v>
          </cell>
          <cell r="D148" t="str">
            <v>Übertragungsnetze</v>
          </cell>
          <cell r="E148" t="str">
            <v>Defaultwert aus LEKOS</v>
          </cell>
          <cell r="G148">
            <v>10</v>
          </cell>
          <cell r="H148">
            <v>10</v>
          </cell>
          <cell r="J148" t="str">
            <v>Jahre</v>
          </cell>
        </row>
        <row r="149">
          <cell r="C149" t="str">
            <v>E3.G.S</v>
          </cell>
          <cell r="D149" t="str">
            <v>Sonstige Informationstechnische Anlagen</v>
          </cell>
          <cell r="E149" t="str">
            <v>Defaultwert aus LEKOS</v>
          </cell>
          <cell r="G149">
            <v>17</v>
          </cell>
          <cell r="H149">
            <v>17</v>
          </cell>
          <cell r="J149" t="str">
            <v>Jahre</v>
          </cell>
        </row>
        <row r="150">
          <cell r="C150" t="str">
            <v>E3.H</v>
          </cell>
          <cell r="D150" t="str">
            <v>Gebäudeautomation</v>
          </cell>
          <cell r="E150" t="str">
            <v>Defaultwert aus LEKOS</v>
          </cell>
          <cell r="G150">
            <v>18</v>
          </cell>
          <cell r="H150">
            <v>18</v>
          </cell>
          <cell r="J150" t="str">
            <v>Jahre</v>
          </cell>
        </row>
        <row r="151">
          <cell r="C151" t="str">
            <v>E3.S</v>
          </cell>
          <cell r="D151" t="str">
            <v>Sonstige Anlagen Bauwerk - Technik</v>
          </cell>
          <cell r="E151" t="str">
            <v>Defaultwert aus LEKOS</v>
          </cell>
          <cell r="G151">
            <v>20</v>
          </cell>
          <cell r="H151">
            <v>20</v>
          </cell>
          <cell r="J151" t="str">
            <v>Jahre</v>
          </cell>
        </row>
        <row r="152">
          <cell r="C152" t="str">
            <v>E4</v>
          </cell>
          <cell r="D152" t="str">
            <v>Bauwerk - Ausbau</v>
          </cell>
        </row>
        <row r="153">
          <cell r="C153" t="str">
            <v>E4.A</v>
          </cell>
          <cell r="D153" t="str">
            <v>Allgemein</v>
          </cell>
          <cell r="E153" t="str">
            <v>Defaultwert aus LEKOS</v>
          </cell>
          <cell r="G153">
            <v>30</v>
          </cell>
          <cell r="H153">
            <v>30</v>
          </cell>
          <cell r="J153" t="str">
            <v>Jahre</v>
          </cell>
        </row>
        <row r="154">
          <cell r="C154" t="str">
            <v>E4.B</v>
          </cell>
          <cell r="D154" t="str">
            <v>Dachverkleidung</v>
          </cell>
        </row>
        <row r="155">
          <cell r="C155" t="str">
            <v>E4.B.01</v>
          </cell>
          <cell r="D155" t="str">
            <v>Dachbeläge</v>
          </cell>
        </row>
        <row r="156">
          <cell r="C156" t="str">
            <v>E4.B.01.a</v>
          </cell>
          <cell r="D156" t="str">
            <v>Dachbelag 1</v>
          </cell>
          <cell r="G156">
            <v>25</v>
          </cell>
          <cell r="H156">
            <v>25</v>
          </cell>
          <cell r="J156" t="str">
            <v>Jahre</v>
          </cell>
        </row>
        <row r="157">
          <cell r="C157" t="str">
            <v>E4.B.01.b</v>
          </cell>
          <cell r="D157" t="str">
            <v>Dachbelag 2</v>
          </cell>
          <cell r="G157" t="str">
            <v>k.A.</v>
          </cell>
          <cell r="H157" t="str">
            <v>k.A.</v>
          </cell>
          <cell r="J157" t="str">
            <v>Jahre</v>
          </cell>
        </row>
        <row r="158">
          <cell r="C158" t="str">
            <v>E4.B.02</v>
          </cell>
          <cell r="D158" t="str">
            <v>Dachfenster/-öffnungen</v>
          </cell>
          <cell r="G158">
            <v>161.92347165959501</v>
          </cell>
          <cell r="H158">
            <v>161.92347165959501</v>
          </cell>
          <cell r="J158" t="str">
            <v>Jahre</v>
          </cell>
        </row>
        <row r="159">
          <cell r="C159" t="str">
            <v>E4.B.03</v>
          </cell>
          <cell r="D159" t="str">
            <v>Balkon-/Terrassenbeläge</v>
          </cell>
          <cell r="E159" t="str">
            <v>Defaultwert aus LEKOS</v>
          </cell>
          <cell r="G159">
            <v>15</v>
          </cell>
          <cell r="H159">
            <v>15</v>
          </cell>
          <cell r="J159" t="str">
            <v>Jahre</v>
          </cell>
        </row>
        <row r="160">
          <cell r="C160" t="str">
            <v>E4.B.S</v>
          </cell>
          <cell r="D160" t="str">
            <v>Sonstige Dachverkleidung</v>
          </cell>
          <cell r="E160" t="str">
            <v>Defaultwert aus LEKOS</v>
          </cell>
          <cell r="G160">
            <v>30</v>
          </cell>
          <cell r="H160">
            <v>30</v>
          </cell>
          <cell r="J160" t="str">
            <v>Jahre</v>
          </cell>
        </row>
        <row r="161">
          <cell r="C161" t="str">
            <v>E4.C</v>
          </cell>
          <cell r="D161" t="str">
            <v>Fassadenhülle</v>
          </cell>
        </row>
        <row r="162">
          <cell r="C162" t="str">
            <v>E4.C.01</v>
          </cell>
          <cell r="D162" t="str">
            <v>Fassadenverkleidungen</v>
          </cell>
        </row>
        <row r="163">
          <cell r="C163" t="str">
            <v>E4.C.01a</v>
          </cell>
          <cell r="D163" t="str">
            <v>Putzfassade</v>
          </cell>
          <cell r="G163" t="str">
            <v>k.A.</v>
          </cell>
          <cell r="H163" t="str">
            <v>k.A.</v>
          </cell>
          <cell r="J163" t="str">
            <v>Jahre</v>
          </cell>
        </row>
        <row r="164">
          <cell r="C164" t="str">
            <v>E4.C.01b</v>
          </cell>
          <cell r="D164" t="str">
            <v>Vorgehängte Fassade</v>
          </cell>
          <cell r="G164">
            <v>50</v>
          </cell>
          <cell r="H164">
            <v>50</v>
          </cell>
          <cell r="J164" t="str">
            <v>Jahre</v>
          </cell>
        </row>
        <row r="165">
          <cell r="C165" t="str">
            <v>E4.C.02</v>
          </cell>
          <cell r="D165" t="str">
            <v>Fassadenöffnungen</v>
          </cell>
        </row>
        <row r="166">
          <cell r="C166" t="str">
            <v>E4.C.02a</v>
          </cell>
          <cell r="D166" t="str">
            <v>Fenster</v>
          </cell>
          <cell r="G166">
            <v>161.92347165959501</v>
          </cell>
          <cell r="H166">
            <v>161.92347165959501</v>
          </cell>
          <cell r="J166" t="str">
            <v>Jahre</v>
          </cell>
        </row>
        <row r="167">
          <cell r="C167" t="str">
            <v>E4.C.02b</v>
          </cell>
          <cell r="D167" t="str">
            <v>Türen</v>
          </cell>
          <cell r="G167" t="str">
            <v>k.A.</v>
          </cell>
          <cell r="H167" t="str">
            <v>k.A.</v>
          </cell>
          <cell r="J167" t="str">
            <v>Jahre</v>
          </cell>
        </row>
        <row r="168">
          <cell r="C168" t="str">
            <v>E4.C.02c</v>
          </cell>
          <cell r="D168" t="str">
            <v>Glasfassade</v>
          </cell>
          <cell r="G168">
            <v>161.92347165959501</v>
          </cell>
          <cell r="H168">
            <v>161.92347165959501</v>
          </cell>
          <cell r="J168" t="str">
            <v>Jahre</v>
          </cell>
        </row>
        <row r="169">
          <cell r="C169" t="str">
            <v>E4.C.03</v>
          </cell>
          <cell r="D169" t="str">
            <v>Sonnenschutz</v>
          </cell>
          <cell r="G169" t="str">
            <v>k.A.</v>
          </cell>
          <cell r="H169" t="str">
            <v>k.A.</v>
          </cell>
          <cell r="J169" t="str">
            <v>Jahre</v>
          </cell>
        </row>
        <row r="170">
          <cell r="C170" t="str">
            <v>E4.C.04</v>
          </cell>
          <cell r="D170" t="str">
            <v>Außenhülle erdberührt</v>
          </cell>
        </row>
        <row r="171">
          <cell r="C171" t="str">
            <v>E4.C.04a</v>
          </cell>
          <cell r="D171" t="str">
            <v>Sockeldämmung</v>
          </cell>
          <cell r="G171">
            <v>35</v>
          </cell>
          <cell r="H171">
            <v>35</v>
          </cell>
          <cell r="J171" t="str">
            <v>Jahre</v>
          </cell>
        </row>
        <row r="172">
          <cell r="C172" t="str">
            <v>E4.C.04b</v>
          </cell>
          <cell r="D172" t="str">
            <v>Perimeterdämmung</v>
          </cell>
          <cell r="G172">
            <v>35</v>
          </cell>
          <cell r="H172">
            <v>35</v>
          </cell>
          <cell r="J172" t="str">
            <v>Jahre</v>
          </cell>
        </row>
        <row r="173">
          <cell r="C173" t="str">
            <v>E4.C.S</v>
          </cell>
          <cell r="D173" t="str">
            <v>Sonstige Fassadenhülle</v>
          </cell>
          <cell r="E173" t="str">
            <v>Defaultwert aus LEKOS</v>
          </cell>
          <cell r="G173">
            <v>30</v>
          </cell>
          <cell r="H173">
            <v>30</v>
          </cell>
          <cell r="J173" t="str">
            <v>Jahre</v>
          </cell>
        </row>
        <row r="174">
          <cell r="C174" t="str">
            <v>E4.D</v>
          </cell>
          <cell r="D174" t="str">
            <v>Innenausbau</v>
          </cell>
        </row>
        <row r="175">
          <cell r="C175" t="str">
            <v>E4.D.01</v>
          </cell>
          <cell r="D175" t="str">
            <v>Bodenbeläge</v>
          </cell>
          <cell r="E175" t="str">
            <v>Defaultwert aus LEKOS</v>
          </cell>
          <cell r="G175">
            <v>20</v>
          </cell>
          <cell r="H175">
            <v>20</v>
          </cell>
          <cell r="J175" t="str">
            <v>Jahre</v>
          </cell>
        </row>
        <row r="176">
          <cell r="C176" t="str">
            <v>E4.D.01a</v>
          </cell>
          <cell r="D176" t="str">
            <v>Bodenbelag 1</v>
          </cell>
          <cell r="G176">
            <v>25</v>
          </cell>
          <cell r="H176">
            <v>25</v>
          </cell>
          <cell r="J176" t="str">
            <v>Jahre</v>
          </cell>
        </row>
        <row r="177">
          <cell r="C177" t="str">
            <v>E4.D.01b</v>
          </cell>
          <cell r="D177" t="str">
            <v>Bodenbelag 2</v>
          </cell>
          <cell r="G177">
            <v>25</v>
          </cell>
          <cell r="H177">
            <v>25</v>
          </cell>
          <cell r="J177" t="str">
            <v>Jahre</v>
          </cell>
        </row>
        <row r="178">
          <cell r="C178" t="str">
            <v>E4.D.01c</v>
          </cell>
          <cell r="D178" t="str">
            <v>Bodenbelag 3</v>
          </cell>
          <cell r="G178">
            <v>25</v>
          </cell>
          <cell r="H178">
            <v>25</v>
          </cell>
          <cell r="J178" t="str">
            <v>Jahre</v>
          </cell>
        </row>
        <row r="179">
          <cell r="C179" t="str">
            <v>E4.D.02</v>
          </cell>
          <cell r="D179" t="str">
            <v>Wandverkleidungen</v>
          </cell>
          <cell r="E179" t="str">
            <v>Defaultwert aus LEKOS</v>
          </cell>
          <cell r="G179">
            <v>22</v>
          </cell>
          <cell r="H179">
            <v>22</v>
          </cell>
          <cell r="J179" t="str">
            <v>Jahre</v>
          </cell>
        </row>
        <row r="180">
          <cell r="C180" t="str">
            <v>E4.D.02a</v>
          </cell>
          <cell r="D180" t="str">
            <v>Wandverkleidung 1</v>
          </cell>
          <cell r="G180">
            <v>50</v>
          </cell>
          <cell r="H180">
            <v>50</v>
          </cell>
          <cell r="J180" t="str">
            <v>Jahre</v>
          </cell>
        </row>
        <row r="181">
          <cell r="C181" t="str">
            <v>E4.D.02b</v>
          </cell>
          <cell r="D181" t="str">
            <v>Wandverkleidung 2</v>
          </cell>
          <cell r="G181" t="str">
            <v>k.A.</v>
          </cell>
          <cell r="H181" t="str">
            <v>k.A.</v>
          </cell>
          <cell r="J181" t="str">
            <v>Jahre</v>
          </cell>
        </row>
        <row r="182">
          <cell r="C182" t="str">
            <v>F7.1-4.D.02a</v>
          </cell>
          <cell r="D182" t="str">
            <v>Ausmalfrequenz Wände</v>
          </cell>
          <cell r="E182" t="str">
            <v>Defaultwert aus LEKOS</v>
          </cell>
          <cell r="G182">
            <v>10</v>
          </cell>
          <cell r="H182">
            <v>10</v>
          </cell>
          <cell r="J182" t="str">
            <v>Jahre</v>
          </cell>
        </row>
        <row r="183">
          <cell r="C183" t="str">
            <v>E4.D.03</v>
          </cell>
          <cell r="D183" t="str">
            <v>Deckenverkleidungen</v>
          </cell>
          <cell r="E183" t="str">
            <v>Defaultwert aus LEKOS</v>
          </cell>
          <cell r="G183">
            <v>22</v>
          </cell>
          <cell r="H183">
            <v>22</v>
          </cell>
          <cell r="J183" t="str">
            <v>Jahre</v>
          </cell>
        </row>
        <row r="184">
          <cell r="C184" t="str">
            <v>E4.D.03a</v>
          </cell>
          <cell r="D184" t="str">
            <v>Kellerdeckenverkleidungen</v>
          </cell>
          <cell r="G184" t="str">
            <v>k.A.</v>
          </cell>
          <cell r="H184" t="str">
            <v>k.A.</v>
          </cell>
          <cell r="J184" t="str">
            <v>Jahre</v>
          </cell>
        </row>
        <row r="185">
          <cell r="C185" t="str">
            <v>E4.D.03b</v>
          </cell>
          <cell r="D185" t="str">
            <v>Geschoßdeckenverkleidungen</v>
          </cell>
          <cell r="G185">
            <v>50</v>
          </cell>
          <cell r="H185">
            <v>50</v>
          </cell>
          <cell r="J185" t="str">
            <v>Jahre</v>
          </cell>
        </row>
        <row r="186">
          <cell r="C186" t="str">
            <v>E4.D.03c</v>
          </cell>
          <cell r="D186" t="str">
            <v>Dachverkleidungen</v>
          </cell>
          <cell r="G186">
            <v>50</v>
          </cell>
          <cell r="H186">
            <v>50</v>
          </cell>
          <cell r="J186" t="str">
            <v>Jahre</v>
          </cell>
        </row>
        <row r="187">
          <cell r="C187" t="str">
            <v>F7.1-4.D.03a</v>
          </cell>
          <cell r="D187" t="str">
            <v>Ausmalfrequenz Decken</v>
          </cell>
          <cell r="E187" t="str">
            <v>Defaultwert aus LEKOS</v>
          </cell>
          <cell r="G187">
            <v>10</v>
          </cell>
          <cell r="H187">
            <v>10</v>
          </cell>
          <cell r="J187" t="str">
            <v>Jahre</v>
          </cell>
        </row>
        <row r="188">
          <cell r="C188" t="str">
            <v>E4.D.04</v>
          </cell>
          <cell r="D188" t="str">
            <v>Innentüren, Innenfenster</v>
          </cell>
          <cell r="E188" t="str">
            <v>Defaultwert aus LEKOS</v>
          </cell>
          <cell r="G188">
            <v>24</v>
          </cell>
          <cell r="H188">
            <v>24</v>
          </cell>
          <cell r="J188" t="str">
            <v>Jahre</v>
          </cell>
        </row>
        <row r="189">
          <cell r="C189" t="str">
            <v>E4.D.05</v>
          </cell>
          <cell r="D189" t="str">
            <v>Innenwandelemente</v>
          </cell>
          <cell r="G189" t="str">
            <v>k.A.</v>
          </cell>
          <cell r="H189" t="str">
            <v>k.A.</v>
          </cell>
          <cell r="J189" t="str">
            <v>Jahre</v>
          </cell>
        </row>
        <row r="190">
          <cell r="C190" t="str">
            <v>E4.D.S</v>
          </cell>
          <cell r="D190" t="str">
            <v>Sonstiger Innenausbau</v>
          </cell>
          <cell r="E190" t="str">
            <v>Defaultwert aus LEKOS</v>
          </cell>
          <cell r="G190">
            <v>24</v>
          </cell>
          <cell r="H190">
            <v>24</v>
          </cell>
          <cell r="J190" t="str">
            <v>Jahre</v>
          </cell>
        </row>
        <row r="191">
          <cell r="C191" t="str">
            <v>E5</v>
          </cell>
          <cell r="D191" t="str">
            <v>Einrichtung</v>
          </cell>
        </row>
        <row r="192">
          <cell r="C192" t="str">
            <v>E5.A</v>
          </cell>
          <cell r="D192" t="str">
            <v>Allgemeine Einrichtung</v>
          </cell>
          <cell r="E192" t="str">
            <v>Defaultwert aus LEKOS</v>
          </cell>
          <cell r="G192">
            <v>25</v>
          </cell>
          <cell r="H192">
            <v>25</v>
          </cell>
          <cell r="J192" t="str">
            <v>Jahre</v>
          </cell>
        </row>
        <row r="193">
          <cell r="C193" t="str">
            <v>E5.B</v>
          </cell>
          <cell r="D193" t="str">
            <v>Betriebseinrichtung</v>
          </cell>
          <cell r="E193" t="str">
            <v>Defaultwert aus LEKOS</v>
          </cell>
          <cell r="G193">
            <v>15</v>
          </cell>
          <cell r="H193">
            <v>15</v>
          </cell>
          <cell r="J193" t="str">
            <v>Jahre</v>
          </cell>
        </row>
        <row r="194">
          <cell r="C194" t="str">
            <v>E5.C</v>
          </cell>
          <cell r="D194" t="str">
            <v>Ausstattungen, Kunstwerke</v>
          </cell>
          <cell r="E194" t="str">
            <v>Defaultwert aus LEKOS</v>
          </cell>
          <cell r="G194">
            <v>25</v>
          </cell>
          <cell r="H194">
            <v>25</v>
          </cell>
          <cell r="J194" t="str">
            <v>Jahre</v>
          </cell>
        </row>
        <row r="195">
          <cell r="C195" t="str">
            <v>E5.S</v>
          </cell>
          <cell r="D195" t="str">
            <v>Einrichtung Sonstiges</v>
          </cell>
          <cell r="E195" t="str">
            <v>Defaultwert aus LEKOS</v>
          </cell>
          <cell r="G195">
            <v>25</v>
          </cell>
          <cell r="H195">
            <v>25</v>
          </cell>
          <cell r="J195" t="str">
            <v>Jahre</v>
          </cell>
        </row>
        <row r="196">
          <cell r="C196" t="str">
            <v>E6</v>
          </cell>
          <cell r="D196" t="str">
            <v>Außenanlagen</v>
          </cell>
        </row>
        <row r="197">
          <cell r="C197" t="str">
            <v>E6.A</v>
          </cell>
          <cell r="D197" t="str">
            <v>Allgemeine Außenanlagen</v>
          </cell>
          <cell r="E197" t="str">
            <v>Defaultwert aus LEKOS</v>
          </cell>
          <cell r="G197">
            <v>50</v>
          </cell>
          <cell r="H197">
            <v>50</v>
          </cell>
          <cell r="J197" t="str">
            <v>Jahre</v>
          </cell>
        </row>
        <row r="198">
          <cell r="C198" t="str">
            <v>E6.B</v>
          </cell>
          <cell r="D198" t="str">
            <v>Geländeflächen</v>
          </cell>
          <cell r="E198" t="str">
            <v>Defaultwert aus LEKOS</v>
          </cell>
          <cell r="G198">
            <v>50</v>
          </cell>
          <cell r="H198">
            <v>50</v>
          </cell>
          <cell r="J198" t="str">
            <v>Jahre</v>
          </cell>
        </row>
        <row r="199">
          <cell r="C199" t="str">
            <v>E6.C</v>
          </cell>
          <cell r="D199" t="str">
            <v>Befestigte Flächen</v>
          </cell>
          <cell r="E199" t="str">
            <v>Defaultwert aus LEKOS</v>
          </cell>
          <cell r="G199">
            <v>37</v>
          </cell>
          <cell r="H199">
            <v>37</v>
          </cell>
          <cell r="J199" t="str">
            <v>Jahre</v>
          </cell>
        </row>
        <row r="200">
          <cell r="C200" t="str">
            <v>E6.D</v>
          </cell>
          <cell r="D200" t="str">
            <v>Bauteile Außenanlagen</v>
          </cell>
          <cell r="E200" t="str">
            <v>Defaultwert aus LEKOS</v>
          </cell>
          <cell r="G200">
            <v>30</v>
          </cell>
          <cell r="H200">
            <v>30</v>
          </cell>
          <cell r="J200" t="str">
            <v>Jahre</v>
          </cell>
        </row>
        <row r="201">
          <cell r="C201" t="str">
            <v>E6.S</v>
          </cell>
          <cell r="D201" t="str">
            <v>Außenanlagen Sonstiges</v>
          </cell>
          <cell r="E201" t="str">
            <v>Defaultwert aus LEKOS</v>
          </cell>
          <cell r="G201">
            <v>50</v>
          </cell>
          <cell r="H201">
            <v>50</v>
          </cell>
          <cell r="J201" t="str">
            <v>Jahre</v>
          </cell>
        </row>
        <row r="202">
          <cell r="G202" t="str">
            <v>zurück zu "Nutzung und Betrieb"</v>
          </cell>
        </row>
      </sheetData>
      <sheetData sheetId="19">
        <row r="2">
          <cell r="D2" t="str">
            <v>Abbruchkosten</v>
          </cell>
          <cell r="G2" t="str">
            <v>zurück zu "Nutzung und Betrieb"</v>
          </cell>
        </row>
        <row r="3">
          <cell r="C3" t="str">
            <v>AB_KO_GEBÄUDE</v>
          </cell>
          <cell r="D3" t="str">
            <v>Abbruchkosten entkerntes Gebäude €/m³</v>
          </cell>
          <cell r="G3">
            <v>3.48</v>
          </cell>
        </row>
        <row r="4">
          <cell r="C4" t="str">
            <v>AB_KO_ENTKERNUNG</v>
          </cell>
          <cell r="D4" t="str">
            <v>Kosten Entkernung in €/m³</v>
          </cell>
          <cell r="G4">
            <v>3.7199999999999998</v>
          </cell>
        </row>
        <row r="5">
          <cell r="C5" t="str">
            <v>F_ENTK</v>
          </cell>
          <cell r="D5" t="str">
            <v>Faktor für Entkernung</v>
          </cell>
          <cell r="G5">
            <v>1</v>
          </cell>
        </row>
        <row r="6">
          <cell r="C6" t="str">
            <v>AB_KO_SONSTIGES</v>
          </cell>
          <cell r="D6" t="str">
            <v>Kosten Sonstiges in €/m³</v>
          </cell>
          <cell r="G6">
            <v>0</v>
          </cell>
        </row>
        <row r="7">
          <cell r="C7" t="str">
            <v>AB_GESAMT</v>
          </cell>
          <cell r="D7" t="str">
            <v>Abbruch Gesamt</v>
          </cell>
          <cell r="F7" t="str">
            <v>BRI*AB_KO_GEBÄUDE+BRI*AB_KO_ENTKERNUNG*F_ENTK+BRI*AB_KO_SONSTIGES</v>
          </cell>
          <cell r="G7">
            <v>17444.099999999999</v>
          </cell>
        </row>
        <row r="8">
          <cell r="D8" t="str">
            <v>Entsorgungsmengen</v>
          </cell>
        </row>
        <row r="9">
          <cell r="C9" t="str">
            <v>BETON</v>
          </cell>
          <cell r="D9" t="str">
            <v>Beton</v>
          </cell>
          <cell r="F9" t="str">
            <v>aus Massenbilanz</v>
          </cell>
          <cell r="G9">
            <v>608.54118156000004</v>
          </cell>
        </row>
        <row r="10">
          <cell r="C10" t="str">
            <v>HOLZ</v>
          </cell>
          <cell r="D10" t="str">
            <v>Holz</v>
          </cell>
          <cell r="F10" t="str">
            <v>aus Massenbilanz</v>
          </cell>
          <cell r="G10">
            <v>3689.5083796625049</v>
          </cell>
        </row>
        <row r="11">
          <cell r="C11" t="str">
            <v>METALL</v>
          </cell>
          <cell r="D11" t="str">
            <v>Metall</v>
          </cell>
          <cell r="F11" t="str">
            <v>aus Massenbilanz</v>
          </cell>
          <cell r="G11">
            <v>15.932017775505003</v>
          </cell>
        </row>
        <row r="12">
          <cell r="C12" t="str">
            <v>KUNSTST</v>
          </cell>
          <cell r="D12" t="str">
            <v>Kunststoffe</v>
          </cell>
          <cell r="F12" t="str">
            <v>aus Massenbilanz</v>
          </cell>
          <cell r="G12">
            <v>558.97563769999999</v>
          </cell>
        </row>
        <row r="13">
          <cell r="C13" t="str">
            <v>RESTABFALL</v>
          </cell>
          <cell r="D13" t="str">
            <v>Baurestmassen</v>
          </cell>
          <cell r="F13" t="str">
            <v>aus Massenbilanz</v>
          </cell>
          <cell r="G13">
            <v>1809.672389588141</v>
          </cell>
        </row>
        <row r="14">
          <cell r="C14" t="str">
            <v>SONSTIGES</v>
          </cell>
          <cell r="D14" t="str">
            <v>Sonstiges</v>
          </cell>
          <cell r="G14">
            <v>0</v>
          </cell>
        </row>
        <row r="15">
          <cell r="D15" t="str">
            <v>Entsorgungsanteil je Material</v>
          </cell>
        </row>
        <row r="16">
          <cell r="C16" t="str">
            <v>AT_BETON_SR</v>
          </cell>
          <cell r="D16" t="str">
            <v xml:space="preserve">Beton sortenrein </v>
          </cell>
          <cell r="E16" t="str">
            <v>Annahme: Konventioneller Abbruch, Quelle: Massenrechner für Abbruchmassen des LUBW</v>
          </cell>
          <cell r="G16">
            <v>40</v>
          </cell>
        </row>
        <row r="17">
          <cell r="C17" t="str">
            <v>AT_BETON_SMINERAL</v>
          </cell>
          <cell r="D17" t="str">
            <v xml:space="preserve">Beton als sonst. mineralisches Material </v>
          </cell>
          <cell r="E17" t="str">
            <v>Annahme: Konventioneller Abbruch, Quelle: Massenrechner für Abbruchmassen des LUBW</v>
          </cell>
          <cell r="G17">
            <v>50</v>
          </cell>
        </row>
        <row r="18">
          <cell r="C18" t="str">
            <v>AT_BETON_RESTABFALL</v>
          </cell>
          <cell r="D18" t="str">
            <v>Beton als Restabfall</v>
          </cell>
          <cell r="E18" t="str">
            <v>Annahme: Konventioneller Abbruch, Quelle: Massenrechner für Abbruchmassen des LUBW</v>
          </cell>
          <cell r="G18">
            <v>10</v>
          </cell>
        </row>
        <row r="19">
          <cell r="C19" t="str">
            <v>AT_HOLZ_SR</v>
          </cell>
          <cell r="D19" t="str">
            <v xml:space="preserve">Holz sortenrein </v>
          </cell>
          <cell r="E19" t="str">
            <v>Annahme: Konventioneller Abbruch, Quelle: Massenrechner für Abbruchmassen des LUBW</v>
          </cell>
          <cell r="G19">
            <v>50</v>
          </cell>
        </row>
        <row r="20">
          <cell r="C20" t="str">
            <v>AT_HOLZ_RESTABFALL</v>
          </cell>
          <cell r="D20" t="str">
            <v>Holz als Restabfall</v>
          </cell>
          <cell r="E20" t="str">
            <v>Annahme: Konventioneller Abbruch, Quelle: Massenrechner für Abbruchmassen des LUBW</v>
          </cell>
          <cell r="G20">
            <v>50</v>
          </cell>
        </row>
        <row r="21">
          <cell r="C21" t="str">
            <v>AT_METALL_SR</v>
          </cell>
          <cell r="D21" t="str">
            <v xml:space="preserve">Metalle sortenrein </v>
          </cell>
          <cell r="E21" t="str">
            <v>Annahme: Konventioneller Abbruch, Quelle: Massenrechner für Abbruchmassen des LUBW</v>
          </cell>
          <cell r="G21">
            <v>50</v>
          </cell>
        </row>
        <row r="22">
          <cell r="C22" t="str">
            <v>AT_METALL_RESTABFALL</v>
          </cell>
          <cell r="D22" t="str">
            <v>Metalle als Restabfall</v>
          </cell>
          <cell r="E22" t="str">
            <v>Annahme: Konventioneller Abbruch, Quelle: Massenrechner für Abbruchmassen des LUBW</v>
          </cell>
          <cell r="G22">
            <v>50</v>
          </cell>
        </row>
        <row r="23">
          <cell r="C23" t="str">
            <v>AT_KUNSTST_SR</v>
          </cell>
          <cell r="D23" t="str">
            <v xml:space="preserve">Kunststoffe sortenrein </v>
          </cell>
          <cell r="E23" t="str">
            <v>Annahme: Konventioneller Abbruch, Quelle: Massenrechner für Abbruchmassen des LUBW</v>
          </cell>
          <cell r="G23">
            <v>50</v>
          </cell>
        </row>
        <row r="24">
          <cell r="C24" t="str">
            <v>AT_KUNSTST_RESTABFALL</v>
          </cell>
          <cell r="D24" t="str">
            <v>Kunststoffe als Restabfall</v>
          </cell>
          <cell r="E24" t="str">
            <v>Annahme: Konventioneller Abbruch, Quelle: Massenrechner für Abbruchmassen des LUBW</v>
          </cell>
          <cell r="G24">
            <v>50</v>
          </cell>
        </row>
        <row r="25">
          <cell r="D25" t="str">
            <v>Entsorgungskosten je t Material</v>
          </cell>
        </row>
        <row r="26">
          <cell r="C26" t="str">
            <v>ENTS_KO_BETON_T</v>
          </cell>
          <cell r="D26" t="str">
            <v>Entsorgung Beton €/t</v>
          </cell>
          <cell r="E26" t="str">
            <v>Quelle: Massenrechner für Abbruchmassen des LUBW</v>
          </cell>
          <cell r="G26">
            <v>9.6</v>
          </cell>
        </row>
        <row r="27">
          <cell r="C27" t="str">
            <v>ENTS_KO_MINERAL_T</v>
          </cell>
          <cell r="D27" t="str">
            <v>Entsorgung sonst. min. Material €/t</v>
          </cell>
          <cell r="E27" t="str">
            <v>Quelle: Massenrechner für Abbruchmassen des LUBW</v>
          </cell>
          <cell r="G27">
            <v>15.6</v>
          </cell>
        </row>
        <row r="28">
          <cell r="C28" t="str">
            <v>ENTS_KO_HOLZ_T</v>
          </cell>
          <cell r="D28" t="str">
            <v>Entsorgung Holz €/t</v>
          </cell>
          <cell r="E28" t="str">
            <v>Quelle: Massenrechner für Abbruchmassen des LUBW</v>
          </cell>
          <cell r="G28">
            <v>60</v>
          </cell>
        </row>
        <row r="29">
          <cell r="C29" t="str">
            <v>ENTS_KO_METALL_T</v>
          </cell>
          <cell r="D29" t="str">
            <v>Entsorgung Metalle €/t</v>
          </cell>
          <cell r="E29" t="str">
            <v>Quelle: Massenrechner für Abbruchmassen des LUBW</v>
          </cell>
          <cell r="G29">
            <v>-144</v>
          </cell>
        </row>
        <row r="30">
          <cell r="C30" t="str">
            <v>ENTS_KO_KUNSTST_T</v>
          </cell>
          <cell r="D30" t="str">
            <v>Entsorgung Kunststoffe €/t</v>
          </cell>
          <cell r="E30" t="str">
            <v>Quelle: Massenrechner für Abbruchmassen des LUBW</v>
          </cell>
          <cell r="G30">
            <v>360</v>
          </cell>
        </row>
        <row r="31">
          <cell r="C31" t="str">
            <v>ENTS_KO_SONST_T</v>
          </cell>
          <cell r="D31" t="str">
            <v>Entsorgung Sonstiges €/t</v>
          </cell>
          <cell r="G31">
            <v>0</v>
          </cell>
        </row>
        <row r="32">
          <cell r="C32" t="str">
            <v>ENTS_KO_RESTABFALL_T</v>
          </cell>
          <cell r="D32" t="str">
            <v>Entsorgung Restabfall €/t</v>
          </cell>
          <cell r="E32" t="str">
            <v>Quelle: Massenrechner für Abbruchmassen des LUBW</v>
          </cell>
          <cell r="G32">
            <v>300</v>
          </cell>
        </row>
        <row r="33">
          <cell r="D33" t="str">
            <v>Entsorgungskosten</v>
          </cell>
        </row>
        <row r="34">
          <cell r="C34" t="str">
            <v>ENTS_KO_BETON</v>
          </cell>
          <cell r="D34" t="str">
            <v>Entsorgung Beton</v>
          </cell>
          <cell r="F34" t="str">
            <v>BETON*AT_BETON_SR/100*ENTS_KO_BETON_T</v>
          </cell>
          <cell r="G34">
            <v>2336.7981371904002</v>
          </cell>
        </row>
        <row r="35">
          <cell r="C35" t="str">
            <v>ENTS_KO_MINERAL</v>
          </cell>
          <cell r="D35" t="str">
            <v xml:space="preserve">Entsorgung sonst. min. Material </v>
          </cell>
          <cell r="F35" t="str">
            <v>BETON*AT_BETON_SMINERAL/100*ENTS_KO_MINERAL_T</v>
          </cell>
          <cell r="G35">
            <v>2920.9976714879999</v>
          </cell>
        </row>
        <row r="36">
          <cell r="C36" t="str">
            <v>ENTS_KO_HOLZ</v>
          </cell>
          <cell r="D36" t="str">
            <v>Entsorgung Holz</v>
          </cell>
          <cell r="F36" t="str">
            <v>HOLZ*AT_HOLZ_SR/100*ENTS_KO_HOLZ_T</v>
          </cell>
          <cell r="G36">
            <v>110685.25138987515</v>
          </cell>
        </row>
        <row r="37">
          <cell r="C37" t="str">
            <v>ENTS_KO_METALL</v>
          </cell>
          <cell r="D37" t="str">
            <v>Entsorgung Metalle</v>
          </cell>
          <cell r="F37" t="str">
            <v>METALL*AT_METALL_SR/100*ENTS_KO_METALL_T</v>
          </cell>
          <cell r="G37">
            <v>-1147.1052798363603</v>
          </cell>
        </row>
        <row r="38">
          <cell r="C38" t="str">
            <v>ENTS_KO_KUNSTST</v>
          </cell>
          <cell r="D38" t="str">
            <v>Entsorgung Kunststoffe</v>
          </cell>
          <cell r="F38" t="str">
            <v>KUNSTST*AT_KUNSTST_SR/100*ENTS_KO_KUNSTST_T</v>
          </cell>
          <cell r="G38">
            <v>100615.61478600001</v>
          </cell>
        </row>
        <row r="39">
          <cell r="C39" t="str">
            <v>ENTS_KO_RESTABFALL</v>
          </cell>
          <cell r="D39" t="str">
            <v>Entsorgung Restabfall</v>
          </cell>
          <cell r="F39" t="str">
            <v>ENTS_KO_RESTABFALL_T*(RESTABFALL + BETON*AT_BETON_RESTABFALL/100+HOLZ*AT_HOLZ_RESTABFALL/100+METALL*AT_METALL_RESTABFALL/100+KUNSTST*AT_KUNSTST_RESTABFALL/100)</v>
          </cell>
          <cell r="G39">
            <v>1200820.3575939438</v>
          </cell>
        </row>
        <row r="40">
          <cell r="C40" t="str">
            <v>ENTS_KO_SONST</v>
          </cell>
          <cell r="D40" t="str">
            <v xml:space="preserve">Entsorgung Sonstiges </v>
          </cell>
          <cell r="F40" t="str">
            <v>SONSTIGES*ENTS_KO_SONSTIGES_T</v>
          </cell>
          <cell r="G40">
            <v>0</v>
          </cell>
        </row>
        <row r="41">
          <cell r="C41" t="str">
            <v>ENTS_GESAMT</v>
          </cell>
          <cell r="D41" t="str">
            <v>Entsorgung  Gesamt</v>
          </cell>
          <cell r="F41" t="str">
            <v>ENTS_KO_BETON+ENTS_KO_MINERAL+ENTS_KO_HOLZ+ENTS_KO_METALL+ENTS_KO_KUNSTST+ENTS_KO_RESTABFALL+ENTS_KO_SONSTIGES</v>
          </cell>
          <cell r="G41">
            <v>1416231.9142986611</v>
          </cell>
        </row>
        <row r="42">
          <cell r="C42" t="str">
            <v>AB_ENTS_GESAMT</v>
          </cell>
          <cell r="D42" t="str">
            <v>Abbruch und Entsorgung Gesamt</v>
          </cell>
          <cell r="F42" t="str">
            <v>AB_GESAMT+ENTS_GESAMT</v>
          </cell>
          <cell r="G42">
            <v>1433676.0142986611</v>
          </cell>
        </row>
        <row r="43">
          <cell r="D43" t="str">
            <v>Herstellung des Vertragszustands</v>
          </cell>
        </row>
        <row r="44">
          <cell r="C44" t="str">
            <v>HVZm2</v>
          </cell>
          <cell r="D44" t="str">
            <v>Vertragszustandsherstellungskosten/m² befestigte Außenfl.</v>
          </cell>
          <cell r="G44">
            <v>3.5999999999999996</v>
          </cell>
        </row>
        <row r="45">
          <cell r="G45" t="str">
            <v>zurück zu "Nutzung und Betrieb"</v>
          </cell>
        </row>
      </sheetData>
      <sheetData sheetId="20">
        <row r="4">
          <cell r="A4" t="str">
            <v>LKW-Transport 28 t</v>
          </cell>
          <cell r="B4" t="str">
            <v>tkm</v>
          </cell>
          <cell r="C4">
            <v>1</v>
          </cell>
          <cell r="D4" t="str">
            <v>LKW-Transport 28 t</v>
          </cell>
          <cell r="E4">
            <v>1</v>
          </cell>
          <cell r="F4">
            <v>-36.083528212993002</v>
          </cell>
          <cell r="M4">
            <v>0</v>
          </cell>
          <cell r="N4">
            <v>0.18470541142706501</v>
          </cell>
          <cell r="O4">
            <v>-7.6551999999979707E-5</v>
          </cell>
          <cell r="P4">
            <v>0.18478196342706499</v>
          </cell>
          <cell r="Q4">
            <v>8.9131181331884E-4</v>
          </cell>
          <cell r="R4">
            <v>3.0053792998</v>
          </cell>
          <cell r="S4">
            <v>2.826537536</v>
          </cell>
          <cell r="T4">
            <v>1.04566667096009E-4</v>
          </cell>
          <cell r="U4">
            <v>2.3180177764375E-4</v>
          </cell>
          <cell r="V4">
            <v>2.8984735279203599E-8</v>
          </cell>
          <cell r="W4">
            <v>0</v>
          </cell>
          <cell r="X4">
            <v>0</v>
          </cell>
          <cell r="Y4">
            <v>0</v>
          </cell>
          <cell r="Z4">
            <v>0</v>
          </cell>
          <cell r="AA4">
            <v>0</v>
          </cell>
          <cell r="AB4">
            <v>0</v>
          </cell>
          <cell r="AC4">
            <v>0</v>
          </cell>
          <cell r="AD4">
            <v>0</v>
          </cell>
          <cell r="AE4">
            <v>0</v>
          </cell>
          <cell r="AF4">
            <v>0</v>
          </cell>
          <cell r="AG4">
            <v>0</v>
          </cell>
          <cell r="AH4">
            <v>2.2282795332971E-4</v>
          </cell>
          <cell r="AI4">
            <v>0.75134482494999999</v>
          </cell>
          <cell r="AJ4">
            <v>1</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1</v>
          </cell>
          <cell r="BA4">
            <v>0</v>
          </cell>
          <cell r="BB4">
            <v>0</v>
          </cell>
          <cell r="BC4">
            <v>0</v>
          </cell>
          <cell r="BD4">
            <v>0</v>
          </cell>
          <cell r="BE4">
            <v>0</v>
          </cell>
          <cell r="BF4">
            <v>0</v>
          </cell>
          <cell r="BG4">
            <v>0</v>
          </cell>
        </row>
        <row r="5">
          <cell r="A5" t="str">
            <v>Bahntransport</v>
          </cell>
          <cell r="B5" t="str">
            <v>tkm</v>
          </cell>
          <cell r="C5">
            <v>1</v>
          </cell>
          <cell r="D5" t="str">
            <v>Bahntransport</v>
          </cell>
          <cell r="E5">
            <v>1</v>
          </cell>
          <cell r="F5">
            <v>-36.274674523862799</v>
          </cell>
          <cell r="M5">
            <v>0</v>
          </cell>
          <cell r="N5">
            <v>3.9395145347785203E-2</v>
          </cell>
          <cell r="O5">
            <v>-8.2678999999995201E-5</v>
          </cell>
          <cell r="P5">
            <v>3.9477824347785198E-2</v>
          </cell>
          <cell r="Q5">
            <v>2.1276523372297201E-4</v>
          </cell>
          <cell r="R5">
            <v>0.71172762248400001</v>
          </cell>
          <cell r="S5">
            <v>0.65753554430000005</v>
          </cell>
          <cell r="T5">
            <v>1.82268307267256E-5</v>
          </cell>
          <cell r="U5">
            <v>1.0458402908285499E-4</v>
          </cell>
          <cell r="V5">
            <v>2.7180288556899401E-9</v>
          </cell>
          <cell r="W5">
            <v>0</v>
          </cell>
          <cell r="X5">
            <v>0</v>
          </cell>
          <cell r="Y5">
            <v>0</v>
          </cell>
          <cell r="Z5">
            <v>0</v>
          </cell>
          <cell r="AA5">
            <v>0</v>
          </cell>
          <cell r="AB5">
            <v>0</v>
          </cell>
          <cell r="AC5">
            <v>0</v>
          </cell>
          <cell r="AD5">
            <v>0</v>
          </cell>
          <cell r="AE5">
            <v>0</v>
          </cell>
          <cell r="AF5">
            <v>0</v>
          </cell>
          <cell r="AG5">
            <v>0</v>
          </cell>
          <cell r="AH5">
            <v>5.3191308430743002E-5</v>
          </cell>
          <cell r="AI5">
            <v>0.177931905621</v>
          </cell>
          <cell r="AJ5">
            <v>1</v>
          </cell>
          <cell r="AK5">
            <v>3</v>
          </cell>
          <cell r="AL5">
            <v>0.75</v>
          </cell>
          <cell r="AM5">
            <v>2.15</v>
          </cell>
          <cell r="AN5">
            <v>0</v>
          </cell>
          <cell r="AO5">
            <v>1</v>
          </cell>
          <cell r="AP5">
            <v>0</v>
          </cell>
          <cell r="AQ5">
            <v>0.1</v>
          </cell>
          <cell r="AR5">
            <v>0</v>
          </cell>
          <cell r="AS5">
            <v>0</v>
          </cell>
          <cell r="AT5">
            <v>0.75</v>
          </cell>
          <cell r="AU5">
            <v>0</v>
          </cell>
          <cell r="AV5">
            <v>0</v>
          </cell>
          <cell r="AW5">
            <v>0</v>
          </cell>
          <cell r="AX5">
            <v>0</v>
          </cell>
          <cell r="AY5">
            <v>0</v>
          </cell>
          <cell r="AZ5">
            <v>1</v>
          </cell>
          <cell r="BA5">
            <v>3</v>
          </cell>
          <cell r="BB5">
            <v>0.75</v>
          </cell>
          <cell r="BC5">
            <v>2.15</v>
          </cell>
          <cell r="BD5">
            <v>0</v>
          </cell>
          <cell r="BE5">
            <v>1</v>
          </cell>
          <cell r="BF5">
            <v>0</v>
          </cell>
          <cell r="BG5">
            <v>0.1</v>
          </cell>
        </row>
        <row r="6">
          <cell r="A6" t="str">
            <v>Frachter Binnen</v>
          </cell>
          <cell r="B6" t="str">
            <v>tkm</v>
          </cell>
          <cell r="C6">
            <v>1</v>
          </cell>
          <cell r="D6" t="str">
            <v>Frachter Binnen</v>
          </cell>
          <cell r="E6">
            <v>1</v>
          </cell>
          <cell r="F6">
            <v>-36.259162814571397</v>
          </cell>
          <cell r="M6">
            <v>0</v>
          </cell>
          <cell r="N6">
            <v>4.63883328554257E-2</v>
          </cell>
          <cell r="O6">
            <v>0</v>
          </cell>
          <cell r="P6">
            <v>4.63883328554257E-2</v>
          </cell>
          <cell r="Q6">
            <v>3.3633181064288001E-4</v>
          </cell>
          <cell r="R6">
            <v>0.64784665600799995</v>
          </cell>
          <cell r="S6">
            <v>0.60736312189999997</v>
          </cell>
          <cell r="T6">
            <v>2.3898629606618401E-5</v>
          </cell>
          <cell r="U6">
            <v>8.8181221265961799E-5</v>
          </cell>
          <cell r="V6">
            <v>4.8342565539135399E-9</v>
          </cell>
          <cell r="W6">
            <v>0</v>
          </cell>
          <cell r="X6">
            <v>0</v>
          </cell>
          <cell r="Y6">
            <v>0</v>
          </cell>
          <cell r="Z6">
            <v>0</v>
          </cell>
          <cell r="AA6">
            <v>0</v>
          </cell>
          <cell r="AB6">
            <v>0</v>
          </cell>
          <cell r="AC6">
            <v>0</v>
          </cell>
          <cell r="AD6">
            <v>0</v>
          </cell>
          <cell r="AE6">
            <v>0</v>
          </cell>
          <cell r="AF6">
            <v>0</v>
          </cell>
          <cell r="AG6">
            <v>0</v>
          </cell>
          <cell r="AH6">
            <v>8.4082952660720004E-5</v>
          </cell>
          <cell r="AI6">
            <v>0.16196166400199999</v>
          </cell>
          <cell r="AJ6">
            <v>1</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1</v>
          </cell>
          <cell r="BA6">
            <v>0</v>
          </cell>
          <cell r="BB6">
            <v>0</v>
          </cell>
          <cell r="BC6">
            <v>0</v>
          </cell>
          <cell r="BD6">
            <v>0</v>
          </cell>
          <cell r="BE6">
            <v>0</v>
          </cell>
          <cell r="BF6">
            <v>0</v>
          </cell>
          <cell r="BG6">
            <v>0</v>
          </cell>
        </row>
        <row r="7">
          <cell r="A7" t="str">
            <v>Normalbeton</v>
          </cell>
          <cell r="B7" t="str">
            <v>m³</v>
          </cell>
          <cell r="C7">
            <v>1</v>
          </cell>
          <cell r="D7" t="str">
            <v>Normalbeton</v>
          </cell>
          <cell r="E7">
            <v>1</v>
          </cell>
          <cell r="F7">
            <v>107.76618893815299</v>
          </cell>
          <cell r="G7">
            <v>100</v>
          </cell>
          <cell r="M7">
            <v>2300</v>
          </cell>
          <cell r="N7">
            <v>218.79878032191999</v>
          </cell>
          <cell r="O7">
            <v>-6.7149180119899204E-2</v>
          </cell>
          <cell r="P7">
            <v>218.86592950203899</v>
          </cell>
          <cell r="Q7">
            <v>0.41608642837438298</v>
          </cell>
          <cell r="R7">
            <v>1564.64605303744</v>
          </cell>
          <cell r="S7">
            <v>1462.09447524392</v>
          </cell>
          <cell r="T7">
            <v>5.85444974740073E-2</v>
          </cell>
          <cell r="U7">
            <v>0.25654706139218503</v>
          </cell>
          <cell r="V7">
            <v>4.83058737837099E-6</v>
          </cell>
          <cell r="W7">
            <v>0</v>
          </cell>
          <cell r="X7">
            <v>0</v>
          </cell>
          <cell r="Y7">
            <v>0</v>
          </cell>
          <cell r="Z7">
            <v>0</v>
          </cell>
          <cell r="AA7">
            <v>0</v>
          </cell>
          <cell r="AB7">
            <v>0</v>
          </cell>
          <cell r="AC7">
            <v>0</v>
          </cell>
          <cell r="AD7">
            <v>0</v>
          </cell>
          <cell r="AE7">
            <v>0</v>
          </cell>
          <cell r="AF7">
            <v>0</v>
          </cell>
          <cell r="AG7">
            <v>0</v>
          </cell>
          <cell r="AH7">
            <v>0.10402160709359599</v>
          </cell>
          <cell r="AI7">
            <v>391.16151325936102</v>
          </cell>
          <cell r="AJ7">
            <v>1</v>
          </cell>
          <cell r="AK7">
            <v>2</v>
          </cell>
          <cell r="AL7">
            <v>0.75</v>
          </cell>
          <cell r="AM7">
            <v>1.4</v>
          </cell>
          <cell r="AN7">
            <v>1</v>
          </cell>
          <cell r="AO7">
            <v>0</v>
          </cell>
          <cell r="AP7">
            <v>0</v>
          </cell>
          <cell r="AQ7">
            <v>0.1</v>
          </cell>
          <cell r="AR7">
            <v>0</v>
          </cell>
          <cell r="AS7">
            <v>0</v>
          </cell>
          <cell r="AT7">
            <v>0.75</v>
          </cell>
          <cell r="AU7">
            <v>0</v>
          </cell>
          <cell r="AV7">
            <v>0</v>
          </cell>
          <cell r="AW7">
            <v>0</v>
          </cell>
          <cell r="AX7">
            <v>0</v>
          </cell>
          <cell r="AY7">
            <v>0</v>
          </cell>
          <cell r="AZ7">
            <v>1</v>
          </cell>
          <cell r="BA7">
            <v>2</v>
          </cell>
          <cell r="BB7">
            <v>0.75</v>
          </cell>
          <cell r="BC7">
            <v>1.4</v>
          </cell>
          <cell r="BD7">
            <v>1</v>
          </cell>
          <cell r="BE7">
            <v>0</v>
          </cell>
          <cell r="BF7">
            <v>0</v>
          </cell>
          <cell r="BG7">
            <v>0.1</v>
          </cell>
        </row>
        <row r="8">
          <cell r="A8" t="str">
            <v>Armierungsstahl</v>
          </cell>
          <cell r="B8" t="str">
            <v>m³</v>
          </cell>
          <cell r="C8">
            <v>1</v>
          </cell>
          <cell r="D8" t="str">
            <v>Armierungsstahl</v>
          </cell>
          <cell r="E8">
            <v>1</v>
          </cell>
          <cell r="F8">
            <v>10924.411077574699</v>
          </cell>
          <cell r="G8">
            <v>100</v>
          </cell>
          <cell r="M8">
            <v>7800</v>
          </cell>
          <cell r="N8">
            <v>9264.4730364417701</v>
          </cell>
          <cell r="O8">
            <v>-31.2258612396895</v>
          </cell>
          <cell r="P8">
            <v>9295.6988976814591</v>
          </cell>
          <cell r="Q8">
            <v>33.1319898453946</v>
          </cell>
          <cell r="R8">
            <v>149972.00776345201</v>
          </cell>
          <cell r="S8">
            <v>136413.25573072201</v>
          </cell>
          <cell r="T8">
            <v>7.14471889253314</v>
          </cell>
          <cell r="U8">
            <v>20.590687141460801</v>
          </cell>
          <cell r="V8">
            <v>4.3685544555243798E-4</v>
          </cell>
          <cell r="W8">
            <v>0</v>
          </cell>
          <cell r="X8">
            <v>0</v>
          </cell>
          <cell r="Y8">
            <v>0</v>
          </cell>
          <cell r="Z8">
            <v>0</v>
          </cell>
          <cell r="AA8">
            <v>0</v>
          </cell>
          <cell r="AB8">
            <v>0</v>
          </cell>
          <cell r="AC8">
            <v>0</v>
          </cell>
          <cell r="AD8">
            <v>0</v>
          </cell>
          <cell r="AE8">
            <v>0</v>
          </cell>
          <cell r="AF8">
            <v>0</v>
          </cell>
          <cell r="AG8">
            <v>0</v>
          </cell>
          <cell r="AH8">
            <v>8.2829974613486499</v>
          </cell>
          <cell r="AI8">
            <v>37493.001940863098</v>
          </cell>
          <cell r="AJ8">
            <v>1</v>
          </cell>
          <cell r="AK8">
            <v>2</v>
          </cell>
          <cell r="AL8">
            <v>0.25</v>
          </cell>
          <cell r="AM8">
            <v>0.4</v>
          </cell>
          <cell r="AN8">
            <v>0</v>
          </cell>
          <cell r="AO8">
            <v>0</v>
          </cell>
          <cell r="AP8">
            <v>1</v>
          </cell>
          <cell r="AQ8">
            <v>0.1</v>
          </cell>
          <cell r="AR8">
            <v>0</v>
          </cell>
          <cell r="AS8">
            <v>0</v>
          </cell>
          <cell r="AT8">
            <v>0.25</v>
          </cell>
          <cell r="AU8">
            <v>0</v>
          </cell>
          <cell r="AV8">
            <v>0</v>
          </cell>
          <cell r="AW8">
            <v>0</v>
          </cell>
          <cell r="AX8">
            <v>0</v>
          </cell>
          <cell r="AY8">
            <v>0</v>
          </cell>
          <cell r="AZ8">
            <v>1</v>
          </cell>
          <cell r="BA8">
            <v>2</v>
          </cell>
          <cell r="BB8">
            <v>0.25</v>
          </cell>
          <cell r="BC8">
            <v>0.4</v>
          </cell>
          <cell r="BD8">
            <v>0</v>
          </cell>
          <cell r="BE8">
            <v>0</v>
          </cell>
          <cell r="BF8">
            <v>1</v>
          </cell>
          <cell r="BG8">
            <v>0.1</v>
          </cell>
        </row>
        <row r="9">
          <cell r="A9" t="str">
            <v>Kies</v>
          </cell>
          <cell r="B9" t="str">
            <v>m³</v>
          </cell>
          <cell r="C9">
            <v>1</v>
          </cell>
          <cell r="D9" t="str">
            <v>Kies</v>
          </cell>
          <cell r="E9">
            <v>1</v>
          </cell>
          <cell r="F9">
            <v>-24.383581448826401</v>
          </cell>
          <cell r="G9">
            <v>100</v>
          </cell>
          <cell r="M9">
            <v>1800</v>
          </cell>
          <cell r="N9">
            <v>7.99272379219423</v>
          </cell>
          <cell r="O9">
            <v>0</v>
          </cell>
          <cell r="P9">
            <v>7.99272379219423</v>
          </cell>
          <cell r="Q9">
            <v>4.48770066629137E-2</v>
          </cell>
          <cell r="R9">
            <v>139.020910922582</v>
          </cell>
          <cell r="S9">
            <v>128.71235765352699</v>
          </cell>
          <cell r="T9">
            <v>4.1129838426707602E-3</v>
          </cell>
          <cell r="U9">
            <v>2.0264577002021899E-2</v>
          </cell>
          <cell r="V9">
            <v>6.2482057170787296E-7</v>
          </cell>
          <cell r="W9">
            <v>0</v>
          </cell>
          <cell r="X9">
            <v>0</v>
          </cell>
          <cell r="Y9">
            <v>0</v>
          </cell>
          <cell r="Z9">
            <v>0</v>
          </cell>
          <cell r="AA9">
            <v>0</v>
          </cell>
          <cell r="AB9">
            <v>0</v>
          </cell>
          <cell r="AC9">
            <v>0</v>
          </cell>
          <cell r="AD9">
            <v>0</v>
          </cell>
          <cell r="AE9">
            <v>0</v>
          </cell>
          <cell r="AF9">
            <v>0</v>
          </cell>
          <cell r="AG9">
            <v>0</v>
          </cell>
          <cell r="AH9">
            <v>1.1219251665728401E-2</v>
          </cell>
          <cell r="AI9">
            <v>34.755227730645601</v>
          </cell>
          <cell r="AJ9">
            <v>1</v>
          </cell>
          <cell r="AK9">
            <v>1</v>
          </cell>
          <cell r="AL9">
            <v>0.25</v>
          </cell>
          <cell r="AM9">
            <v>0.15</v>
          </cell>
          <cell r="AN9">
            <v>1</v>
          </cell>
          <cell r="AO9">
            <v>0</v>
          </cell>
          <cell r="AP9">
            <v>0</v>
          </cell>
          <cell r="AQ9">
            <v>0.1</v>
          </cell>
          <cell r="AR9">
            <v>0</v>
          </cell>
          <cell r="AS9">
            <v>0</v>
          </cell>
          <cell r="AT9">
            <v>0.25</v>
          </cell>
          <cell r="AU9">
            <v>0</v>
          </cell>
          <cell r="AV9">
            <v>0</v>
          </cell>
          <cell r="AW9">
            <v>0</v>
          </cell>
          <cell r="AX9">
            <v>0</v>
          </cell>
          <cell r="AY9">
            <v>0</v>
          </cell>
          <cell r="AZ9">
            <v>1</v>
          </cell>
          <cell r="BA9">
            <v>1</v>
          </cell>
          <cell r="BB9">
            <v>0.25</v>
          </cell>
          <cell r="BC9">
            <v>0.15</v>
          </cell>
          <cell r="BD9">
            <v>1</v>
          </cell>
          <cell r="BE9">
            <v>0</v>
          </cell>
          <cell r="BF9">
            <v>0</v>
          </cell>
          <cell r="BG9">
            <v>0.1</v>
          </cell>
        </row>
        <row r="10">
          <cell r="A10" t="str">
            <v>Bitte auswählen</v>
          </cell>
        </row>
        <row r="11">
          <cell r="A11" t="str">
            <v>Stahlbetonplatte 15 cm</v>
          </cell>
          <cell r="B11" t="str">
            <v>m²</v>
          </cell>
          <cell r="C11">
            <v>1</v>
          </cell>
          <cell r="D11" t="str">
            <v>E2-C-BP-SW-15</v>
          </cell>
          <cell r="E11">
            <v>1</v>
          </cell>
          <cell r="F11">
            <v>15.108696737791</v>
          </cell>
          <cell r="G11">
            <v>100</v>
          </cell>
          <cell r="H11">
            <v>0</v>
          </cell>
          <cell r="I11">
            <v>0</v>
          </cell>
          <cell r="J11">
            <v>17.55</v>
          </cell>
          <cell r="K11">
            <v>454.6</v>
          </cell>
          <cell r="L11">
            <v>270.29000000000002</v>
          </cell>
          <cell r="M11">
            <v>742.44</v>
          </cell>
          <cell r="N11">
            <v>61.145135236702899</v>
          </cell>
          <cell r="O11">
            <v>-0.35346620191372702</v>
          </cell>
          <cell r="P11">
            <v>61.498601438616603</v>
          </cell>
          <cell r="Q11">
            <v>0.15860737607203501</v>
          </cell>
          <cell r="R11">
            <v>603.10572166207498</v>
          </cell>
          <cell r="S11">
            <v>27.817083836857101</v>
          </cell>
          <cell r="T11">
            <v>2.7630799270274699E-2</v>
          </cell>
          <cell r="U11">
            <v>9.5911709327959199E-2</v>
          </cell>
          <cell r="V11">
            <v>1.9771749180254201E-6</v>
          </cell>
          <cell r="W11">
            <v>0</v>
          </cell>
          <cell r="X11">
            <v>0</v>
          </cell>
          <cell r="Y11">
            <v>0</v>
          </cell>
          <cell r="Z11">
            <v>0</v>
          </cell>
          <cell r="AA11">
            <v>0</v>
          </cell>
          <cell r="AB11">
            <v>0</v>
          </cell>
          <cell r="AC11">
            <v>0</v>
          </cell>
          <cell r="AD11">
            <v>0</v>
          </cell>
          <cell r="AE11">
            <v>0</v>
          </cell>
          <cell r="AF11">
            <v>0</v>
          </cell>
          <cell r="AG11">
            <v>0</v>
          </cell>
          <cell r="AH11">
            <v>3.9651844018008801E-2</v>
          </cell>
          <cell r="AI11">
            <v>150.776430415519</v>
          </cell>
          <cell r="AJ11">
            <v>0.35053333333333297</v>
          </cell>
          <cell r="AK11">
            <v>18.2225</v>
          </cell>
          <cell r="AL11">
            <v>75</v>
          </cell>
          <cell r="AM11">
            <v>227.68125000000001</v>
          </cell>
          <cell r="AN11">
            <v>0</v>
          </cell>
          <cell r="AO11">
            <v>0</v>
          </cell>
          <cell r="AP11">
            <v>17.55</v>
          </cell>
          <cell r="AQ11">
            <v>0.1</v>
          </cell>
          <cell r="AR11">
            <v>-2.7105054312137599E-20</v>
          </cell>
          <cell r="AS11">
            <v>-8.1315162936412802E-18</v>
          </cell>
          <cell r="AT11">
            <v>75</v>
          </cell>
          <cell r="AU11">
            <v>-0.1</v>
          </cell>
          <cell r="AV11">
            <v>0</v>
          </cell>
          <cell r="AW11">
            <v>-2.7105054312137599E-20</v>
          </cell>
          <cell r="AX11">
            <v>0</v>
          </cell>
          <cell r="AY11">
            <v>0.1</v>
          </cell>
          <cell r="AZ11">
            <v>0.35053333333333297</v>
          </cell>
          <cell r="BA11">
            <v>18.2225</v>
          </cell>
          <cell r="BB11">
            <v>75</v>
          </cell>
          <cell r="BC11">
            <v>227.68125000000001</v>
          </cell>
          <cell r="BD11">
            <v>0.34775</v>
          </cell>
          <cell r="BE11">
            <v>2.3333333333333301E-4</v>
          </cell>
          <cell r="BF11">
            <v>2.2499999999999998E-3</v>
          </cell>
          <cell r="BG11">
            <v>0.1</v>
          </cell>
          <cell r="BH11">
            <v>41.54</v>
          </cell>
          <cell r="BI11">
            <v>37.115000000000002</v>
          </cell>
        </row>
        <row r="12">
          <cell r="A12" t="str">
            <v>Stahlbetonplatte 20 cm</v>
          </cell>
          <cell r="B12" t="str">
            <v>m²</v>
          </cell>
          <cell r="C12">
            <v>2</v>
          </cell>
          <cell r="D12" t="str">
            <v>E2-C-BP-SW-20</v>
          </cell>
          <cell r="E12">
            <v>1</v>
          </cell>
          <cell r="F12">
            <v>30.2200733390595</v>
          </cell>
          <cell r="G12">
            <v>100</v>
          </cell>
          <cell r="H12">
            <v>0</v>
          </cell>
          <cell r="I12">
            <v>0</v>
          </cell>
          <cell r="J12">
            <v>23.4</v>
          </cell>
          <cell r="K12">
            <v>572.79999999999995</v>
          </cell>
          <cell r="L12">
            <v>270.29000000000002</v>
          </cell>
          <cell r="M12">
            <v>866.49</v>
          </cell>
          <cell r="N12">
            <v>79.337844724491205</v>
          </cell>
          <cell r="O12">
            <v>-0.38033648179574298</v>
          </cell>
          <cell r="P12">
            <v>79.7181812062869</v>
          </cell>
          <cell r="Q12">
            <v>0.20483959273166899</v>
          </cell>
          <cell r="R12">
            <v>780.55460562265205</v>
          </cell>
          <cell r="S12">
            <v>33.967438814761501</v>
          </cell>
          <cell r="T12">
            <v>3.5998016527251799E-2</v>
          </cell>
          <cell r="U12">
            <v>0.12453901279560101</v>
          </cell>
          <cell r="V12">
            <v>2.5530666883303802E-6</v>
          </cell>
          <cell r="W12">
            <v>0</v>
          </cell>
          <cell r="X12">
            <v>0</v>
          </cell>
          <cell r="Y12">
            <v>0</v>
          </cell>
          <cell r="Z12">
            <v>0</v>
          </cell>
          <cell r="AA12">
            <v>0</v>
          </cell>
          <cell r="AB12">
            <v>0</v>
          </cell>
          <cell r="AC12">
            <v>0</v>
          </cell>
          <cell r="AD12">
            <v>0</v>
          </cell>
          <cell r="AE12">
            <v>0</v>
          </cell>
          <cell r="AF12">
            <v>0</v>
          </cell>
          <cell r="AG12">
            <v>0</v>
          </cell>
          <cell r="AH12">
            <v>5.1209898182917303E-2</v>
          </cell>
          <cell r="AI12">
            <v>195.13865140566301</v>
          </cell>
          <cell r="AJ12">
            <v>0.40053333333333302</v>
          </cell>
          <cell r="AK12">
            <v>20.91</v>
          </cell>
          <cell r="AL12">
            <v>75</v>
          </cell>
          <cell r="AM12">
            <v>261.27499999999998</v>
          </cell>
          <cell r="AN12">
            <v>0</v>
          </cell>
          <cell r="AO12">
            <v>0</v>
          </cell>
          <cell r="AP12">
            <v>23.4</v>
          </cell>
          <cell r="AQ12">
            <v>0.1</v>
          </cell>
          <cell r="AR12">
            <v>-2.77826806699411E-17</v>
          </cell>
          <cell r="AS12">
            <v>-1.3959102970750899E-15</v>
          </cell>
          <cell r="AT12">
            <v>75</v>
          </cell>
          <cell r="AU12">
            <v>-1.74488787134386E-14</v>
          </cell>
          <cell r="AV12">
            <v>-2.7755575615628901E-17</v>
          </cell>
          <cell r="AW12">
            <v>-2.7105054312137599E-20</v>
          </cell>
          <cell r="AX12">
            <v>0</v>
          </cell>
          <cell r="AY12">
            <v>0</v>
          </cell>
          <cell r="AZ12">
            <v>0.40053333333333302</v>
          </cell>
          <cell r="BA12">
            <v>20.91</v>
          </cell>
          <cell r="BB12">
            <v>75</v>
          </cell>
          <cell r="BC12">
            <v>261.27499999999998</v>
          </cell>
          <cell r="BD12">
            <v>0.39700000000000002</v>
          </cell>
          <cell r="BE12">
            <v>2.3333333333333301E-4</v>
          </cell>
          <cell r="BF12">
            <v>3.0000000000000001E-3</v>
          </cell>
          <cell r="BG12">
            <v>0.1</v>
          </cell>
          <cell r="BH12">
            <v>49.204999999999998</v>
          </cell>
          <cell r="BI12">
            <v>43.317500000000003</v>
          </cell>
        </row>
        <row r="13">
          <cell r="A13" t="str">
            <v>Stahlbetonplatte 30 cm</v>
          </cell>
          <cell r="B13" t="str">
            <v>m²</v>
          </cell>
        </row>
        <row r="14">
          <cell r="A14" t="str">
            <v>WU-Beton (E2.C)</v>
          </cell>
          <cell r="B14" t="str">
            <v>m²</v>
          </cell>
          <cell r="C14">
            <v>3</v>
          </cell>
          <cell r="D14" t="str">
            <v>E2-C-BP-WU-30</v>
          </cell>
          <cell r="E14">
            <v>1</v>
          </cell>
          <cell r="F14">
            <v>33.5694288019548</v>
          </cell>
          <cell r="G14">
            <v>100</v>
          </cell>
          <cell r="H14">
            <v>0</v>
          </cell>
          <cell r="I14">
            <v>0</v>
          </cell>
          <cell r="J14">
            <v>17.55</v>
          </cell>
          <cell r="K14">
            <v>714.6</v>
          </cell>
          <cell r="L14">
            <v>0</v>
          </cell>
          <cell r="M14">
            <v>732.15</v>
          </cell>
          <cell r="N14">
            <v>93.390012927993993</v>
          </cell>
          <cell r="O14">
            <v>-9.5076245789298894E-2</v>
          </cell>
          <cell r="P14">
            <v>93.485089173783294</v>
          </cell>
          <cell r="Q14">
            <v>0.20619675615013799</v>
          </cell>
          <cell r="R14">
            <v>805.345774818123</v>
          </cell>
          <cell r="S14">
            <v>23.677299867993302</v>
          </cell>
          <cell r="T14">
            <v>3.7347010661999601E-2</v>
          </cell>
          <cell r="U14">
            <v>0.12934718655628699</v>
          </cell>
          <cell r="V14">
            <v>2.6863486436529802E-6</v>
          </cell>
          <cell r="W14">
            <v>0</v>
          </cell>
          <cell r="X14">
            <v>0</v>
          </cell>
          <cell r="Y14">
            <v>0</v>
          </cell>
          <cell r="Z14">
            <v>0</v>
          </cell>
          <cell r="AA14">
            <v>0</v>
          </cell>
          <cell r="AB14">
            <v>0</v>
          </cell>
          <cell r="AC14">
            <v>0</v>
          </cell>
          <cell r="AD14">
            <v>0</v>
          </cell>
          <cell r="AE14">
            <v>0</v>
          </cell>
          <cell r="AF14">
            <v>0</v>
          </cell>
          <cell r="AG14">
            <v>0</v>
          </cell>
          <cell r="AH14">
            <v>5.1549189037534499E-2</v>
          </cell>
          <cell r="AI14">
            <v>201.33644370453101</v>
          </cell>
          <cell r="AJ14">
            <v>0.3</v>
          </cell>
          <cell r="AK14">
            <v>15.5625</v>
          </cell>
          <cell r="AL14">
            <v>25</v>
          </cell>
          <cell r="AM14">
            <v>194.43125000000001</v>
          </cell>
          <cell r="AN14">
            <v>0</v>
          </cell>
          <cell r="AO14">
            <v>0</v>
          </cell>
          <cell r="AP14">
            <v>17.55</v>
          </cell>
          <cell r="AQ14">
            <v>0.1</v>
          </cell>
          <cell r="AR14">
            <v>0</v>
          </cell>
          <cell r="AS14">
            <v>0</v>
          </cell>
          <cell r="AT14">
            <v>25</v>
          </cell>
          <cell r="AU14">
            <v>0</v>
          </cell>
          <cell r="AV14">
            <v>0</v>
          </cell>
          <cell r="AW14">
            <v>0</v>
          </cell>
          <cell r="AX14">
            <v>0</v>
          </cell>
          <cell r="AY14">
            <v>0</v>
          </cell>
          <cell r="AZ14">
            <v>0.3</v>
          </cell>
          <cell r="BA14">
            <v>15.5625</v>
          </cell>
          <cell r="BB14">
            <v>25</v>
          </cell>
          <cell r="BC14">
            <v>194.43125000000001</v>
          </cell>
          <cell r="BD14">
            <v>0.29775000000000001</v>
          </cell>
          <cell r="BE14">
            <v>0</v>
          </cell>
          <cell r="BF14">
            <v>2.2499999999999998E-3</v>
          </cell>
          <cell r="BG14">
            <v>0.1</v>
          </cell>
          <cell r="BH14">
            <v>40.994999999999997</v>
          </cell>
          <cell r="BI14">
            <v>36.607500000000002</v>
          </cell>
        </row>
        <row r="15">
          <cell r="A15" t="str">
            <v>Eigene Bodenplatte (E2.C)</v>
          </cell>
          <cell r="B15" t="str">
            <v>m²</v>
          </cell>
        </row>
        <row r="16">
          <cell r="A16" t="str">
            <v>Bitte auswählen</v>
          </cell>
        </row>
        <row r="17">
          <cell r="A17" t="str">
            <v>Keine Abdichtung</v>
          </cell>
          <cell r="B17" t="str">
            <v>m²</v>
          </cell>
          <cell r="F17">
            <v>0</v>
          </cell>
          <cell r="G17" t="str">
            <v>k.A.</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row>
        <row r="18">
          <cell r="A18" t="str">
            <v>Polymerbitumen-Dichtungsbahn (E2.C)</v>
          </cell>
          <cell r="B18" t="str">
            <v>m²</v>
          </cell>
          <cell r="C18">
            <v>4</v>
          </cell>
          <cell r="D18" t="str">
            <v>E2-C-Abd-WDu</v>
          </cell>
          <cell r="E18">
            <v>1</v>
          </cell>
          <cell r="F18">
            <v>-16.850163706895898</v>
          </cell>
          <cell r="G18">
            <v>50</v>
          </cell>
          <cell r="H18">
            <v>0</v>
          </cell>
          <cell r="I18">
            <v>0</v>
          </cell>
          <cell r="J18">
            <v>0</v>
          </cell>
          <cell r="K18">
            <v>0</v>
          </cell>
          <cell r="L18">
            <v>8.6020000000000003</v>
          </cell>
          <cell r="M18">
            <v>8.6020000000000003</v>
          </cell>
          <cell r="N18">
            <v>7.0464905986930901</v>
          </cell>
          <cell r="O18">
            <v>-1.4097215659999799E-2</v>
          </cell>
          <cell r="P18">
            <v>7.0605878143530898</v>
          </cell>
          <cell r="Q18">
            <v>4.7863372205231201E-2</v>
          </cell>
          <cell r="R18">
            <v>357.80914697873402</v>
          </cell>
          <cell r="S18">
            <v>6.0141406001600002</v>
          </cell>
          <cell r="T18">
            <v>9.78971624939424E-3</v>
          </cell>
          <cell r="U18">
            <v>1.5562740834254501E-2</v>
          </cell>
          <cell r="V18">
            <v>2.7044531945443101E-6</v>
          </cell>
          <cell r="W18">
            <v>0</v>
          </cell>
          <cell r="X18">
            <v>0</v>
          </cell>
          <cell r="Y18">
            <v>0</v>
          </cell>
          <cell r="Z18">
            <v>0</v>
          </cell>
          <cell r="AA18">
            <v>0</v>
          </cell>
          <cell r="AB18">
            <v>0</v>
          </cell>
          <cell r="AC18">
            <v>0</v>
          </cell>
          <cell r="AD18">
            <v>0</v>
          </cell>
          <cell r="AE18">
            <v>0</v>
          </cell>
          <cell r="AF18">
            <v>0</v>
          </cell>
          <cell r="AG18">
            <v>0</v>
          </cell>
          <cell r="AH18">
            <v>1.19658430513078E-2</v>
          </cell>
          <cell r="AI18">
            <v>89.452286744683505</v>
          </cell>
          <cell r="AJ18">
            <v>7.8200000000000006E-3</v>
          </cell>
          <cell r="AK18">
            <v>2.3460000000000001</v>
          </cell>
          <cell r="AL18">
            <v>12.5</v>
          </cell>
          <cell r="AM18">
            <v>29.324999999999999</v>
          </cell>
          <cell r="AN18">
            <v>0</v>
          </cell>
          <cell r="AO18">
            <v>0</v>
          </cell>
          <cell r="AP18">
            <v>0</v>
          </cell>
          <cell r="AQ18">
            <v>0</v>
          </cell>
          <cell r="AR18">
            <v>0</v>
          </cell>
          <cell r="AS18">
            <v>0</v>
          </cell>
          <cell r="AT18">
            <v>12.5</v>
          </cell>
          <cell r="AU18">
            <v>0</v>
          </cell>
          <cell r="AV18">
            <v>0</v>
          </cell>
          <cell r="AW18">
            <v>0</v>
          </cell>
          <cell r="AX18">
            <v>0</v>
          </cell>
          <cell r="AY18">
            <v>0</v>
          </cell>
          <cell r="AZ18">
            <v>7.8200000000000006E-3</v>
          </cell>
          <cell r="BA18">
            <v>2.3460000000000001</v>
          </cell>
          <cell r="BB18">
            <v>12.5</v>
          </cell>
          <cell r="BC18">
            <v>29.225000000000001</v>
          </cell>
          <cell r="BD18">
            <v>0</v>
          </cell>
          <cell r="BE18">
            <v>7.8200000000000006E-3</v>
          </cell>
          <cell r="BF18">
            <v>0</v>
          </cell>
          <cell r="BG18">
            <v>0.1</v>
          </cell>
          <cell r="BH18">
            <v>2.5806</v>
          </cell>
          <cell r="BI18">
            <v>0.43009999999999998</v>
          </cell>
        </row>
        <row r="19">
          <cell r="A19" t="str">
            <v>Eigene Abdichtung (E2.C)</v>
          </cell>
          <cell r="B19" t="str">
            <v>m²</v>
          </cell>
        </row>
        <row r="20">
          <cell r="A20" t="str">
            <v>Bitte auswählen</v>
          </cell>
        </row>
        <row r="21">
          <cell r="A21" t="str">
            <v>Perlite auf Bodenplatte</v>
          </cell>
          <cell r="B21" t="str">
            <v>m³</v>
          </cell>
          <cell r="C21">
            <v>5</v>
          </cell>
          <cell r="D21" t="str">
            <v>E2-C-WD-oPerl</v>
          </cell>
          <cell r="E21">
            <v>1</v>
          </cell>
          <cell r="F21">
            <v>3.4869589358725501</v>
          </cell>
          <cell r="G21">
            <v>50</v>
          </cell>
          <cell r="H21">
            <v>0</v>
          </cell>
          <cell r="I21">
            <v>0</v>
          </cell>
          <cell r="J21">
            <v>0</v>
          </cell>
          <cell r="K21">
            <v>0</v>
          </cell>
          <cell r="L21">
            <v>85</v>
          </cell>
          <cell r="M21">
            <v>85</v>
          </cell>
          <cell r="N21">
            <v>25.1093850320343</v>
          </cell>
          <cell r="O21">
            <v>-1.6239833441708501E-3</v>
          </cell>
          <cell r="P21">
            <v>25.111009015378499</v>
          </cell>
          <cell r="Q21">
            <v>0.130118113809399</v>
          </cell>
          <cell r="R21">
            <v>548.589387678408</v>
          </cell>
          <cell r="S21">
            <v>6.5799737669239899</v>
          </cell>
          <cell r="T21">
            <v>1.7148279817577501E-2</v>
          </cell>
          <cell r="U21">
            <v>1.37565332693644E-2</v>
          </cell>
          <cell r="V21">
            <v>9.6732043716348807E-6</v>
          </cell>
          <cell r="W21">
            <v>25.111009015378499</v>
          </cell>
          <cell r="X21">
            <v>0.130118113809399</v>
          </cell>
          <cell r="Y21">
            <v>548.589387678408</v>
          </cell>
          <cell r="Z21">
            <v>6.5799737669239899</v>
          </cell>
          <cell r="AA21">
            <v>1.7148279817577501E-2</v>
          </cell>
          <cell r="AB21">
            <v>1.37565332693644E-2</v>
          </cell>
          <cell r="AC21">
            <v>9.6732043716348807E-6</v>
          </cell>
          <cell r="AD21">
            <v>0</v>
          </cell>
          <cell r="AE21">
            <v>0</v>
          </cell>
          <cell r="AF21">
            <v>0</v>
          </cell>
          <cell r="AG21">
            <v>0</v>
          </cell>
          <cell r="AH21">
            <v>3.2529528452349799E-2</v>
          </cell>
          <cell r="AI21">
            <v>137.147346919602</v>
          </cell>
          <cell r="AJ21">
            <v>1</v>
          </cell>
          <cell r="AK21">
            <v>300</v>
          </cell>
          <cell r="AL21">
            <v>12.5</v>
          </cell>
          <cell r="AM21">
            <v>3750</v>
          </cell>
          <cell r="AN21">
            <v>0</v>
          </cell>
          <cell r="AO21">
            <v>0</v>
          </cell>
          <cell r="AP21">
            <v>0</v>
          </cell>
          <cell r="AQ21">
            <v>0</v>
          </cell>
          <cell r="AR21">
            <v>1</v>
          </cell>
          <cell r="AS21">
            <v>300</v>
          </cell>
          <cell r="AT21">
            <v>12.5</v>
          </cell>
          <cell r="AU21">
            <v>3749.9</v>
          </cell>
          <cell r="AV21">
            <v>1</v>
          </cell>
          <cell r="AW21">
            <v>0</v>
          </cell>
          <cell r="AX21">
            <v>0</v>
          </cell>
          <cell r="AY21">
            <v>0.1</v>
          </cell>
          <cell r="AZ21">
            <v>2</v>
          </cell>
          <cell r="BA21">
            <v>600</v>
          </cell>
          <cell r="BB21">
            <v>12.5</v>
          </cell>
          <cell r="BC21">
            <v>7499.9</v>
          </cell>
          <cell r="BD21">
            <v>2</v>
          </cell>
          <cell r="BE21">
            <v>0</v>
          </cell>
          <cell r="BF21">
            <v>0</v>
          </cell>
          <cell r="BG21">
            <v>0.1</v>
          </cell>
          <cell r="BH21">
            <v>25.5</v>
          </cell>
          <cell r="BI21">
            <v>4.25</v>
          </cell>
        </row>
        <row r="22">
          <cell r="A22" t="str">
            <v>Polystyrol EPS-W25 auf Bodenplatte</v>
          </cell>
          <cell r="B22" t="str">
            <v>m³</v>
          </cell>
          <cell r="C22">
            <v>6</v>
          </cell>
          <cell r="D22" t="str">
            <v>E2-C-Wd-oEPS</v>
          </cell>
          <cell r="E22">
            <v>1</v>
          </cell>
          <cell r="F22">
            <v>113.119460491589</v>
          </cell>
          <cell r="G22">
            <v>50</v>
          </cell>
          <cell r="H22">
            <v>0</v>
          </cell>
          <cell r="I22">
            <v>25</v>
          </cell>
          <cell r="J22">
            <v>0</v>
          </cell>
          <cell r="K22">
            <v>0</v>
          </cell>
          <cell r="L22">
            <v>0</v>
          </cell>
          <cell r="M22">
            <v>25</v>
          </cell>
          <cell r="N22">
            <v>104.23037796038</v>
          </cell>
          <cell r="O22">
            <v>0</v>
          </cell>
          <cell r="P22">
            <v>104.23037796038</v>
          </cell>
          <cell r="Q22">
            <v>0.372510979280193</v>
          </cell>
          <cell r="R22">
            <v>2472.3880078249999</v>
          </cell>
          <cell r="S22">
            <v>25.208634249999999</v>
          </cell>
          <cell r="T22">
            <v>0.228443190543243</v>
          </cell>
          <cell r="U22">
            <v>6.5179164565735498E-2</v>
          </cell>
          <cell r="V22">
            <v>2.7763453239341301E-6</v>
          </cell>
          <cell r="W22">
            <v>104.23037796038</v>
          </cell>
          <cell r="X22">
            <v>0.372510979280193</v>
          </cell>
          <cell r="Y22">
            <v>2472.3880078249999</v>
          </cell>
          <cell r="Z22">
            <v>25.208634249999999</v>
          </cell>
          <cell r="AA22">
            <v>0.228443190543243</v>
          </cell>
          <cell r="AB22">
            <v>6.5179164565735498E-2</v>
          </cell>
          <cell r="AC22">
            <v>2.7763453239341301E-6</v>
          </cell>
          <cell r="AD22">
            <v>0</v>
          </cell>
          <cell r="AE22">
            <v>0</v>
          </cell>
          <cell r="AF22">
            <v>0</v>
          </cell>
          <cell r="AG22">
            <v>0</v>
          </cell>
          <cell r="AH22">
            <v>9.3127744820048097E-2</v>
          </cell>
          <cell r="AI22">
            <v>618.09700195624998</v>
          </cell>
          <cell r="AJ22">
            <v>1</v>
          </cell>
          <cell r="AK22">
            <v>300</v>
          </cell>
          <cell r="AL22">
            <v>12.5</v>
          </cell>
          <cell r="AM22">
            <v>3749.9</v>
          </cell>
          <cell r="AN22">
            <v>0</v>
          </cell>
          <cell r="AO22">
            <v>25</v>
          </cell>
          <cell r="AP22">
            <v>0</v>
          </cell>
          <cell r="AQ22">
            <v>0.1</v>
          </cell>
          <cell r="AR22">
            <v>1</v>
          </cell>
          <cell r="AS22">
            <v>300</v>
          </cell>
          <cell r="AT22">
            <v>12.5</v>
          </cell>
          <cell r="AU22">
            <v>3749.9</v>
          </cell>
          <cell r="AV22">
            <v>0</v>
          </cell>
          <cell r="AW22">
            <v>1</v>
          </cell>
          <cell r="AX22">
            <v>0</v>
          </cell>
          <cell r="AY22">
            <v>0.1</v>
          </cell>
          <cell r="AZ22">
            <v>2</v>
          </cell>
          <cell r="BA22">
            <v>600</v>
          </cell>
          <cell r="BB22">
            <v>12.5</v>
          </cell>
          <cell r="BC22">
            <v>7499.9</v>
          </cell>
          <cell r="BD22">
            <v>0</v>
          </cell>
          <cell r="BE22">
            <v>2</v>
          </cell>
          <cell r="BF22">
            <v>0</v>
          </cell>
          <cell r="BG22">
            <v>0.1</v>
          </cell>
          <cell r="BH22">
            <v>7.5</v>
          </cell>
          <cell r="BI22">
            <v>1.25</v>
          </cell>
        </row>
        <row r="23">
          <cell r="A23" t="str">
            <v>Polystyrol XPS auf Bodenplatte</v>
          </cell>
          <cell r="B23" t="str">
            <v>m³</v>
          </cell>
          <cell r="C23">
            <v>7</v>
          </cell>
          <cell r="D23" t="str">
            <v>E2-C-Wd-oXPS</v>
          </cell>
          <cell r="E23">
            <v>1</v>
          </cell>
          <cell r="F23">
            <v>187.54055798181</v>
          </cell>
          <cell r="G23">
            <v>50</v>
          </cell>
          <cell r="H23">
            <v>0</v>
          </cell>
          <cell r="I23">
            <v>38</v>
          </cell>
          <cell r="J23">
            <v>0</v>
          </cell>
          <cell r="K23">
            <v>0</v>
          </cell>
          <cell r="L23">
            <v>0</v>
          </cell>
          <cell r="M23">
            <v>38</v>
          </cell>
          <cell r="N23">
            <v>159.77493699840201</v>
          </cell>
          <cell r="O23">
            <v>0</v>
          </cell>
          <cell r="P23">
            <v>159.77493699840201</v>
          </cell>
          <cell r="Q23">
            <v>0.59047256343615095</v>
          </cell>
          <cell r="R23">
            <v>3555.4518007176698</v>
          </cell>
          <cell r="S23">
            <v>34.983430232412999</v>
          </cell>
          <cell r="T23">
            <v>0.31020260410808997</v>
          </cell>
          <cell r="U23">
            <v>9.7351177347503606E-2</v>
          </cell>
          <cell r="V23">
            <v>2.26647590704734E-6</v>
          </cell>
          <cell r="W23">
            <v>159.77493699840201</v>
          </cell>
          <cell r="X23">
            <v>0.59047256343615095</v>
          </cell>
          <cell r="Y23">
            <v>3555.4518007176698</v>
          </cell>
          <cell r="Z23">
            <v>34.983430232412999</v>
          </cell>
          <cell r="AA23">
            <v>0.31020260410808997</v>
          </cell>
          <cell r="AB23">
            <v>9.7351177347503606E-2</v>
          </cell>
          <cell r="AC23">
            <v>2.26647590704734E-6</v>
          </cell>
          <cell r="AD23">
            <v>0</v>
          </cell>
          <cell r="AE23">
            <v>0</v>
          </cell>
          <cell r="AF23">
            <v>0</v>
          </cell>
          <cell r="AG23">
            <v>0</v>
          </cell>
          <cell r="AH23">
            <v>0.14761814085903799</v>
          </cell>
          <cell r="AI23">
            <v>888.86295017941802</v>
          </cell>
          <cell r="AJ23">
            <v>1</v>
          </cell>
          <cell r="AK23">
            <v>300</v>
          </cell>
          <cell r="AL23">
            <v>12.5</v>
          </cell>
          <cell r="AM23">
            <v>3749.9</v>
          </cell>
          <cell r="AN23">
            <v>0</v>
          </cell>
          <cell r="AO23">
            <v>38</v>
          </cell>
          <cell r="AP23">
            <v>0</v>
          </cell>
          <cell r="AQ23">
            <v>0.1</v>
          </cell>
          <cell r="AR23">
            <v>1</v>
          </cell>
          <cell r="AS23">
            <v>300</v>
          </cell>
          <cell r="AT23">
            <v>12.5</v>
          </cell>
          <cell r="AU23">
            <v>3749.9</v>
          </cell>
          <cell r="AV23">
            <v>0</v>
          </cell>
          <cell r="AW23">
            <v>1</v>
          </cell>
          <cell r="AX23">
            <v>0</v>
          </cell>
          <cell r="AY23">
            <v>0.1</v>
          </cell>
          <cell r="AZ23">
            <v>2</v>
          </cell>
          <cell r="BA23">
            <v>600</v>
          </cell>
          <cell r="BB23">
            <v>12.5</v>
          </cell>
          <cell r="BC23">
            <v>7499.9</v>
          </cell>
          <cell r="BD23">
            <v>0</v>
          </cell>
          <cell r="BE23">
            <v>2</v>
          </cell>
          <cell r="BF23">
            <v>0</v>
          </cell>
          <cell r="BG23">
            <v>0.1</v>
          </cell>
          <cell r="BH23">
            <v>11.4</v>
          </cell>
          <cell r="BI23">
            <v>1.9</v>
          </cell>
        </row>
        <row r="24">
          <cell r="A24" t="str">
            <v>Polystyrol XPS unter Bodenplatte</v>
          </cell>
          <cell r="B24" t="str">
            <v>m³</v>
          </cell>
          <cell r="C24">
            <v>8</v>
          </cell>
          <cell r="D24" t="str">
            <v>E2-C-Wd-uXPS</v>
          </cell>
          <cell r="E24">
            <v>1</v>
          </cell>
          <cell r="F24">
            <v>187.54055798181</v>
          </cell>
          <cell r="G24">
            <v>100</v>
          </cell>
          <cell r="H24">
            <v>0</v>
          </cell>
          <cell r="I24">
            <v>38</v>
          </cell>
          <cell r="J24">
            <v>0</v>
          </cell>
          <cell r="K24">
            <v>0</v>
          </cell>
          <cell r="L24">
            <v>0</v>
          </cell>
          <cell r="M24">
            <v>38</v>
          </cell>
          <cell r="N24">
            <v>159.77493699840201</v>
          </cell>
          <cell r="O24">
            <v>0</v>
          </cell>
          <cell r="P24">
            <v>159.77493699840201</v>
          </cell>
          <cell r="Q24">
            <v>0.59047256343615095</v>
          </cell>
          <cell r="R24">
            <v>3555.4518007176698</v>
          </cell>
          <cell r="S24">
            <v>34.983430232412999</v>
          </cell>
          <cell r="T24">
            <v>0.31020260410808997</v>
          </cell>
          <cell r="U24">
            <v>9.7351177347503606E-2</v>
          </cell>
          <cell r="V24">
            <v>2.26647590704734E-6</v>
          </cell>
          <cell r="W24">
            <v>159.77493699840201</v>
          </cell>
          <cell r="X24">
            <v>0.59047256343615095</v>
          </cell>
          <cell r="Y24">
            <v>3555.4518007176698</v>
          </cell>
          <cell r="Z24">
            <v>34.983430232412999</v>
          </cell>
          <cell r="AA24">
            <v>0.31020260410808997</v>
          </cell>
          <cell r="AB24">
            <v>9.7351177347503606E-2</v>
          </cell>
          <cell r="AC24">
            <v>2.26647590704734E-6</v>
          </cell>
          <cell r="AD24">
            <v>0</v>
          </cell>
          <cell r="AE24">
            <v>0</v>
          </cell>
          <cell r="AF24">
            <v>0</v>
          </cell>
          <cell r="AG24">
            <v>0</v>
          </cell>
          <cell r="AH24">
            <v>0.14761814085903799</v>
          </cell>
          <cell r="AI24">
            <v>888.86295017941802</v>
          </cell>
          <cell r="AJ24">
            <v>1</v>
          </cell>
          <cell r="AK24">
            <v>300</v>
          </cell>
          <cell r="AL24">
            <v>12.5</v>
          </cell>
          <cell r="AM24">
            <v>3749.9</v>
          </cell>
          <cell r="AN24">
            <v>0</v>
          </cell>
          <cell r="AO24">
            <v>38</v>
          </cell>
          <cell r="AP24">
            <v>0</v>
          </cell>
          <cell r="AQ24">
            <v>0.1</v>
          </cell>
          <cell r="AR24">
            <v>1</v>
          </cell>
          <cell r="AS24">
            <v>300</v>
          </cell>
          <cell r="AT24">
            <v>12.5</v>
          </cell>
          <cell r="AU24">
            <v>3749.9</v>
          </cell>
          <cell r="AV24">
            <v>0</v>
          </cell>
          <cell r="AW24">
            <v>1</v>
          </cell>
          <cell r="AX24">
            <v>0</v>
          </cell>
          <cell r="AY24">
            <v>0.1</v>
          </cell>
          <cell r="AZ24">
            <v>2</v>
          </cell>
          <cell r="BA24">
            <v>600</v>
          </cell>
          <cell r="BB24">
            <v>12.5</v>
          </cell>
          <cell r="BC24">
            <v>7499.9</v>
          </cell>
          <cell r="BD24">
            <v>0</v>
          </cell>
          <cell r="BE24">
            <v>2</v>
          </cell>
          <cell r="BF24">
            <v>0</v>
          </cell>
          <cell r="BG24">
            <v>0.1</v>
          </cell>
          <cell r="BH24">
            <v>11.4</v>
          </cell>
          <cell r="BI24">
            <v>1.9</v>
          </cell>
        </row>
        <row r="25">
          <cell r="A25" t="str">
            <v>Schaumglas unter Bodenplatte</v>
          </cell>
          <cell r="B25" t="str">
            <v>m³</v>
          </cell>
          <cell r="C25">
            <v>9</v>
          </cell>
          <cell r="D25" t="str">
            <v>E2-C-Wd-uCG</v>
          </cell>
          <cell r="E25">
            <v>1</v>
          </cell>
          <cell r="F25">
            <v>319.67047545583699</v>
          </cell>
          <cell r="G25">
            <v>100</v>
          </cell>
          <cell r="H25">
            <v>0</v>
          </cell>
          <cell r="I25">
            <v>0</v>
          </cell>
          <cell r="J25">
            <v>0</v>
          </cell>
          <cell r="K25">
            <v>0</v>
          </cell>
          <cell r="L25">
            <v>120</v>
          </cell>
          <cell r="M25">
            <v>120</v>
          </cell>
          <cell r="N25">
            <v>291.98707537894097</v>
          </cell>
          <cell r="O25">
            <v>0</v>
          </cell>
          <cell r="P25">
            <v>291.98707537894097</v>
          </cell>
          <cell r="Q25">
            <v>1.07536290866923</v>
          </cell>
          <cell r="R25">
            <v>4918.7272521034902</v>
          </cell>
          <cell r="S25">
            <v>336.77143838030798</v>
          </cell>
          <cell r="T25">
            <v>7.7078078528748803E-2</v>
          </cell>
          <cell r="U25">
            <v>0.57530551992580004</v>
          </cell>
          <cell r="V25">
            <v>2.2870277019952299E-5</v>
          </cell>
          <cell r="W25">
            <v>291.98707537894097</v>
          </cell>
          <cell r="X25">
            <v>1.07536290866923</v>
          </cell>
          <cell r="Y25">
            <v>4918.7272521034902</v>
          </cell>
          <cell r="Z25">
            <v>336.77143838030798</v>
          </cell>
          <cell r="AA25">
            <v>7.7078078528748803E-2</v>
          </cell>
          <cell r="AB25">
            <v>0.57530551992580004</v>
          </cell>
          <cell r="AC25">
            <v>2.2870277019952299E-5</v>
          </cell>
          <cell r="AD25">
            <v>0</v>
          </cell>
          <cell r="AE25">
            <v>0</v>
          </cell>
          <cell r="AF25">
            <v>0</v>
          </cell>
          <cell r="AG25">
            <v>0</v>
          </cell>
          <cell r="AH25">
            <v>0.268840727167307</v>
          </cell>
          <cell r="AI25">
            <v>1229.68181302587</v>
          </cell>
          <cell r="AJ25">
            <v>1</v>
          </cell>
          <cell r="AK25">
            <v>300</v>
          </cell>
          <cell r="AL25">
            <v>12.5</v>
          </cell>
          <cell r="AM25">
            <v>3750</v>
          </cell>
          <cell r="AN25">
            <v>0</v>
          </cell>
          <cell r="AO25">
            <v>0</v>
          </cell>
          <cell r="AP25">
            <v>0</v>
          </cell>
          <cell r="AQ25">
            <v>0</v>
          </cell>
          <cell r="AR25">
            <v>1</v>
          </cell>
          <cell r="AS25">
            <v>300</v>
          </cell>
          <cell r="AT25">
            <v>12.5</v>
          </cell>
          <cell r="AU25">
            <v>3749.9</v>
          </cell>
          <cell r="AV25">
            <v>1</v>
          </cell>
          <cell r="AW25">
            <v>0</v>
          </cell>
          <cell r="AX25">
            <v>0</v>
          </cell>
          <cell r="AY25">
            <v>0.1</v>
          </cell>
          <cell r="AZ25">
            <v>2</v>
          </cell>
          <cell r="BA25">
            <v>600</v>
          </cell>
          <cell r="BB25">
            <v>12.5</v>
          </cell>
          <cell r="BC25">
            <v>7499.9</v>
          </cell>
          <cell r="BD25">
            <v>2</v>
          </cell>
          <cell r="BE25">
            <v>0</v>
          </cell>
          <cell r="BF25">
            <v>0</v>
          </cell>
          <cell r="BG25">
            <v>0.1</v>
          </cell>
          <cell r="BH25">
            <v>36</v>
          </cell>
          <cell r="BI25">
            <v>6</v>
          </cell>
        </row>
        <row r="26">
          <cell r="A26" t="str">
            <v>Schaumglasschotter</v>
          </cell>
          <cell r="B26" t="str">
            <v>m³</v>
          </cell>
          <cell r="C26">
            <v>10</v>
          </cell>
          <cell r="D26" t="str">
            <v>E2-C-Wd-SchGlSchotter</v>
          </cell>
          <cell r="E26">
            <v>1</v>
          </cell>
          <cell r="F26">
            <v>86.664631487609597</v>
          </cell>
          <cell r="G26">
            <v>100</v>
          </cell>
          <cell r="H26">
            <v>0</v>
          </cell>
          <cell r="I26">
            <v>0</v>
          </cell>
          <cell r="J26">
            <v>0</v>
          </cell>
          <cell r="K26">
            <v>0</v>
          </cell>
          <cell r="L26">
            <v>210</v>
          </cell>
          <cell r="M26">
            <v>210</v>
          </cell>
          <cell r="N26">
            <v>90.015702079104898</v>
          </cell>
          <cell r="O26">
            <v>-0.47973076381775598</v>
          </cell>
          <cell r="P26">
            <v>90.495432842922696</v>
          </cell>
          <cell r="Q26">
            <v>0.40459814815690598</v>
          </cell>
          <cell r="R26">
            <v>1621.4678416051399</v>
          </cell>
          <cell r="S26">
            <v>81.039923852133995</v>
          </cell>
          <cell r="T26">
            <v>3.2381030312288103E-2</v>
          </cell>
          <cell r="U26">
            <v>0.18874114630526301</v>
          </cell>
          <cell r="V26">
            <v>9.2264367743130397E-6</v>
          </cell>
          <cell r="W26">
            <v>90.495432842922696</v>
          </cell>
          <cell r="X26">
            <v>0.40459814815690598</v>
          </cell>
          <cell r="Y26">
            <v>1621.4678416051399</v>
          </cell>
          <cell r="Z26">
            <v>81.039923852133995</v>
          </cell>
          <cell r="AA26">
            <v>3.2381030312288103E-2</v>
          </cell>
          <cell r="AB26">
            <v>0.18874114630526301</v>
          </cell>
          <cell r="AC26">
            <v>9.2264367743130397E-6</v>
          </cell>
          <cell r="AD26">
            <v>0</v>
          </cell>
          <cell r="AE26">
            <v>0</v>
          </cell>
          <cell r="AF26">
            <v>0</v>
          </cell>
          <cell r="AG26">
            <v>0</v>
          </cell>
          <cell r="AH26">
            <v>0.10114953703922699</v>
          </cell>
          <cell r="AI26">
            <v>405.36696040128402</v>
          </cell>
          <cell r="AJ26">
            <v>1</v>
          </cell>
          <cell r="AK26">
            <v>300</v>
          </cell>
          <cell r="AL26">
            <v>12.5</v>
          </cell>
          <cell r="AM26">
            <v>3750</v>
          </cell>
          <cell r="AN26">
            <v>0</v>
          </cell>
          <cell r="AO26">
            <v>0</v>
          </cell>
          <cell r="AP26">
            <v>0</v>
          </cell>
          <cell r="AQ26">
            <v>0</v>
          </cell>
          <cell r="AR26">
            <v>1</v>
          </cell>
          <cell r="AS26">
            <v>300</v>
          </cell>
          <cell r="AT26">
            <v>12.5</v>
          </cell>
          <cell r="AU26">
            <v>3749.9</v>
          </cell>
          <cell r="AV26">
            <v>1</v>
          </cell>
          <cell r="AW26">
            <v>0</v>
          </cell>
          <cell r="AX26">
            <v>0</v>
          </cell>
          <cell r="AY26">
            <v>0.1</v>
          </cell>
          <cell r="AZ26">
            <v>2</v>
          </cell>
          <cell r="BA26">
            <v>600</v>
          </cell>
          <cell r="BB26">
            <v>12.5</v>
          </cell>
          <cell r="BC26">
            <v>7499.9</v>
          </cell>
          <cell r="BD26">
            <v>2</v>
          </cell>
          <cell r="BE26">
            <v>0</v>
          </cell>
          <cell r="BF26">
            <v>0</v>
          </cell>
          <cell r="BG26">
            <v>0.1</v>
          </cell>
          <cell r="BH26">
            <v>63</v>
          </cell>
          <cell r="BI26">
            <v>10.5</v>
          </cell>
        </row>
        <row r="27">
          <cell r="A27" t="str">
            <v>Schaumglasplatte in Bitumen</v>
          </cell>
          <cell r="B27" t="str">
            <v>m³</v>
          </cell>
          <cell r="C27">
            <v>11</v>
          </cell>
          <cell r="D27" t="str">
            <v>E2-C-Wd-uCGbit</v>
          </cell>
          <cell r="E27">
            <v>1</v>
          </cell>
          <cell r="F27">
            <v>361.28118417856098</v>
          </cell>
          <cell r="G27">
            <v>100</v>
          </cell>
          <cell r="H27">
            <v>0</v>
          </cell>
          <cell r="I27">
            <v>0</v>
          </cell>
          <cell r="J27">
            <v>0</v>
          </cell>
          <cell r="K27">
            <v>0</v>
          </cell>
          <cell r="L27">
            <v>137.19999999999999</v>
          </cell>
          <cell r="M27">
            <v>137.19999999999999</v>
          </cell>
          <cell r="N27">
            <v>299.32838495782403</v>
          </cell>
          <cell r="O27">
            <v>-1.5191039999995701E-3</v>
          </cell>
          <cell r="P27">
            <v>299.32990406182398</v>
          </cell>
          <cell r="Q27">
            <v>1.1678026784053499</v>
          </cell>
          <cell r="R27">
            <v>5760.5828869462903</v>
          </cell>
          <cell r="S27">
            <v>338.66682024430798</v>
          </cell>
          <cell r="T27">
            <v>9.0567464200183898E-2</v>
          </cell>
          <cell r="U27">
            <v>0.58908895050661703</v>
          </cell>
          <cell r="V27">
            <v>3.0453508097133599E-5</v>
          </cell>
          <cell r="W27">
            <v>0</v>
          </cell>
          <cell r="X27">
            <v>0</v>
          </cell>
          <cell r="Y27">
            <v>0</v>
          </cell>
          <cell r="Z27">
            <v>0</v>
          </cell>
          <cell r="AA27">
            <v>0</v>
          </cell>
          <cell r="AB27">
            <v>0</v>
          </cell>
          <cell r="AC27">
            <v>0</v>
          </cell>
          <cell r="AD27">
            <v>0</v>
          </cell>
          <cell r="AE27">
            <v>0</v>
          </cell>
          <cell r="AF27">
            <v>0</v>
          </cell>
          <cell r="AG27">
            <v>0</v>
          </cell>
          <cell r="AH27">
            <v>0.29195066960133798</v>
          </cell>
          <cell r="AI27">
            <v>1440.1457217365701</v>
          </cell>
          <cell r="AJ27">
            <v>1.0163809523809499</v>
          </cell>
          <cell r="AK27">
            <v>304.914285714286</v>
          </cell>
          <cell r="AL27">
            <v>25</v>
          </cell>
          <cell r="AM27">
            <v>3811.4285714285702</v>
          </cell>
          <cell r="AN27">
            <v>0</v>
          </cell>
          <cell r="AO27">
            <v>0</v>
          </cell>
          <cell r="AP27">
            <v>0</v>
          </cell>
          <cell r="AQ27">
            <v>0</v>
          </cell>
          <cell r="AR27">
            <v>0</v>
          </cell>
          <cell r="AS27">
            <v>0</v>
          </cell>
          <cell r="AT27">
            <v>25</v>
          </cell>
          <cell r="AU27">
            <v>0</v>
          </cell>
          <cell r="AV27">
            <v>0</v>
          </cell>
          <cell r="AW27">
            <v>0</v>
          </cell>
          <cell r="AX27">
            <v>0</v>
          </cell>
          <cell r="AY27">
            <v>0</v>
          </cell>
          <cell r="AZ27">
            <v>1.0163809523809499</v>
          </cell>
          <cell r="BA27">
            <v>304.914285714286</v>
          </cell>
          <cell r="BB27">
            <v>25</v>
          </cell>
          <cell r="BC27">
            <v>3811.3285714285698</v>
          </cell>
          <cell r="BD27">
            <v>1</v>
          </cell>
          <cell r="BE27">
            <v>1.6380952380952399E-2</v>
          </cell>
          <cell r="BF27">
            <v>0</v>
          </cell>
          <cell r="BG27">
            <v>0.1</v>
          </cell>
          <cell r="BH27">
            <v>41.16</v>
          </cell>
          <cell r="BI27">
            <v>6.86</v>
          </cell>
        </row>
        <row r="28">
          <cell r="A28" t="str">
            <v>Eigene Dämmung (E2.C)</v>
          </cell>
          <cell r="B28" t="str">
            <v>m³</v>
          </cell>
        </row>
        <row r="29">
          <cell r="A29" t="str">
            <v>Bitte auswählen</v>
          </cell>
        </row>
        <row r="30">
          <cell r="A30" t="str">
            <v>Estrich mit Trittschalldämmung ohne Wärmedämmung</v>
          </cell>
          <cell r="B30" t="str">
            <v>m²</v>
          </cell>
          <cell r="C30">
            <v>12</v>
          </cell>
          <cell r="D30" t="str">
            <v>Es-C-Estr-GW</v>
          </cell>
          <cell r="E30">
            <v>1</v>
          </cell>
          <cell r="F30">
            <v>-7.0850637365976699</v>
          </cell>
          <cell r="G30">
            <v>50</v>
          </cell>
          <cell r="H30">
            <v>0</v>
          </cell>
          <cell r="I30">
            <v>6.35</v>
          </cell>
          <cell r="J30">
            <v>0</v>
          </cell>
          <cell r="K30">
            <v>120</v>
          </cell>
          <cell r="L30">
            <v>2.04</v>
          </cell>
          <cell r="M30">
            <v>128.38999999999999</v>
          </cell>
          <cell r="N30">
            <v>27.753906061379102</v>
          </cell>
          <cell r="O30">
            <v>-5.1280954240919899E-2</v>
          </cell>
          <cell r="P30">
            <v>27.80518701562</v>
          </cell>
          <cell r="Q30">
            <v>9.0004274362539397E-2</v>
          </cell>
          <cell r="R30">
            <v>378.66146014501697</v>
          </cell>
          <cell r="S30">
            <v>35.7560209187439</v>
          </cell>
          <cell r="T30">
            <v>2.16983906791746E-2</v>
          </cell>
          <cell r="U30">
            <v>3.8647192595777403E-2</v>
          </cell>
          <cell r="V30">
            <v>1.1934950282103899E-6</v>
          </cell>
          <cell r="W30">
            <v>27.80518701562</v>
          </cell>
          <cell r="X30">
            <v>9.0004274362539397E-2</v>
          </cell>
          <cell r="Y30">
            <v>378.66146014501697</v>
          </cell>
          <cell r="Z30">
            <v>35.7560209187439</v>
          </cell>
          <cell r="AA30">
            <v>2.16983906791746E-2</v>
          </cell>
          <cell r="AB30">
            <v>3.8647192595777403E-2</v>
          </cell>
          <cell r="AC30">
            <v>1.1934950282103899E-6</v>
          </cell>
          <cell r="AD30">
            <v>0</v>
          </cell>
          <cell r="AE30">
            <v>0</v>
          </cell>
          <cell r="AF30">
            <v>0</v>
          </cell>
          <cell r="AG30">
            <v>0</v>
          </cell>
          <cell r="AH30">
            <v>2.2501068590634801E-2</v>
          </cell>
          <cell r="AI30">
            <v>94.665365036254201</v>
          </cell>
          <cell r="AJ30">
            <v>0.14010204081632699</v>
          </cell>
          <cell r="AK30">
            <v>27.030612244897998</v>
          </cell>
          <cell r="AL30">
            <v>50</v>
          </cell>
          <cell r="AM30">
            <v>337.78265306122398</v>
          </cell>
          <cell r="AN30">
            <v>0</v>
          </cell>
          <cell r="AO30">
            <v>6.35</v>
          </cell>
          <cell r="AP30">
            <v>0</v>
          </cell>
          <cell r="AQ30">
            <v>0.1</v>
          </cell>
          <cell r="AR30">
            <v>0.14010204081632699</v>
          </cell>
          <cell r="AS30">
            <v>27.030612244897998</v>
          </cell>
          <cell r="AT30">
            <v>50</v>
          </cell>
          <cell r="AU30">
            <v>337.882653061224</v>
          </cell>
          <cell r="AV30">
            <v>9.5000000000000001E-2</v>
          </cell>
          <cell r="AW30">
            <v>4.5102040816326502E-2</v>
          </cell>
          <cell r="AX30">
            <v>0</v>
          </cell>
          <cell r="AY30">
            <v>0</v>
          </cell>
          <cell r="AZ30">
            <v>0.28020408163265298</v>
          </cell>
          <cell r="BA30">
            <v>54.061224489795897</v>
          </cell>
          <cell r="BB30">
            <v>50</v>
          </cell>
          <cell r="BC30">
            <v>675.76530612244903</v>
          </cell>
          <cell r="BD30">
            <v>0.19</v>
          </cell>
          <cell r="BE30">
            <v>9.0204081632653102E-2</v>
          </cell>
          <cell r="BF30">
            <v>0</v>
          </cell>
          <cell r="BG30">
            <v>0</v>
          </cell>
          <cell r="BH30">
            <v>8.5169999999999995</v>
          </cell>
          <cell r="BI30">
            <v>6.4195000000000002</v>
          </cell>
        </row>
        <row r="31">
          <cell r="A31" t="str">
            <v>Trockenestrich (Spanplatte + Distanzbodenhalter)</v>
          </cell>
          <cell r="B31" t="str">
            <v>m²</v>
          </cell>
          <cell r="C31">
            <v>13</v>
          </cell>
          <cell r="D31" t="str">
            <v>E2-C-Estr-SpDibo</v>
          </cell>
          <cell r="E31">
            <v>1</v>
          </cell>
          <cell r="F31">
            <v>-15.922987691111899</v>
          </cell>
          <cell r="G31">
            <v>50</v>
          </cell>
          <cell r="H31">
            <v>20.399999999999999</v>
          </cell>
          <cell r="I31">
            <v>0</v>
          </cell>
          <cell r="J31">
            <v>0</v>
          </cell>
          <cell r="K31">
            <v>0</v>
          </cell>
          <cell r="L31">
            <v>2.75</v>
          </cell>
          <cell r="M31">
            <v>23.15</v>
          </cell>
          <cell r="N31">
            <v>-18.185900267011899</v>
          </cell>
          <cell r="O31">
            <v>-35.512156296027101</v>
          </cell>
          <cell r="P31">
            <v>17.326256029015202</v>
          </cell>
          <cell r="Q31">
            <v>8.0909623527922497E-2</v>
          </cell>
          <cell r="R31">
            <v>379.60137649001098</v>
          </cell>
          <cell r="S31">
            <v>445.95830767749999</v>
          </cell>
          <cell r="T31">
            <v>1.6703929489939099E-2</v>
          </cell>
          <cell r="U31">
            <v>3.4844348044568603E-2</v>
          </cell>
          <cell r="V31">
            <v>1.18226577689819E-6</v>
          </cell>
          <cell r="W31">
            <v>17.326256029015202</v>
          </cell>
          <cell r="X31">
            <v>8.0909623527922497E-2</v>
          </cell>
          <cell r="Y31">
            <v>379.60137649001098</v>
          </cell>
          <cell r="Z31">
            <v>445.95830767749999</v>
          </cell>
          <cell r="AA31">
            <v>1.6703929489939099E-2</v>
          </cell>
          <cell r="AB31">
            <v>3.4844348044568603E-2</v>
          </cell>
          <cell r="AC31">
            <v>1.18226577689819E-6</v>
          </cell>
          <cell r="AD31">
            <v>0</v>
          </cell>
          <cell r="AE31">
            <v>0</v>
          </cell>
          <cell r="AF31">
            <v>0</v>
          </cell>
          <cell r="AG31">
            <v>0</v>
          </cell>
          <cell r="AH31">
            <v>2.02274058819806E-2</v>
          </cell>
          <cell r="AI31">
            <v>94.900344122502801</v>
          </cell>
          <cell r="AJ31">
            <v>1.02</v>
          </cell>
          <cell r="AK31">
            <v>306</v>
          </cell>
          <cell r="AL31">
            <v>37.5</v>
          </cell>
          <cell r="AM31">
            <v>3824.9</v>
          </cell>
          <cell r="AN31">
            <v>20.399999999999999</v>
          </cell>
          <cell r="AO31">
            <v>0</v>
          </cell>
          <cell r="AP31">
            <v>0</v>
          </cell>
          <cell r="AQ31">
            <v>0.1</v>
          </cell>
          <cell r="AR31">
            <v>1.02</v>
          </cell>
          <cell r="AS31">
            <v>306</v>
          </cell>
          <cell r="AT31">
            <v>37.5</v>
          </cell>
          <cell r="AU31">
            <v>3825</v>
          </cell>
          <cell r="AV31">
            <v>0.08</v>
          </cell>
          <cell r="AW31">
            <v>0.48499999999999999</v>
          </cell>
          <cell r="AX31">
            <v>0.45500000000000002</v>
          </cell>
          <cell r="AY31">
            <v>0</v>
          </cell>
          <cell r="AZ31">
            <v>2.04</v>
          </cell>
          <cell r="BA31">
            <v>612</v>
          </cell>
          <cell r="BB31">
            <v>37.5</v>
          </cell>
          <cell r="BC31">
            <v>7650</v>
          </cell>
          <cell r="BD31">
            <v>0.16</v>
          </cell>
          <cell r="BE31">
            <v>0.97</v>
          </cell>
          <cell r="BF31">
            <v>0.91</v>
          </cell>
          <cell r="BG31">
            <v>0</v>
          </cell>
          <cell r="BH31">
            <v>6.9450000000000003</v>
          </cell>
          <cell r="BI31">
            <v>1.1575</v>
          </cell>
        </row>
        <row r="32">
          <cell r="A32" t="str">
            <v>Eigener Estrich (E2.C)</v>
          </cell>
          <cell r="B32" t="str">
            <v>m²</v>
          </cell>
        </row>
        <row r="33">
          <cell r="A33" t="str">
            <v>Bitte auswählen</v>
          </cell>
        </row>
        <row r="34">
          <cell r="A34" t="str">
            <v>Stahlbetondecke 20 cm</v>
          </cell>
          <cell r="B34" t="str">
            <v>m²</v>
          </cell>
          <cell r="C34">
            <v>1</v>
          </cell>
          <cell r="D34" t="str">
            <v>E2-D-01-GD-STB</v>
          </cell>
          <cell r="E34">
            <v>1</v>
          </cell>
          <cell r="F34">
            <v>24.6762159926955</v>
          </cell>
          <cell r="G34">
            <v>100</v>
          </cell>
          <cell r="H34">
            <v>0</v>
          </cell>
          <cell r="I34">
            <v>0</v>
          </cell>
          <cell r="J34">
            <v>23.4</v>
          </cell>
          <cell r="K34">
            <v>475.5</v>
          </cell>
          <cell r="L34">
            <v>0</v>
          </cell>
          <cell r="M34">
            <v>498.9</v>
          </cell>
          <cell r="N34">
            <v>73.1949656499268</v>
          </cell>
          <cell r="O34">
            <v>-0.121396623275774</v>
          </cell>
          <cell r="P34">
            <v>73.3163622732026</v>
          </cell>
          <cell r="Q34">
            <v>0.186558564278207</v>
          </cell>
          <cell r="R34">
            <v>718.07739441840295</v>
          </cell>
          <cell r="S34">
            <v>25.179878579445599</v>
          </cell>
          <cell r="T34">
            <v>3.3617604434529803E-2</v>
          </cell>
          <cell r="U34">
            <v>0.115242974280372</v>
          </cell>
          <cell r="V34">
            <v>2.34857898268099E-6</v>
          </cell>
          <cell r="W34">
            <v>0.43804320252159201</v>
          </cell>
          <cell r="X34">
            <v>1.62969763967187E-3</v>
          </cell>
          <cell r="Y34">
            <v>8.2818585760966403</v>
          </cell>
          <cell r="Z34">
            <v>0.57845866782823696</v>
          </cell>
          <cell r="AA34">
            <v>1.4873540662141801E-4</v>
          </cell>
          <cell r="AB34">
            <v>7.3376040980484205E-4</v>
          </cell>
          <cell r="AC34">
            <v>4.5011901461152303E-8</v>
          </cell>
          <cell r="AD34">
            <v>0</v>
          </cell>
          <cell r="AE34">
            <v>0</v>
          </cell>
          <cell r="AF34">
            <v>0</v>
          </cell>
          <cell r="AG34">
            <v>0</v>
          </cell>
          <cell r="AH34">
            <v>4.6639641069551797E-2</v>
          </cell>
          <cell r="AI34">
            <v>179.51934860460099</v>
          </cell>
          <cell r="AJ34">
            <v>0.20300000000000001</v>
          </cell>
          <cell r="AK34">
            <v>11.65</v>
          </cell>
          <cell r="AL34">
            <v>37.5</v>
          </cell>
          <cell r="AM34">
            <v>145.52500000000001</v>
          </cell>
          <cell r="AN34">
            <v>0</v>
          </cell>
          <cell r="AO34">
            <v>0</v>
          </cell>
          <cell r="AP34">
            <v>23.4</v>
          </cell>
          <cell r="AQ34">
            <v>0.1</v>
          </cell>
          <cell r="AR34">
            <v>2.9999999999999701E-3</v>
          </cell>
          <cell r="AS34">
            <v>0.89999999999999902</v>
          </cell>
          <cell r="AT34">
            <v>37.5</v>
          </cell>
          <cell r="AU34">
            <v>11.15</v>
          </cell>
          <cell r="AV34">
            <v>2.9999999999999701E-3</v>
          </cell>
          <cell r="AW34">
            <v>0</v>
          </cell>
          <cell r="AX34">
            <v>0</v>
          </cell>
          <cell r="AY34">
            <v>0.1</v>
          </cell>
          <cell r="AZ34">
            <v>0.20599999999999999</v>
          </cell>
          <cell r="BA34">
            <v>12.55</v>
          </cell>
          <cell r="BB34">
            <v>37.5</v>
          </cell>
          <cell r="BC34">
            <v>156.77500000000001</v>
          </cell>
          <cell r="BD34">
            <v>0.20300000000000001</v>
          </cell>
          <cell r="BE34">
            <v>0</v>
          </cell>
          <cell r="BF34">
            <v>3.0000000000000001E-3</v>
          </cell>
          <cell r="BG34">
            <v>0.1</v>
          </cell>
          <cell r="BH34">
            <v>31.47</v>
          </cell>
          <cell r="BI34">
            <v>24.945</v>
          </cell>
        </row>
        <row r="35">
          <cell r="A35" t="str">
            <v>Holzmassivdecke 16 cm</v>
          </cell>
          <cell r="B35" t="str">
            <v>m²</v>
          </cell>
          <cell r="C35">
            <v>2</v>
          </cell>
          <cell r="D35" t="str">
            <v>E2-D-01-GD-HM</v>
          </cell>
          <cell r="E35">
            <v>1</v>
          </cell>
          <cell r="F35">
            <v>-10.5234919562802</v>
          </cell>
          <cell r="G35">
            <v>100</v>
          </cell>
          <cell r="H35">
            <v>70.400000000000006</v>
          </cell>
          <cell r="I35">
            <v>0</v>
          </cell>
          <cell r="J35">
            <v>0</v>
          </cell>
          <cell r="K35">
            <v>0</v>
          </cell>
          <cell r="L35">
            <v>0</v>
          </cell>
          <cell r="M35">
            <v>70.400000000000006</v>
          </cell>
          <cell r="N35">
            <v>-77.679858042842199</v>
          </cell>
          <cell r="O35">
            <v>-108.350416060971</v>
          </cell>
          <cell r="P35">
            <v>30.670558018129501</v>
          </cell>
          <cell r="Q35">
            <v>0.15931356142852501</v>
          </cell>
          <cell r="R35">
            <v>525.44028581170403</v>
          </cell>
          <cell r="S35">
            <v>1240.9331878729799</v>
          </cell>
          <cell r="T35">
            <v>5.3308817695841199E-2</v>
          </cell>
          <cell r="U35">
            <v>6.4459599889439598E-2</v>
          </cell>
          <cell r="V35">
            <v>2.5777854881708199E-6</v>
          </cell>
          <cell r="W35">
            <v>0</v>
          </cell>
          <cell r="X35">
            <v>0</v>
          </cell>
          <cell r="Y35">
            <v>0</v>
          </cell>
          <cell r="Z35">
            <v>0</v>
          </cell>
          <cell r="AA35">
            <v>0</v>
          </cell>
          <cell r="AB35">
            <v>0</v>
          </cell>
          <cell r="AC35">
            <v>0</v>
          </cell>
          <cell r="AD35">
            <v>0</v>
          </cell>
          <cell r="AE35">
            <v>0</v>
          </cell>
          <cell r="AF35">
            <v>0</v>
          </cell>
          <cell r="AG35">
            <v>0</v>
          </cell>
          <cell r="AH35">
            <v>3.9828390357131198E-2</v>
          </cell>
          <cell r="AI35">
            <v>131.36007145292601</v>
          </cell>
          <cell r="AJ35">
            <v>0.16</v>
          </cell>
          <cell r="AK35">
            <v>32</v>
          </cell>
          <cell r="AL35">
            <v>12.5</v>
          </cell>
          <cell r="AM35">
            <v>399.9</v>
          </cell>
          <cell r="AN35">
            <v>70.400000000000006</v>
          </cell>
          <cell r="AO35">
            <v>0</v>
          </cell>
          <cell r="AP35">
            <v>0</v>
          </cell>
          <cell r="AQ35">
            <v>0.1</v>
          </cell>
          <cell r="AR35">
            <v>0</v>
          </cell>
          <cell r="AS35">
            <v>0</v>
          </cell>
          <cell r="AT35">
            <v>12.5</v>
          </cell>
          <cell r="AU35">
            <v>0</v>
          </cell>
          <cell r="AV35">
            <v>0</v>
          </cell>
          <cell r="AW35">
            <v>0</v>
          </cell>
          <cell r="AX35">
            <v>0</v>
          </cell>
          <cell r="AY35">
            <v>0</v>
          </cell>
          <cell r="AZ35">
            <v>0.16</v>
          </cell>
          <cell r="BA35">
            <v>32</v>
          </cell>
          <cell r="BB35">
            <v>12.5</v>
          </cell>
          <cell r="BC35">
            <v>400</v>
          </cell>
          <cell r="BD35">
            <v>0</v>
          </cell>
          <cell r="BE35">
            <v>0</v>
          </cell>
          <cell r="BF35">
            <v>0</v>
          </cell>
          <cell r="BG35">
            <v>0</v>
          </cell>
          <cell r="BH35">
            <v>14.08</v>
          </cell>
          <cell r="BI35">
            <v>3.52</v>
          </cell>
        </row>
        <row r="36">
          <cell r="A36" t="str">
            <v>Holzträgerdecke mit Glaswolle 8 cm und OSB-Platten</v>
          </cell>
          <cell r="B36" t="str">
            <v>m²</v>
          </cell>
          <cell r="C36">
            <v>3</v>
          </cell>
          <cell r="D36" t="str">
            <v>E2-D-01-GD-HO_OSB-Gw</v>
          </cell>
          <cell r="E36">
            <v>1</v>
          </cell>
          <cell r="F36">
            <v>-14.2077473795351</v>
          </cell>
          <cell r="G36">
            <v>100</v>
          </cell>
          <cell r="H36">
            <v>43.317999999999998</v>
          </cell>
          <cell r="I36">
            <v>0</v>
          </cell>
          <cell r="J36">
            <v>0</v>
          </cell>
          <cell r="K36">
            <v>0</v>
          </cell>
          <cell r="L36">
            <v>1.5640000000000001</v>
          </cell>
          <cell r="M36">
            <v>44.881999999999998</v>
          </cell>
          <cell r="N36">
            <v>-47.288139255409199</v>
          </cell>
          <cell r="O36">
            <v>-69.217875033174906</v>
          </cell>
          <cell r="P36">
            <v>21.9297357777657</v>
          </cell>
          <cell r="Q36">
            <v>0.118630498137363</v>
          </cell>
          <cell r="R36">
            <v>425.68628234154301</v>
          </cell>
          <cell r="S36">
            <v>1027.3146453178399</v>
          </cell>
          <cell r="T36">
            <v>2.58626594916193E-2</v>
          </cell>
          <cell r="U36">
            <v>4.9520552784847099E-2</v>
          </cell>
          <cell r="V36">
            <v>1.8328625567233801E-6</v>
          </cell>
          <cell r="W36">
            <v>15.746885513099601</v>
          </cell>
          <cell r="X36">
            <v>8.3626370233006106E-2</v>
          </cell>
          <cell r="Y36">
            <v>315.922559524392</v>
          </cell>
          <cell r="Z36">
            <v>658.51459118646596</v>
          </cell>
          <cell r="AA36">
            <v>1.54897945181808E-2</v>
          </cell>
          <cell r="AB36">
            <v>3.36462859125293E-2</v>
          </cell>
          <cell r="AC36">
            <v>1.2973982783959E-6</v>
          </cell>
          <cell r="AD36">
            <v>0</v>
          </cell>
          <cell r="AE36">
            <v>0</v>
          </cell>
          <cell r="AF36">
            <v>0</v>
          </cell>
          <cell r="AG36">
            <v>0</v>
          </cell>
          <cell r="AH36">
            <v>2.9657624534340701E-2</v>
          </cell>
          <cell r="AI36">
            <v>106.42157058538599</v>
          </cell>
          <cell r="AJ36">
            <v>0.14199999999999999</v>
          </cell>
          <cell r="AK36">
            <v>39.6</v>
          </cell>
          <cell r="AL36">
            <v>50</v>
          </cell>
          <cell r="AM36">
            <v>494.9</v>
          </cell>
          <cell r="AN36">
            <v>43.317999999999998</v>
          </cell>
          <cell r="AO36">
            <v>0</v>
          </cell>
          <cell r="AP36">
            <v>0</v>
          </cell>
          <cell r="AQ36">
            <v>0.1</v>
          </cell>
          <cell r="AR36">
            <v>0.112</v>
          </cell>
          <cell r="AS36">
            <v>33.6</v>
          </cell>
          <cell r="AT36">
            <v>50</v>
          </cell>
          <cell r="AU36">
            <v>420</v>
          </cell>
          <cell r="AV36">
            <v>6.8000000000000005E-2</v>
          </cell>
          <cell r="AW36">
            <v>4.3999999999999997E-2</v>
          </cell>
          <cell r="AX36">
            <v>0</v>
          </cell>
          <cell r="AY36">
            <v>0</v>
          </cell>
          <cell r="AZ36">
            <v>0.254</v>
          </cell>
          <cell r="BA36">
            <v>73.2</v>
          </cell>
          <cell r="BB36">
            <v>50</v>
          </cell>
          <cell r="BC36">
            <v>915</v>
          </cell>
          <cell r="BD36">
            <v>0.13600000000000001</v>
          </cell>
          <cell r="BE36">
            <v>0.11799999999999999</v>
          </cell>
          <cell r="BF36">
            <v>0</v>
          </cell>
          <cell r="BG36">
            <v>0</v>
          </cell>
          <cell r="BH36">
            <v>11.9796</v>
          </cell>
          <cell r="BI36">
            <v>2.2441</v>
          </cell>
        </row>
        <row r="37">
          <cell r="A37" t="str">
            <v>Holzträgerdecke mit Hanf 8 cm und OSB-Platten</v>
          </cell>
          <cell r="B37" t="str">
            <v>m²</v>
          </cell>
          <cell r="C37">
            <v>4</v>
          </cell>
          <cell r="D37" t="str">
            <v>E2-D-01-GD-HO_OSB-Hanf</v>
          </cell>
          <cell r="E37">
            <v>1</v>
          </cell>
          <cell r="F37">
            <v>-11.198608630699701</v>
          </cell>
          <cell r="G37">
            <v>100</v>
          </cell>
          <cell r="H37">
            <v>49.097999999999999</v>
          </cell>
          <cell r="I37">
            <v>0</v>
          </cell>
          <cell r="J37">
            <v>0</v>
          </cell>
          <cell r="K37">
            <v>0</v>
          </cell>
          <cell r="L37">
            <v>0</v>
          </cell>
          <cell r="M37">
            <v>49.097999999999999</v>
          </cell>
          <cell r="N37">
            <v>-50.678701542021201</v>
          </cell>
          <cell r="O37">
            <v>-77.0128396208802</v>
          </cell>
          <cell r="P37">
            <v>26.334138078858999</v>
          </cell>
          <cell r="Q37">
            <v>0.122079686975926</v>
          </cell>
          <cell r="R37">
            <v>519.11650088541103</v>
          </cell>
          <cell r="S37">
            <v>1114.42642662155</v>
          </cell>
          <cell r="T37">
            <v>2.65912406140493E-2</v>
          </cell>
          <cell r="U37">
            <v>4.9638610236459602E-2</v>
          </cell>
          <cell r="V37">
            <v>2.1375608052500298E-6</v>
          </cell>
          <cell r="W37">
            <v>20.151287814192901</v>
          </cell>
          <cell r="X37">
            <v>8.7075559071568998E-2</v>
          </cell>
          <cell r="Y37">
            <v>409.35277806826099</v>
          </cell>
          <cell r="Z37">
            <v>745.62637249017496</v>
          </cell>
          <cell r="AA37">
            <v>1.62183756406107E-2</v>
          </cell>
          <cell r="AB37">
            <v>3.3764343364141802E-2</v>
          </cell>
          <cell r="AC37">
            <v>1.6020965269225601E-6</v>
          </cell>
          <cell r="AD37">
            <v>0</v>
          </cell>
          <cell r="AE37">
            <v>0</v>
          </cell>
          <cell r="AF37">
            <v>0</v>
          </cell>
          <cell r="AG37">
            <v>0</v>
          </cell>
          <cell r="AH37">
            <v>3.0519921743981399E-2</v>
          </cell>
          <cell r="AI37">
            <v>129.77912522135301</v>
          </cell>
          <cell r="AJ37">
            <v>0.14199999999999999</v>
          </cell>
          <cell r="AK37">
            <v>39.6</v>
          </cell>
          <cell r="AL37">
            <v>50</v>
          </cell>
          <cell r="AM37">
            <v>494.9</v>
          </cell>
          <cell r="AQ37">
            <v>0.1</v>
          </cell>
          <cell r="AR37">
            <v>0.112</v>
          </cell>
          <cell r="AS37">
            <v>33.6</v>
          </cell>
          <cell r="AT37">
            <v>50</v>
          </cell>
          <cell r="AU37">
            <v>419.9</v>
          </cell>
          <cell r="AV37">
            <v>0</v>
          </cell>
          <cell r="AW37">
            <v>0.112</v>
          </cell>
          <cell r="AX37">
            <v>0</v>
          </cell>
          <cell r="AY37">
            <v>0.1</v>
          </cell>
          <cell r="AZ37">
            <v>0.254</v>
          </cell>
          <cell r="BA37">
            <v>73.2</v>
          </cell>
          <cell r="BB37">
            <v>50</v>
          </cell>
          <cell r="BC37">
            <v>914.9</v>
          </cell>
          <cell r="BD37">
            <v>0</v>
          </cell>
          <cell r="BE37">
            <v>0.254</v>
          </cell>
          <cell r="BF37">
            <v>0</v>
          </cell>
          <cell r="BG37">
            <v>0.1</v>
          </cell>
          <cell r="BH37">
            <v>13.244400000000001</v>
          </cell>
          <cell r="BI37">
            <v>2.4548999999999999</v>
          </cell>
        </row>
        <row r="38">
          <cell r="A38" t="str">
            <v>Holzträgerdecke mit Schafwolle 8 cm und OSB-Platten</v>
          </cell>
          <cell r="B38" t="str">
            <v>m²</v>
          </cell>
          <cell r="C38">
            <v>5</v>
          </cell>
          <cell r="D38" t="str">
            <v>E2-D-01-GD-HO_OSB-Schaf</v>
          </cell>
          <cell r="E38">
            <v>1</v>
          </cell>
          <cell r="F38">
            <v>-17.807986407822501</v>
          </cell>
          <cell r="G38">
            <v>100</v>
          </cell>
          <cell r="H38">
            <v>45.357999999999997</v>
          </cell>
          <cell r="I38">
            <v>0</v>
          </cell>
          <cell r="J38">
            <v>0</v>
          </cell>
          <cell r="K38">
            <v>0</v>
          </cell>
          <cell r="L38">
            <v>0</v>
          </cell>
          <cell r="M38">
            <v>45.357999999999997</v>
          </cell>
          <cell r="N38">
            <v>-50.030092874218802</v>
          </cell>
          <cell r="O38">
            <v>-72.498067821371194</v>
          </cell>
          <cell r="P38">
            <v>22.467974947152399</v>
          </cell>
          <cell r="Q38">
            <v>0.103071026899448</v>
          </cell>
          <cell r="R38">
            <v>393.62676453862599</v>
          </cell>
          <cell r="S38">
            <v>1024.2132486783901</v>
          </cell>
          <cell r="T38">
            <v>2.4696622462727101E-2</v>
          </cell>
          <cell r="U38">
            <v>4.2129731411950498E-2</v>
          </cell>
          <cell r="V38">
            <v>1.7168870715092801E-6</v>
          </cell>
          <cell r="W38">
            <v>16.285124682486298</v>
          </cell>
          <cell r="X38">
            <v>6.8066898995091399E-2</v>
          </cell>
          <cell r="Y38">
            <v>283.86304172147499</v>
          </cell>
          <cell r="Z38">
            <v>655.41319454700795</v>
          </cell>
          <cell r="AA38">
            <v>1.43237574892886E-2</v>
          </cell>
          <cell r="AB38">
            <v>2.6255464539632799E-2</v>
          </cell>
          <cell r="AC38">
            <v>1.1814227931818099E-6</v>
          </cell>
          <cell r="AD38">
            <v>0</v>
          </cell>
          <cell r="AE38">
            <v>0</v>
          </cell>
          <cell r="AF38">
            <v>0</v>
          </cell>
          <cell r="AG38">
            <v>0</v>
          </cell>
          <cell r="AH38">
            <v>2.5767756724862E-2</v>
          </cell>
          <cell r="AI38">
            <v>98.406691134656498</v>
          </cell>
          <cell r="AJ38">
            <v>0.14199999999999999</v>
          </cell>
          <cell r="AK38">
            <v>39.6</v>
          </cell>
          <cell r="AL38">
            <v>50</v>
          </cell>
          <cell r="AM38">
            <v>494.9</v>
          </cell>
          <cell r="AQ38">
            <v>0.1</v>
          </cell>
          <cell r="AR38">
            <v>0.112</v>
          </cell>
          <cell r="AS38">
            <v>33.6</v>
          </cell>
          <cell r="AT38">
            <v>50</v>
          </cell>
          <cell r="AU38">
            <v>419.9</v>
          </cell>
          <cell r="AV38">
            <v>0</v>
          </cell>
          <cell r="AW38">
            <v>0.112</v>
          </cell>
          <cell r="AX38">
            <v>0</v>
          </cell>
          <cell r="AY38">
            <v>0.1</v>
          </cell>
          <cell r="AZ38">
            <v>0.254</v>
          </cell>
          <cell r="BA38">
            <v>73.2</v>
          </cell>
          <cell r="BB38">
            <v>50</v>
          </cell>
          <cell r="BC38">
            <v>914.9</v>
          </cell>
          <cell r="BD38">
            <v>0</v>
          </cell>
          <cell r="BE38">
            <v>0.254</v>
          </cell>
          <cell r="BF38">
            <v>0</v>
          </cell>
          <cell r="BG38">
            <v>0.1</v>
          </cell>
          <cell r="BH38">
            <v>12.122400000000001</v>
          </cell>
          <cell r="BI38">
            <v>2.2679</v>
          </cell>
        </row>
        <row r="39">
          <cell r="A39" t="str">
            <v>Holzträgerdecke mit Glaswolle 20 cm und OSB-Platten</v>
          </cell>
          <cell r="B39" t="str">
            <v>m²</v>
          </cell>
          <cell r="C39">
            <v>6</v>
          </cell>
          <cell r="D39" t="str">
            <v>E2-D-01-GD-HO_OSB-Gw20</v>
          </cell>
          <cell r="E39">
            <v>1</v>
          </cell>
          <cell r="F39">
            <v>-4.8404108174893503</v>
          </cell>
          <cell r="G39">
            <v>100</v>
          </cell>
          <cell r="H39">
            <v>43.317999999999998</v>
          </cell>
          <cell r="I39">
            <v>0</v>
          </cell>
          <cell r="J39">
            <v>0</v>
          </cell>
          <cell r="K39">
            <v>0</v>
          </cell>
          <cell r="L39">
            <v>3.91</v>
          </cell>
          <cell r="M39">
            <v>47.228000000000002</v>
          </cell>
          <cell r="N39">
            <v>-41.5316422569799</v>
          </cell>
          <cell r="O39">
            <v>-69.217875033174906</v>
          </cell>
          <cell r="P39">
            <v>27.686232776195101</v>
          </cell>
          <cell r="Q39">
            <v>0.15456465449287199</v>
          </cell>
          <cell r="R39">
            <v>534.18726878873099</v>
          </cell>
          <cell r="S39">
            <v>1033.70229307554</v>
          </cell>
          <cell r="T39">
            <v>2.97781589740705E-2</v>
          </cell>
          <cell r="U39">
            <v>6.5728058428881103E-2</v>
          </cell>
          <cell r="V39">
            <v>2.4049627863912299E-6</v>
          </cell>
          <cell r="W39">
            <v>21.503382511529001</v>
          </cell>
          <cell r="X39">
            <v>0.119560526588515</v>
          </cell>
          <cell r="Y39">
            <v>424.42354597158101</v>
          </cell>
          <cell r="Z39">
            <v>664.90223894416499</v>
          </cell>
          <cell r="AA39">
            <v>1.9405294000631901E-2</v>
          </cell>
          <cell r="AB39">
            <v>4.9853791556563401E-2</v>
          </cell>
          <cell r="AC39">
            <v>1.86949850806375E-6</v>
          </cell>
          <cell r="AD39">
            <v>0</v>
          </cell>
          <cell r="AE39">
            <v>0</v>
          </cell>
          <cell r="AF39">
            <v>0</v>
          </cell>
          <cell r="AG39">
            <v>0</v>
          </cell>
          <cell r="AH39">
            <v>3.8641163623217997E-2</v>
          </cell>
          <cell r="AI39">
            <v>133.546817197183</v>
          </cell>
          <cell r="AJ39">
            <v>0.24399999999999999</v>
          </cell>
          <cell r="AK39">
            <v>70.2</v>
          </cell>
          <cell r="AL39">
            <v>50</v>
          </cell>
          <cell r="AM39">
            <v>877.4</v>
          </cell>
          <cell r="AQ39">
            <v>0.1</v>
          </cell>
          <cell r="AR39">
            <v>0.214</v>
          </cell>
          <cell r="AS39">
            <v>64.2</v>
          </cell>
          <cell r="AT39">
            <v>50</v>
          </cell>
          <cell r="AU39">
            <v>802.5</v>
          </cell>
          <cell r="AV39">
            <v>0.17</v>
          </cell>
          <cell r="AW39">
            <v>4.3999999999999997E-2</v>
          </cell>
          <cell r="AX39">
            <v>0</v>
          </cell>
          <cell r="AY39">
            <v>0</v>
          </cell>
          <cell r="AZ39">
            <v>0.45800000000000002</v>
          </cell>
          <cell r="BA39">
            <v>134.4</v>
          </cell>
          <cell r="BB39">
            <v>50</v>
          </cell>
          <cell r="BC39">
            <v>1680</v>
          </cell>
          <cell r="BD39">
            <v>0.34</v>
          </cell>
          <cell r="BE39">
            <v>0.11799999999999999</v>
          </cell>
          <cell r="BF39">
            <v>0</v>
          </cell>
          <cell r="BG39">
            <v>0</v>
          </cell>
          <cell r="BH39">
            <v>12.683400000000001</v>
          </cell>
          <cell r="BI39">
            <v>2.3614000000000002</v>
          </cell>
        </row>
        <row r="40">
          <cell r="A40" t="str">
            <v>Holzträgerdecke mit Zellulose 20 cm und OSB-Platten</v>
          </cell>
          <cell r="B40" t="str">
            <v>m²</v>
          </cell>
          <cell r="C40">
            <v>7</v>
          </cell>
          <cell r="D40" t="str">
            <v>E2-D-01-GD-HO_OSB-Zell20</v>
          </cell>
          <cell r="E40">
            <v>1</v>
          </cell>
          <cell r="F40">
            <v>-17.148086001121701</v>
          </cell>
          <cell r="G40">
            <v>100</v>
          </cell>
          <cell r="H40">
            <v>49.268000000000001</v>
          </cell>
          <cell r="I40">
            <v>0</v>
          </cell>
          <cell r="J40">
            <v>0</v>
          </cell>
          <cell r="K40">
            <v>0</v>
          </cell>
          <cell r="L40">
            <v>0</v>
          </cell>
          <cell r="M40">
            <v>49.268000000000001</v>
          </cell>
          <cell r="N40">
            <v>-56.390446729536002</v>
          </cell>
          <cell r="O40">
            <v>-77.819726423749302</v>
          </cell>
          <cell r="P40">
            <v>21.429279694213299</v>
          </cell>
          <cell r="Q40">
            <v>0.115353572417071</v>
          </cell>
          <cell r="R40">
            <v>396.09536394574502</v>
          </cell>
          <cell r="S40">
            <v>1031.47815818037</v>
          </cell>
          <cell r="T40">
            <v>2.4947186108740201E-2</v>
          </cell>
          <cell r="U40">
            <v>4.7119139506660399E-2</v>
          </cell>
          <cell r="V40">
            <v>1.6970910771587699E-6</v>
          </cell>
          <cell r="W40">
            <v>15.2464294295472</v>
          </cell>
          <cell r="X40">
            <v>8.0349444512714405E-2</v>
          </cell>
          <cell r="Y40">
            <v>286.33164112859498</v>
          </cell>
          <cell r="Z40">
            <v>662.67810404898796</v>
          </cell>
          <cell r="AA40">
            <v>1.45743211353017E-2</v>
          </cell>
          <cell r="AB40">
            <v>3.1244872634342599E-2</v>
          </cell>
          <cell r="AC40">
            <v>1.1616267988313E-6</v>
          </cell>
          <cell r="AD40">
            <v>0</v>
          </cell>
          <cell r="AE40">
            <v>0</v>
          </cell>
          <cell r="AF40">
            <v>0</v>
          </cell>
          <cell r="AG40">
            <v>0</v>
          </cell>
          <cell r="AH40">
            <v>2.88383931042678E-2</v>
          </cell>
          <cell r="AI40">
            <v>99.023840986436298</v>
          </cell>
          <cell r="AJ40">
            <v>0.24399999999999999</v>
          </cell>
          <cell r="AK40">
            <v>70.2</v>
          </cell>
          <cell r="AL40">
            <v>50</v>
          </cell>
          <cell r="AM40">
            <v>877.4</v>
          </cell>
          <cell r="AQ40">
            <v>0.1</v>
          </cell>
          <cell r="AR40">
            <v>0.214</v>
          </cell>
          <cell r="AS40">
            <v>64.2</v>
          </cell>
          <cell r="AT40">
            <v>50</v>
          </cell>
          <cell r="AU40">
            <v>802.4</v>
          </cell>
          <cell r="AV40">
            <v>0</v>
          </cell>
          <cell r="AW40">
            <v>0.214</v>
          </cell>
          <cell r="AX40">
            <v>0</v>
          </cell>
          <cell r="AY40">
            <v>0.1</v>
          </cell>
          <cell r="AZ40">
            <v>0.45800000000000002</v>
          </cell>
          <cell r="BA40">
            <v>134.4</v>
          </cell>
          <cell r="BB40">
            <v>50</v>
          </cell>
          <cell r="BC40">
            <v>1679.9</v>
          </cell>
          <cell r="BD40">
            <v>0</v>
          </cell>
          <cell r="BE40">
            <v>0.45800000000000002</v>
          </cell>
          <cell r="BF40">
            <v>0</v>
          </cell>
          <cell r="BG40">
            <v>0.1</v>
          </cell>
          <cell r="BH40">
            <v>13.295400000000001</v>
          </cell>
          <cell r="BI40">
            <v>2.4634</v>
          </cell>
        </row>
        <row r="41">
          <cell r="A41" t="str">
            <v>Holzträgerdecke (offen)</v>
          </cell>
          <cell r="B41" t="str">
            <v>m²</v>
          </cell>
          <cell r="C41">
            <v>8</v>
          </cell>
          <cell r="D41" t="str">
            <v>E2-D-01-GD-HO_offen</v>
          </cell>
          <cell r="E41">
            <v>1</v>
          </cell>
          <cell r="F41">
            <v>-0.576111726569975</v>
          </cell>
          <cell r="G41">
            <v>100</v>
          </cell>
          <cell r="H41">
            <v>111.5</v>
          </cell>
          <cell r="I41">
            <v>0</v>
          </cell>
          <cell r="J41">
            <v>0</v>
          </cell>
          <cell r="K41">
            <v>0</v>
          </cell>
          <cell r="L41">
            <v>0</v>
          </cell>
          <cell r="M41">
            <v>111.5</v>
          </cell>
          <cell r="N41">
            <v>-140.293908995219</v>
          </cell>
          <cell r="O41">
            <v>-184.17957266811999</v>
          </cell>
          <cell r="P41">
            <v>43.885663672900897</v>
          </cell>
          <cell r="Q41">
            <v>0.24939460143589201</v>
          </cell>
          <cell r="R41">
            <v>776.60778743543005</v>
          </cell>
          <cell r="S41">
            <v>2723.5806716962502</v>
          </cell>
          <cell r="T41">
            <v>7.5507831495390101E-2</v>
          </cell>
          <cell r="U41">
            <v>0.113066591634367</v>
          </cell>
          <cell r="V41">
            <v>3.7885197758878901E-6</v>
          </cell>
          <cell r="W41">
            <v>43.885663672900897</v>
          </cell>
          <cell r="X41">
            <v>0.24939460143589201</v>
          </cell>
          <cell r="Y41">
            <v>776.60778743543005</v>
          </cell>
          <cell r="Z41">
            <v>2723.5806716962502</v>
          </cell>
          <cell r="AA41">
            <v>7.5507831495390101E-2</v>
          </cell>
          <cell r="AB41">
            <v>0.113066591634367</v>
          </cell>
          <cell r="AC41">
            <v>3.7885197758878901E-6</v>
          </cell>
          <cell r="AD41">
            <v>0</v>
          </cell>
          <cell r="AE41">
            <v>0</v>
          </cell>
          <cell r="AF41">
            <v>0</v>
          </cell>
          <cell r="AG41">
            <v>0</v>
          </cell>
          <cell r="AH41">
            <v>6.2348650358973003E-2</v>
          </cell>
          <cell r="AI41">
            <v>194.151946858857</v>
          </cell>
          <cell r="AJ41">
            <v>0.22500000000000001</v>
          </cell>
          <cell r="AK41">
            <v>45</v>
          </cell>
          <cell r="AL41">
            <v>25</v>
          </cell>
          <cell r="AM41">
            <v>562.4</v>
          </cell>
          <cell r="AN41">
            <v>111.5</v>
          </cell>
          <cell r="AO41">
            <v>0</v>
          </cell>
          <cell r="AP41">
            <v>0</v>
          </cell>
          <cell r="AQ41">
            <v>0.1</v>
          </cell>
          <cell r="AR41">
            <v>0.22500000000000001</v>
          </cell>
          <cell r="AS41">
            <v>45</v>
          </cell>
          <cell r="AT41">
            <v>25</v>
          </cell>
          <cell r="AU41">
            <v>562.4</v>
          </cell>
          <cell r="AV41">
            <v>0</v>
          </cell>
          <cell r="AW41">
            <v>0.22500000000000001</v>
          </cell>
          <cell r="AX41">
            <v>0</v>
          </cell>
          <cell r="AY41">
            <v>0.1</v>
          </cell>
          <cell r="AZ41">
            <v>0.45</v>
          </cell>
          <cell r="BA41">
            <v>90</v>
          </cell>
          <cell r="BB41">
            <v>25</v>
          </cell>
          <cell r="BC41">
            <v>1124.9000000000001</v>
          </cell>
          <cell r="BD41">
            <v>0</v>
          </cell>
          <cell r="BE41">
            <v>0.45</v>
          </cell>
          <cell r="BF41">
            <v>0</v>
          </cell>
          <cell r="BG41">
            <v>0.1</v>
          </cell>
          <cell r="BH41">
            <v>22.3</v>
          </cell>
          <cell r="BI41">
            <v>5.5750000000000002</v>
          </cell>
        </row>
        <row r="42">
          <cell r="A42" t="str">
            <v>Stahlträgerdecke</v>
          </cell>
          <cell r="B42" t="str">
            <v>m²</v>
          </cell>
          <cell r="C42">
            <v>9</v>
          </cell>
          <cell r="D42" t="str">
            <v>E2-D-01-GD-STAHL_Gw</v>
          </cell>
          <cell r="E42">
            <v>1</v>
          </cell>
          <cell r="F42">
            <v>76.9667683378823</v>
          </cell>
          <cell r="G42">
            <v>100</v>
          </cell>
          <cell r="H42">
            <v>0</v>
          </cell>
          <cell r="I42">
            <v>0</v>
          </cell>
          <cell r="J42">
            <v>15.6</v>
          </cell>
          <cell r="K42">
            <v>138</v>
          </cell>
          <cell r="L42">
            <v>27.3216</v>
          </cell>
          <cell r="M42">
            <v>180.92160000000001</v>
          </cell>
          <cell r="N42">
            <v>90.507149178547706</v>
          </cell>
          <cell r="O42">
            <v>-1.24779906305726</v>
          </cell>
          <cell r="P42">
            <v>91.754948241605007</v>
          </cell>
          <cell r="Q42">
            <v>0.43499350005750897</v>
          </cell>
          <cell r="R42">
            <v>1206.4933040137</v>
          </cell>
          <cell r="S42">
            <v>215.28397001489299</v>
          </cell>
          <cell r="T42">
            <v>4.1165446384659798E-2</v>
          </cell>
          <cell r="U42">
            <v>0.169359813289821</v>
          </cell>
          <cell r="V42">
            <v>4.8100695539487098E-6</v>
          </cell>
          <cell r="W42">
            <v>78.622992471482604</v>
          </cell>
          <cell r="X42">
            <v>0.410028314355046</v>
          </cell>
          <cell r="Y42">
            <v>1118.7676354990599</v>
          </cell>
          <cell r="Z42">
            <v>212.00922723764501</v>
          </cell>
          <cell r="AA42">
            <v>3.7652776536219401E-2</v>
          </cell>
          <cell r="AB42">
            <v>0.15396698960628999</v>
          </cell>
          <cell r="AC42">
            <v>4.5202343112464502E-6</v>
          </cell>
          <cell r="AD42">
            <v>0</v>
          </cell>
          <cell r="AE42">
            <v>0</v>
          </cell>
          <cell r="AF42">
            <v>0</v>
          </cell>
          <cell r="AG42">
            <v>0</v>
          </cell>
          <cell r="AH42">
            <v>0.10874837501437699</v>
          </cell>
          <cell r="AI42">
            <v>301.62332600342398</v>
          </cell>
          <cell r="AJ42">
            <v>0.17119999999999999</v>
          </cell>
          <cell r="AK42">
            <v>36.36</v>
          </cell>
          <cell r="AL42">
            <v>50</v>
          </cell>
          <cell r="AM42">
            <v>454.4</v>
          </cell>
          <cell r="AQ42">
            <v>0.1</v>
          </cell>
          <cell r="AR42">
            <v>0.10970000000000001</v>
          </cell>
          <cell r="AS42">
            <v>32.909999999999997</v>
          </cell>
          <cell r="AT42">
            <v>50</v>
          </cell>
          <cell r="AU42">
            <v>411.27499999999998</v>
          </cell>
          <cell r="AV42">
            <v>0.10920000000000001</v>
          </cell>
          <cell r="AW42">
            <v>0</v>
          </cell>
          <cell r="AX42">
            <v>5.0000000000000001E-4</v>
          </cell>
          <cell r="AY42">
            <v>0.1</v>
          </cell>
          <cell r="AZ42">
            <v>0.28089999999999998</v>
          </cell>
          <cell r="BA42">
            <v>69.27</v>
          </cell>
          <cell r="BB42">
            <v>50</v>
          </cell>
          <cell r="BC42">
            <v>865.77499999999998</v>
          </cell>
          <cell r="BD42">
            <v>0.27839999999999998</v>
          </cell>
          <cell r="BE42">
            <v>0</v>
          </cell>
          <cell r="BF42">
            <v>2.5000000000000001E-3</v>
          </cell>
          <cell r="BG42">
            <v>0.1</v>
          </cell>
          <cell r="BH42">
            <v>19.776479999999999</v>
          </cell>
          <cell r="BI42">
            <v>9.0460799999999999</v>
          </cell>
        </row>
        <row r="43">
          <cell r="A43" t="str">
            <v>Bürodecke</v>
          </cell>
          <cell r="B43" t="str">
            <v>m²</v>
          </cell>
          <cell r="C43">
            <v>10</v>
          </cell>
          <cell r="D43" t="str">
            <v>E2-D-01-GD-BUERO</v>
          </cell>
          <cell r="E43">
            <v>1</v>
          </cell>
          <cell r="F43">
            <v>55.503299627899302</v>
          </cell>
          <cell r="G43">
            <v>100</v>
          </cell>
          <cell r="H43">
            <v>0</v>
          </cell>
          <cell r="I43">
            <v>0</v>
          </cell>
          <cell r="J43">
            <v>0</v>
          </cell>
          <cell r="K43">
            <v>0</v>
          </cell>
          <cell r="L43">
            <v>23</v>
          </cell>
          <cell r="M43">
            <v>23</v>
          </cell>
          <cell r="N43">
            <v>56.436245082640902</v>
          </cell>
          <cell r="O43">
            <v>0</v>
          </cell>
          <cell r="P43">
            <v>56.436245082640902</v>
          </cell>
          <cell r="Q43">
            <v>0.35229565054420697</v>
          </cell>
          <cell r="R43">
            <v>1063.7351612469499</v>
          </cell>
          <cell r="S43">
            <v>62.6239976245013</v>
          </cell>
          <cell r="T43">
            <v>3.8387249827952503E-2</v>
          </cell>
          <cell r="U43">
            <v>0.15889711415719601</v>
          </cell>
          <cell r="V43">
            <v>5.6088257810573702E-6</v>
          </cell>
          <cell r="W43">
            <v>56.436245082640902</v>
          </cell>
          <cell r="X43">
            <v>0.35229565054420697</v>
          </cell>
          <cell r="Y43">
            <v>1063.7351612469499</v>
          </cell>
          <cell r="Z43">
            <v>62.6239976245013</v>
          </cell>
          <cell r="AA43">
            <v>3.8387249827952503E-2</v>
          </cell>
          <cell r="AB43">
            <v>0.15889711415719601</v>
          </cell>
          <cell r="AC43">
            <v>5.6088257810573702E-6</v>
          </cell>
          <cell r="AD43">
            <v>0</v>
          </cell>
          <cell r="AE43">
            <v>0</v>
          </cell>
          <cell r="AF43">
            <v>0</v>
          </cell>
          <cell r="AG43">
            <v>0</v>
          </cell>
          <cell r="AH43">
            <v>8.8073912636051604E-2</v>
          </cell>
          <cell r="AI43">
            <v>265.93379031173703</v>
          </cell>
          <cell r="AJ43">
            <v>1</v>
          </cell>
          <cell r="AK43">
            <v>300</v>
          </cell>
          <cell r="AL43">
            <v>12.5</v>
          </cell>
          <cell r="AM43">
            <v>3750</v>
          </cell>
          <cell r="AQ43">
            <v>0</v>
          </cell>
          <cell r="AR43">
            <v>1</v>
          </cell>
          <cell r="AS43">
            <v>300</v>
          </cell>
          <cell r="AT43">
            <v>12.5</v>
          </cell>
          <cell r="AU43">
            <v>3749.9</v>
          </cell>
          <cell r="AV43">
            <v>1</v>
          </cell>
          <cell r="AW43">
            <v>0</v>
          </cell>
          <cell r="AX43">
            <v>0</v>
          </cell>
          <cell r="AY43">
            <v>0.1</v>
          </cell>
          <cell r="AZ43">
            <v>2</v>
          </cell>
          <cell r="BA43">
            <v>600</v>
          </cell>
          <cell r="BB43">
            <v>12.5</v>
          </cell>
          <cell r="BC43">
            <v>7499.9</v>
          </cell>
          <cell r="BD43">
            <v>2</v>
          </cell>
          <cell r="BE43">
            <v>0</v>
          </cell>
          <cell r="BF43">
            <v>0</v>
          </cell>
          <cell r="BG43">
            <v>0.1</v>
          </cell>
          <cell r="BH43">
            <v>6.9</v>
          </cell>
          <cell r="BI43">
            <v>1.1499999999999999</v>
          </cell>
        </row>
        <row r="44">
          <cell r="A44" t="str">
            <v>Eigene Decke (E2.D.01)</v>
          </cell>
          <cell r="B44" t="str">
            <v>m²</v>
          </cell>
        </row>
        <row r="45">
          <cell r="A45" t="str">
            <v>Bitte auswählen</v>
          </cell>
        </row>
        <row r="46">
          <cell r="A46" t="str">
            <v>Dämmung unter Kellerdecke MW mit GKP</v>
          </cell>
          <cell r="B46" t="str">
            <v>m³</v>
          </cell>
          <cell r="C46">
            <v>11</v>
          </cell>
          <cell r="D46" t="str">
            <v>E2-D-01-WDu-KD_MW</v>
          </cell>
          <cell r="E46">
            <v>5</v>
          </cell>
          <cell r="F46">
            <v>-10.0229138699247</v>
          </cell>
          <cell r="G46">
            <v>50</v>
          </cell>
          <cell r="H46">
            <v>0</v>
          </cell>
          <cell r="I46">
            <v>0</v>
          </cell>
          <cell r="J46">
            <v>12</v>
          </cell>
          <cell r="K46">
            <v>0</v>
          </cell>
          <cell r="L46">
            <v>89.25</v>
          </cell>
          <cell r="M46">
            <v>101.25</v>
          </cell>
          <cell r="N46">
            <v>91.043845058604802</v>
          </cell>
          <cell r="O46">
            <v>-2.6374567956485402</v>
          </cell>
          <cell r="P46">
            <v>93.681301854253306</v>
          </cell>
          <cell r="Q46">
            <v>0.56354240967189995</v>
          </cell>
          <cell r="R46">
            <v>1237.1740555306701</v>
          </cell>
          <cell r="S46">
            <v>131.079888611434</v>
          </cell>
          <cell r="T46">
            <v>0.16611397964470401</v>
          </cell>
          <cell r="U46">
            <v>0.16737653215019499</v>
          </cell>
          <cell r="V46">
            <v>5.1020999212972398E-6</v>
          </cell>
          <cell r="W46">
            <v>93.681301854253306</v>
          </cell>
          <cell r="X46">
            <v>0.56354240967189995</v>
          </cell>
          <cell r="Y46">
            <v>1237.1740555306701</v>
          </cell>
          <cell r="Z46">
            <v>131.079888611434</v>
          </cell>
          <cell r="AA46">
            <v>0.16611397964470401</v>
          </cell>
          <cell r="AB46">
            <v>0.16737653215019499</v>
          </cell>
          <cell r="AC46">
            <v>5.1020999212972398E-6</v>
          </cell>
          <cell r="AD46">
            <v>0</v>
          </cell>
          <cell r="AE46">
            <v>0</v>
          </cell>
          <cell r="AF46">
            <v>0</v>
          </cell>
          <cell r="AG46">
            <v>0</v>
          </cell>
          <cell r="AH46">
            <v>0.14088560241797499</v>
          </cell>
          <cell r="AI46">
            <v>309.29351388266701</v>
          </cell>
          <cell r="AJ46">
            <v>1.0015384615384599</v>
          </cell>
          <cell r="AK46">
            <v>60.092307692307699</v>
          </cell>
          <cell r="AL46">
            <v>37.5</v>
          </cell>
          <cell r="AM46">
            <v>3755.26923076923</v>
          </cell>
          <cell r="AN46">
            <v>0</v>
          </cell>
          <cell r="AO46">
            <v>0</v>
          </cell>
          <cell r="AP46">
            <v>12</v>
          </cell>
          <cell r="AQ46">
            <v>0.1</v>
          </cell>
          <cell r="AR46">
            <v>1.0015384615384599</v>
          </cell>
          <cell r="AS46">
            <v>60.092307692307699</v>
          </cell>
          <cell r="AT46">
            <v>37.5</v>
          </cell>
          <cell r="AU46">
            <v>3755.26923076923</v>
          </cell>
          <cell r="AV46">
            <v>1</v>
          </cell>
          <cell r="AW46">
            <v>0</v>
          </cell>
          <cell r="AX46">
            <v>1.53846153846154E-3</v>
          </cell>
          <cell r="AY46">
            <v>0.1</v>
          </cell>
          <cell r="AZ46">
            <v>2.0030769230769199</v>
          </cell>
          <cell r="BA46">
            <v>120.184615384615</v>
          </cell>
          <cell r="BB46">
            <v>37.5</v>
          </cell>
          <cell r="BC46">
            <v>7511.0384615384601</v>
          </cell>
          <cell r="BD46">
            <v>2</v>
          </cell>
          <cell r="BE46">
            <v>0</v>
          </cell>
          <cell r="BF46">
            <v>3.07692307692308E-3</v>
          </cell>
          <cell r="BG46">
            <v>0.1</v>
          </cell>
          <cell r="BH46">
            <v>30.375</v>
          </cell>
          <cell r="BI46">
            <v>5.0625</v>
          </cell>
        </row>
        <row r="47">
          <cell r="A47" t="str">
            <v>Dämmung unter Kellerdecke Schafwolle mit GKP</v>
          </cell>
          <cell r="B47" t="str">
            <v>m³</v>
          </cell>
          <cell r="C47">
            <v>12</v>
          </cell>
          <cell r="D47" t="str">
            <v>E2-D-01-WDu-KD_Schaf</v>
          </cell>
          <cell r="E47">
            <v>5</v>
          </cell>
          <cell r="F47">
            <v>-19.022559729338202</v>
          </cell>
          <cell r="G47">
            <v>50</v>
          </cell>
          <cell r="H47">
            <v>27.75</v>
          </cell>
          <cell r="I47">
            <v>0</v>
          </cell>
          <cell r="J47">
            <v>12</v>
          </cell>
          <cell r="K47">
            <v>0</v>
          </cell>
          <cell r="L47">
            <v>61.5</v>
          </cell>
          <cell r="M47">
            <v>101.25</v>
          </cell>
          <cell r="N47">
            <v>52.264999986999797</v>
          </cell>
          <cell r="O47">
            <v>-47.257065457409702</v>
          </cell>
          <cell r="P47">
            <v>99.522065444409293</v>
          </cell>
          <cell r="Q47">
            <v>0.285769054543975</v>
          </cell>
          <cell r="R47">
            <v>1192.2148224883599</v>
          </cell>
          <cell r="S47">
            <v>123.969284769821</v>
          </cell>
          <cell r="T47">
            <v>4.5188143108876602E-2</v>
          </cell>
          <cell r="U47">
            <v>0.127357658630457</v>
          </cell>
          <cell r="V47">
            <v>6.8689912057082398E-6</v>
          </cell>
          <cell r="W47">
            <v>99.522065444409293</v>
          </cell>
          <cell r="X47">
            <v>0.285769054543975</v>
          </cell>
          <cell r="Y47">
            <v>1192.2148224883599</v>
          </cell>
          <cell r="Z47">
            <v>123.969284769821</v>
          </cell>
          <cell r="AA47">
            <v>4.5188143108876602E-2</v>
          </cell>
          <cell r="AB47">
            <v>0.127357658630457</v>
          </cell>
          <cell r="AC47">
            <v>6.8689912057082398E-6</v>
          </cell>
          <cell r="AD47">
            <v>0</v>
          </cell>
          <cell r="AE47">
            <v>0</v>
          </cell>
          <cell r="AF47">
            <v>0</v>
          </cell>
          <cell r="AG47">
            <v>0</v>
          </cell>
          <cell r="AH47">
            <v>7.1442263635993694E-2</v>
          </cell>
          <cell r="AI47">
            <v>298.053705622091</v>
          </cell>
          <cell r="AJ47">
            <v>1.0015384615384599</v>
          </cell>
          <cell r="AK47">
            <v>60.092307692307699</v>
          </cell>
          <cell r="AL47">
            <v>37.5</v>
          </cell>
          <cell r="AM47">
            <v>3755.76923076923</v>
          </cell>
          <cell r="AN47">
            <v>27.75</v>
          </cell>
          <cell r="AO47">
            <v>0</v>
          </cell>
          <cell r="AP47">
            <v>12</v>
          </cell>
          <cell r="AQ47">
            <v>0</v>
          </cell>
          <cell r="AR47">
            <v>1.0015384615384599</v>
          </cell>
          <cell r="AS47">
            <v>60.092307692307699</v>
          </cell>
          <cell r="AT47">
            <v>37.5</v>
          </cell>
          <cell r="AU47">
            <v>3755.76923076923</v>
          </cell>
          <cell r="AV47">
            <v>7.4999999999999997E-2</v>
          </cell>
          <cell r="AW47">
            <v>0.92500000000000004</v>
          </cell>
          <cell r="AX47">
            <v>1.53846153846154E-3</v>
          </cell>
          <cell r="AY47">
            <v>0</v>
          </cell>
          <cell r="AZ47">
            <v>2.0030769230769199</v>
          </cell>
          <cell r="BA47">
            <v>120.184615384615</v>
          </cell>
          <cell r="BB47">
            <v>37.5</v>
          </cell>
          <cell r="BC47">
            <v>7511.5384615384601</v>
          </cell>
          <cell r="BD47">
            <v>0.15</v>
          </cell>
          <cell r="BE47">
            <v>1.85</v>
          </cell>
          <cell r="BF47">
            <v>3.07692307692308E-3</v>
          </cell>
          <cell r="BG47">
            <v>0</v>
          </cell>
          <cell r="BH47">
            <v>30.375</v>
          </cell>
          <cell r="BI47">
            <v>5.0625</v>
          </cell>
        </row>
        <row r="48">
          <cell r="A48" t="str">
            <v>Dämmung auf Kellerdecke EPS-Granulat</v>
          </cell>
          <cell r="B48" t="str">
            <v>m³</v>
          </cell>
          <cell r="C48">
            <v>13</v>
          </cell>
          <cell r="D48" t="str">
            <v>E2-D-01-WD-KD_EPSgran</v>
          </cell>
          <cell r="E48">
            <v>1</v>
          </cell>
          <cell r="F48">
            <v>156.14697439046401</v>
          </cell>
          <cell r="G48">
            <v>50</v>
          </cell>
          <cell r="H48">
            <v>0</v>
          </cell>
          <cell r="I48">
            <v>18.75</v>
          </cell>
          <cell r="J48">
            <v>0</v>
          </cell>
          <cell r="K48">
            <v>0</v>
          </cell>
          <cell r="L48">
            <v>106.25</v>
          </cell>
          <cell r="M48">
            <v>125</v>
          </cell>
          <cell r="N48">
            <v>159.78651555904599</v>
          </cell>
          <cell r="O48">
            <v>0</v>
          </cell>
          <cell r="P48">
            <v>159.78651555904599</v>
          </cell>
          <cell r="Q48">
            <v>0.491952003314999</v>
          </cell>
          <cell r="R48">
            <v>3007.66864065869</v>
          </cell>
          <cell r="S48">
            <v>37.700202031869097</v>
          </cell>
          <cell r="T48">
            <v>0.26887446009294103</v>
          </cell>
          <cell r="U48">
            <v>0.12173909788114599</v>
          </cell>
          <cell r="V48">
            <v>3.2946749521270301E-6</v>
          </cell>
          <cell r="W48">
            <v>159.78651555904599</v>
          </cell>
          <cell r="X48">
            <v>0.491952003314999</v>
          </cell>
          <cell r="Y48">
            <v>3007.66864065869</v>
          </cell>
          <cell r="Z48">
            <v>37.700202031869097</v>
          </cell>
          <cell r="AA48">
            <v>0.26887446009294103</v>
          </cell>
          <cell r="AB48">
            <v>0.12173909788114599</v>
          </cell>
          <cell r="AC48">
            <v>3.2946749521270301E-6</v>
          </cell>
          <cell r="AD48">
            <v>0</v>
          </cell>
          <cell r="AE48">
            <v>0</v>
          </cell>
          <cell r="AF48">
            <v>0</v>
          </cell>
          <cell r="AG48">
            <v>0</v>
          </cell>
          <cell r="AH48">
            <v>0.12298800082875</v>
          </cell>
          <cell r="AI48">
            <v>751.91716016467205</v>
          </cell>
          <cell r="AJ48">
            <v>1</v>
          </cell>
          <cell r="AK48">
            <v>300</v>
          </cell>
          <cell r="AL48">
            <v>12.5</v>
          </cell>
          <cell r="AM48">
            <v>3749.9</v>
          </cell>
          <cell r="AN48">
            <v>0</v>
          </cell>
          <cell r="AO48">
            <v>18.75</v>
          </cell>
          <cell r="AP48">
            <v>0</v>
          </cell>
          <cell r="AQ48">
            <v>0.1</v>
          </cell>
          <cell r="AR48">
            <v>1</v>
          </cell>
          <cell r="AS48">
            <v>300</v>
          </cell>
          <cell r="AT48">
            <v>12.5</v>
          </cell>
          <cell r="AU48">
            <v>3750</v>
          </cell>
          <cell r="AV48">
            <v>0.1</v>
          </cell>
          <cell r="AW48">
            <v>0.9</v>
          </cell>
          <cell r="AX48">
            <v>0</v>
          </cell>
          <cell r="AY48">
            <v>0</v>
          </cell>
          <cell r="AZ48">
            <v>2</v>
          </cell>
          <cell r="BA48">
            <v>600</v>
          </cell>
          <cell r="BB48">
            <v>12.5</v>
          </cell>
          <cell r="BC48">
            <v>7500</v>
          </cell>
          <cell r="BD48">
            <v>0.2</v>
          </cell>
          <cell r="BE48">
            <v>1.8</v>
          </cell>
          <cell r="BF48">
            <v>0</v>
          </cell>
          <cell r="BG48">
            <v>0</v>
          </cell>
          <cell r="BH48">
            <v>37.5</v>
          </cell>
          <cell r="BI48">
            <v>6.25</v>
          </cell>
        </row>
        <row r="49">
          <cell r="A49" t="str">
            <v>Dämmung auf Kellerdecke EPS-Platte W20</v>
          </cell>
          <cell r="B49" t="str">
            <v>m³</v>
          </cell>
          <cell r="C49">
            <v>14</v>
          </cell>
          <cell r="D49" t="str">
            <v>E2-D-01-WD-KD_EPS</v>
          </cell>
          <cell r="E49">
            <v>1</v>
          </cell>
          <cell r="F49">
            <v>83.228901726604505</v>
          </cell>
          <cell r="G49">
            <v>50</v>
          </cell>
          <cell r="H49">
            <v>0</v>
          </cell>
          <cell r="I49">
            <v>20</v>
          </cell>
          <cell r="J49">
            <v>0</v>
          </cell>
          <cell r="K49">
            <v>0</v>
          </cell>
          <cell r="L49">
            <v>0</v>
          </cell>
          <cell r="M49">
            <v>20</v>
          </cell>
          <cell r="N49">
            <v>83.384302368303807</v>
          </cell>
          <cell r="O49">
            <v>0</v>
          </cell>
          <cell r="P49">
            <v>83.384302368303807</v>
          </cell>
          <cell r="Q49">
            <v>0.29800878342415399</v>
          </cell>
          <cell r="R49">
            <v>1977.9104062599999</v>
          </cell>
          <cell r="S49">
            <v>20.166907399999999</v>
          </cell>
          <cell r="T49">
            <v>0.18275455243459399</v>
          </cell>
          <cell r="U49">
            <v>5.2143331652588401E-2</v>
          </cell>
          <cell r="V49">
            <v>2.2210762591473001E-6</v>
          </cell>
          <cell r="W49">
            <v>83.384302368303807</v>
          </cell>
          <cell r="X49">
            <v>0.29800878342415399</v>
          </cell>
          <cell r="Y49">
            <v>1977.9104062599999</v>
          </cell>
          <cell r="Z49">
            <v>20.166907399999999</v>
          </cell>
          <cell r="AA49">
            <v>0.18275455243459399</v>
          </cell>
          <cell r="AB49">
            <v>5.2143331652588401E-2</v>
          </cell>
          <cell r="AC49">
            <v>2.2210762591473001E-6</v>
          </cell>
          <cell r="AD49">
            <v>0</v>
          </cell>
          <cell r="AE49">
            <v>0</v>
          </cell>
          <cell r="AF49">
            <v>0</v>
          </cell>
          <cell r="AG49">
            <v>0</v>
          </cell>
          <cell r="AH49">
            <v>7.4502195856038497E-2</v>
          </cell>
          <cell r="AI49">
            <v>494.47760156499999</v>
          </cell>
          <cell r="AJ49">
            <v>1</v>
          </cell>
          <cell r="AK49">
            <v>300</v>
          </cell>
          <cell r="AL49">
            <v>12.5</v>
          </cell>
          <cell r="AM49">
            <v>3749.9</v>
          </cell>
          <cell r="AN49">
            <v>0</v>
          </cell>
          <cell r="AO49">
            <v>20</v>
          </cell>
          <cell r="AP49">
            <v>0</v>
          </cell>
          <cell r="AQ49">
            <v>0.1</v>
          </cell>
          <cell r="AR49">
            <v>1</v>
          </cell>
          <cell r="AS49">
            <v>300</v>
          </cell>
          <cell r="AT49">
            <v>12.5</v>
          </cell>
          <cell r="AU49">
            <v>3749.9</v>
          </cell>
          <cell r="AV49">
            <v>0</v>
          </cell>
          <cell r="AW49">
            <v>1</v>
          </cell>
          <cell r="AX49">
            <v>0</v>
          </cell>
          <cell r="AY49">
            <v>0.1</v>
          </cell>
          <cell r="AZ49">
            <v>2</v>
          </cell>
          <cell r="BA49">
            <v>600</v>
          </cell>
          <cell r="BB49">
            <v>12.5</v>
          </cell>
          <cell r="BC49">
            <v>7499.9</v>
          </cell>
          <cell r="BD49">
            <v>0</v>
          </cell>
          <cell r="BE49">
            <v>2</v>
          </cell>
          <cell r="BF49">
            <v>0</v>
          </cell>
          <cell r="BG49">
            <v>0.1</v>
          </cell>
          <cell r="BH49">
            <v>6</v>
          </cell>
          <cell r="BI49">
            <v>1</v>
          </cell>
        </row>
        <row r="50">
          <cell r="A50" t="str">
            <v>Dämmung auf Kellerdecke Perlite</v>
          </cell>
          <cell r="B50" t="str">
            <v>m³</v>
          </cell>
          <cell r="C50">
            <v>15</v>
          </cell>
          <cell r="D50" t="str">
            <v>E2-D-01-WD-KD_Perlite</v>
          </cell>
          <cell r="E50">
            <v>1</v>
          </cell>
          <cell r="F50">
            <v>3.4869589358725501</v>
          </cell>
          <cell r="G50">
            <v>50</v>
          </cell>
          <cell r="H50">
            <v>0</v>
          </cell>
          <cell r="I50">
            <v>0</v>
          </cell>
          <cell r="J50">
            <v>0</v>
          </cell>
          <cell r="K50">
            <v>0</v>
          </cell>
          <cell r="L50">
            <v>85</v>
          </cell>
          <cell r="M50">
            <v>85</v>
          </cell>
          <cell r="N50">
            <v>25.1093850320343</v>
          </cell>
          <cell r="O50">
            <v>-1.6239833441708501E-3</v>
          </cell>
          <cell r="P50">
            <v>25.111009015378499</v>
          </cell>
          <cell r="Q50">
            <v>0.130118113809399</v>
          </cell>
          <cell r="R50">
            <v>548.589387678408</v>
          </cell>
          <cell r="S50">
            <v>6.5799737669239899</v>
          </cell>
          <cell r="T50">
            <v>1.7148279817577501E-2</v>
          </cell>
          <cell r="U50">
            <v>1.37565332693644E-2</v>
          </cell>
          <cell r="V50">
            <v>9.6732043716348807E-6</v>
          </cell>
          <cell r="W50">
            <v>25.111009015378499</v>
          </cell>
          <cell r="X50">
            <v>0.130118113809399</v>
          </cell>
          <cell r="Y50">
            <v>548.589387678408</v>
          </cell>
          <cell r="Z50">
            <v>6.5799737669239899</v>
          </cell>
          <cell r="AA50">
            <v>1.7148279817577501E-2</v>
          </cell>
          <cell r="AB50">
            <v>1.37565332693644E-2</v>
          </cell>
          <cell r="AC50">
            <v>9.6732043716348807E-6</v>
          </cell>
          <cell r="AD50">
            <v>0</v>
          </cell>
          <cell r="AE50">
            <v>0</v>
          </cell>
          <cell r="AF50">
            <v>0</v>
          </cell>
          <cell r="AG50">
            <v>0</v>
          </cell>
          <cell r="AH50">
            <v>3.2529528452349799E-2</v>
          </cell>
          <cell r="AI50">
            <v>137.147346919602</v>
          </cell>
          <cell r="AJ50">
            <v>1</v>
          </cell>
          <cell r="AK50">
            <v>300</v>
          </cell>
          <cell r="AL50">
            <v>12.5</v>
          </cell>
          <cell r="AM50">
            <v>3750</v>
          </cell>
          <cell r="AN50">
            <v>0</v>
          </cell>
          <cell r="AO50">
            <v>0</v>
          </cell>
          <cell r="AP50">
            <v>0</v>
          </cell>
          <cell r="AQ50">
            <v>0</v>
          </cell>
          <cell r="AR50">
            <v>1</v>
          </cell>
          <cell r="AS50">
            <v>300</v>
          </cell>
          <cell r="AT50">
            <v>12.5</v>
          </cell>
          <cell r="AU50">
            <v>3749.9</v>
          </cell>
          <cell r="AV50">
            <v>1</v>
          </cell>
          <cell r="AW50">
            <v>0</v>
          </cell>
          <cell r="AX50">
            <v>0</v>
          </cell>
          <cell r="AY50">
            <v>0.1</v>
          </cell>
          <cell r="AZ50">
            <v>2</v>
          </cell>
          <cell r="BA50">
            <v>600</v>
          </cell>
          <cell r="BB50">
            <v>12.5</v>
          </cell>
          <cell r="BC50">
            <v>7499.9</v>
          </cell>
          <cell r="BD50">
            <v>2</v>
          </cell>
          <cell r="BE50">
            <v>0</v>
          </cell>
          <cell r="BF50">
            <v>0</v>
          </cell>
          <cell r="BG50">
            <v>0.1</v>
          </cell>
          <cell r="BH50">
            <v>25.5</v>
          </cell>
          <cell r="BI50">
            <v>4.25</v>
          </cell>
        </row>
        <row r="51">
          <cell r="A51" t="str">
            <v>Dämmung auf Kellerdecke Glaswolle + Dibo</v>
          </cell>
          <cell r="B51" t="str">
            <v>m³</v>
          </cell>
          <cell r="C51">
            <v>16</v>
          </cell>
          <cell r="D51" t="str">
            <v>E2-D-01-WD-KD_GwDibo</v>
          </cell>
          <cell r="E51">
            <v>1</v>
          </cell>
          <cell r="F51">
            <v>75.886305610626096</v>
          </cell>
          <cell r="G51">
            <v>50</v>
          </cell>
          <cell r="H51">
            <v>0</v>
          </cell>
          <cell r="I51">
            <v>0</v>
          </cell>
          <cell r="J51">
            <v>0</v>
          </cell>
          <cell r="K51">
            <v>0</v>
          </cell>
          <cell r="L51">
            <v>28.4</v>
          </cell>
          <cell r="M51">
            <v>28.4</v>
          </cell>
          <cell r="N51">
            <v>72.080327826950693</v>
          </cell>
          <cell r="O51">
            <v>-4.60265137369196E-2</v>
          </cell>
          <cell r="P51">
            <v>72.126354340687598</v>
          </cell>
          <cell r="Q51">
            <v>0.42795694813129098</v>
          </cell>
          <cell r="R51">
            <v>1294.3597366588699</v>
          </cell>
          <cell r="S51">
            <v>87.069107330465101</v>
          </cell>
          <cell r="T51">
            <v>4.8964668968557501E-2</v>
          </cell>
          <cell r="U51">
            <v>0.19196847723808899</v>
          </cell>
          <cell r="V51">
            <v>6.6921149627250404E-6</v>
          </cell>
          <cell r="W51">
            <v>72.126354340687598</v>
          </cell>
          <cell r="X51">
            <v>0.42795694813129098</v>
          </cell>
          <cell r="Y51">
            <v>1294.3597366588699</v>
          </cell>
          <cell r="Z51">
            <v>87.069107330465101</v>
          </cell>
          <cell r="AA51">
            <v>4.8964668968557501E-2</v>
          </cell>
          <cell r="AB51">
            <v>0.19196847723808899</v>
          </cell>
          <cell r="AC51">
            <v>6.6921149627250404E-6</v>
          </cell>
          <cell r="AD51">
            <v>0</v>
          </cell>
          <cell r="AE51">
            <v>0</v>
          </cell>
          <cell r="AF51">
            <v>0</v>
          </cell>
          <cell r="AG51">
            <v>0</v>
          </cell>
          <cell r="AH51">
            <v>0.106989237032823</v>
          </cell>
          <cell r="AI51">
            <v>323.589934164716</v>
          </cell>
          <cell r="AJ51">
            <v>6.4</v>
          </cell>
          <cell r="AK51">
            <v>1920</v>
          </cell>
          <cell r="AL51">
            <v>25</v>
          </cell>
          <cell r="AM51">
            <v>24000</v>
          </cell>
          <cell r="AN51">
            <v>0</v>
          </cell>
          <cell r="AO51">
            <v>0</v>
          </cell>
          <cell r="AP51">
            <v>0</v>
          </cell>
          <cell r="AQ51">
            <v>0</v>
          </cell>
          <cell r="AR51">
            <v>6.4</v>
          </cell>
          <cell r="AS51">
            <v>1920</v>
          </cell>
          <cell r="AT51">
            <v>25</v>
          </cell>
          <cell r="AU51">
            <v>24000</v>
          </cell>
          <cell r="AV51">
            <v>1</v>
          </cell>
          <cell r="AW51">
            <v>2.7</v>
          </cell>
          <cell r="AX51">
            <v>2.7</v>
          </cell>
          <cell r="AY51">
            <v>0</v>
          </cell>
          <cell r="AZ51">
            <v>12.8</v>
          </cell>
          <cell r="BA51">
            <v>3840</v>
          </cell>
          <cell r="BB51">
            <v>25</v>
          </cell>
          <cell r="BC51">
            <v>48000</v>
          </cell>
          <cell r="BD51">
            <v>2</v>
          </cell>
          <cell r="BE51">
            <v>5.4</v>
          </cell>
          <cell r="BF51">
            <v>5.4</v>
          </cell>
          <cell r="BG51">
            <v>0</v>
          </cell>
          <cell r="BH51">
            <v>8.52</v>
          </cell>
          <cell r="BI51">
            <v>1.42</v>
          </cell>
        </row>
        <row r="52">
          <cell r="A52" t="str">
            <v>Dämmung auf Kellerdecke Schafwolle + Dibo</v>
          </cell>
          <cell r="B52" t="str">
            <v>m³</v>
          </cell>
          <cell r="C52">
            <v>17</v>
          </cell>
          <cell r="D52" t="str">
            <v>E2-D-01-WD-KD_SchafDibo</v>
          </cell>
          <cell r="E52">
            <v>1</v>
          </cell>
          <cell r="F52">
            <v>22.941614018163701</v>
          </cell>
          <cell r="G52">
            <v>50</v>
          </cell>
          <cell r="H52">
            <v>30</v>
          </cell>
          <cell r="I52">
            <v>0</v>
          </cell>
          <cell r="J52">
            <v>0</v>
          </cell>
          <cell r="K52">
            <v>0</v>
          </cell>
          <cell r="L52">
            <v>5.4</v>
          </cell>
          <cell r="M52">
            <v>35.4</v>
          </cell>
          <cell r="N52">
            <v>31.7574804915165</v>
          </cell>
          <cell r="O52">
            <v>-48.2841557519167</v>
          </cell>
          <cell r="P52">
            <v>80.041636243433103</v>
          </cell>
          <cell r="Q52">
            <v>0.19914119463254601</v>
          </cell>
          <cell r="R52">
            <v>822.89623955714501</v>
          </cell>
          <cell r="S52">
            <v>41.460333220783298</v>
          </cell>
          <cell r="T52">
            <v>3.18170656024961E-2</v>
          </cell>
          <cell r="U52">
            <v>8.3279927636668499E-2</v>
          </cell>
          <cell r="V52">
            <v>4.9865931213413498E-6</v>
          </cell>
          <cell r="W52">
            <v>80.041636243433103</v>
          </cell>
          <cell r="X52">
            <v>0.19914119463254601</v>
          </cell>
          <cell r="Y52">
            <v>822.89623955714501</v>
          </cell>
          <cell r="Z52">
            <v>41.460333220783298</v>
          </cell>
          <cell r="AA52">
            <v>3.18170656024961E-2</v>
          </cell>
          <cell r="AB52">
            <v>8.3279927636668499E-2</v>
          </cell>
          <cell r="AC52">
            <v>4.9865931213413498E-6</v>
          </cell>
          <cell r="AD52">
            <v>0</v>
          </cell>
          <cell r="AE52">
            <v>0</v>
          </cell>
          <cell r="AF52">
            <v>0</v>
          </cell>
          <cell r="AG52">
            <v>0</v>
          </cell>
          <cell r="AH52">
            <v>4.9785298658136502E-2</v>
          </cell>
          <cell r="AI52">
            <v>205.724059889286</v>
          </cell>
          <cell r="AJ52">
            <v>6.4</v>
          </cell>
          <cell r="AK52">
            <v>1920</v>
          </cell>
          <cell r="AL52">
            <v>25</v>
          </cell>
          <cell r="AM52">
            <v>23999.9</v>
          </cell>
          <cell r="AN52">
            <v>30</v>
          </cell>
          <cell r="AO52">
            <v>0</v>
          </cell>
          <cell r="AP52">
            <v>0</v>
          </cell>
          <cell r="AQ52">
            <v>0.1</v>
          </cell>
          <cell r="AR52">
            <v>6.4</v>
          </cell>
          <cell r="AS52">
            <v>1920</v>
          </cell>
          <cell r="AT52">
            <v>25</v>
          </cell>
          <cell r="AU52">
            <v>24000</v>
          </cell>
          <cell r="AV52">
            <v>0</v>
          </cell>
          <cell r="AW52">
            <v>3.7</v>
          </cell>
          <cell r="AX52">
            <v>2.7</v>
          </cell>
          <cell r="AY52">
            <v>0</v>
          </cell>
          <cell r="AZ52">
            <v>12.8</v>
          </cell>
          <cell r="BA52">
            <v>3840</v>
          </cell>
          <cell r="BB52">
            <v>25</v>
          </cell>
          <cell r="BC52">
            <v>48000</v>
          </cell>
          <cell r="BD52">
            <v>0</v>
          </cell>
          <cell r="BE52">
            <v>7.4</v>
          </cell>
          <cell r="BF52">
            <v>5.4</v>
          </cell>
          <cell r="BG52">
            <v>0</v>
          </cell>
          <cell r="BH52">
            <v>10.62</v>
          </cell>
          <cell r="BI52">
            <v>1.77</v>
          </cell>
        </row>
        <row r="53">
          <cell r="A53" t="str">
            <v>Eigene Dämmung (E2.D.01.K)</v>
          </cell>
          <cell r="B53" t="str">
            <v>m³</v>
          </cell>
        </row>
        <row r="54">
          <cell r="A54" t="str">
            <v>Bitte auswählen</v>
          </cell>
        </row>
        <row r="55">
          <cell r="A55" t="str">
            <v>EPS verputzt</v>
          </cell>
          <cell r="B55" t="str">
            <v>m³</v>
          </cell>
          <cell r="C55">
            <v>18</v>
          </cell>
          <cell r="D55" t="str">
            <v>E2-D-01-WD-AD_WDV-EPS</v>
          </cell>
          <cell r="E55">
            <v>3.125</v>
          </cell>
          <cell r="F55">
            <v>6.9305260928576802</v>
          </cell>
          <cell r="G55">
            <v>50</v>
          </cell>
          <cell r="H55">
            <v>0</v>
          </cell>
          <cell r="I55">
            <v>16.875</v>
          </cell>
          <cell r="J55">
            <v>0</v>
          </cell>
          <cell r="K55">
            <v>0</v>
          </cell>
          <cell r="L55">
            <v>54.53125</v>
          </cell>
          <cell r="M55">
            <v>71.40625</v>
          </cell>
          <cell r="N55">
            <v>98.810883785800996</v>
          </cell>
          <cell r="O55">
            <v>-2.5530497095856999E-2</v>
          </cell>
          <cell r="P55">
            <v>98.836414282896797</v>
          </cell>
          <cell r="Q55">
            <v>0.36359757572578999</v>
          </cell>
          <cell r="R55">
            <v>2107.54209937324</v>
          </cell>
          <cell r="S55">
            <v>32.6394625193576</v>
          </cell>
          <cell r="T55">
            <v>0.16809800839081801</v>
          </cell>
          <cell r="U55">
            <v>8.8776465840554902E-2</v>
          </cell>
          <cell r="V55">
            <v>3.8216955520723698E-6</v>
          </cell>
          <cell r="W55">
            <v>98.836414282896797</v>
          </cell>
          <cell r="X55">
            <v>0.36359757572578999</v>
          </cell>
          <cell r="Y55">
            <v>2107.54209937324</v>
          </cell>
          <cell r="Z55">
            <v>32.6394625193576</v>
          </cell>
          <cell r="AA55">
            <v>0.16809800839081801</v>
          </cell>
          <cell r="AB55">
            <v>8.8776465840554902E-2</v>
          </cell>
          <cell r="AC55">
            <v>3.8216955520723698E-6</v>
          </cell>
          <cell r="AD55">
            <v>0</v>
          </cell>
          <cell r="AE55">
            <v>0</v>
          </cell>
          <cell r="AF55">
            <v>0</v>
          </cell>
          <cell r="AG55">
            <v>0</v>
          </cell>
          <cell r="AH55">
            <v>9.0899393931447497E-2</v>
          </cell>
          <cell r="AI55">
            <v>526.88552484331103</v>
          </cell>
          <cell r="AJ55">
            <v>22.852621527777799</v>
          </cell>
          <cell r="AK55">
            <v>2193.3516666666701</v>
          </cell>
          <cell r="AL55">
            <v>87.5</v>
          </cell>
          <cell r="AM55">
            <v>85677.486979166701</v>
          </cell>
          <cell r="AN55">
            <v>0</v>
          </cell>
          <cell r="AO55">
            <v>16.875</v>
          </cell>
          <cell r="AP55">
            <v>0</v>
          </cell>
          <cell r="AQ55">
            <v>0.1</v>
          </cell>
          <cell r="AR55">
            <v>22.852621527777799</v>
          </cell>
          <cell r="AS55">
            <v>2193.3516666666701</v>
          </cell>
          <cell r="AT55">
            <v>87.5</v>
          </cell>
          <cell r="AU55">
            <v>85677.486979166701</v>
          </cell>
          <cell r="AV55">
            <v>4.0121527777777798E-2</v>
          </cell>
          <cell r="AW55">
            <v>22.8125</v>
          </cell>
          <cell r="AX55">
            <v>0</v>
          </cell>
          <cell r="AY55">
            <v>0.1</v>
          </cell>
          <cell r="AZ55">
            <v>45.705243055555599</v>
          </cell>
          <cell r="BA55">
            <v>4386.7033333333302</v>
          </cell>
          <cell r="BB55">
            <v>87.5</v>
          </cell>
          <cell r="BC55">
            <v>171355.28645833299</v>
          </cell>
          <cell r="BD55">
            <v>8.0243055555555595E-2</v>
          </cell>
          <cell r="BE55">
            <v>45.625</v>
          </cell>
          <cell r="BF55">
            <v>0</v>
          </cell>
          <cell r="BG55">
            <v>0.1</v>
          </cell>
          <cell r="BH55">
            <v>16.96875</v>
          </cell>
          <cell r="BI55">
            <v>2.828125</v>
          </cell>
        </row>
        <row r="56">
          <cell r="A56" t="str">
            <v>Mineralschaumplatte verputzt</v>
          </cell>
          <cell r="B56" t="str">
            <v>m³</v>
          </cell>
          <cell r="C56">
            <v>19</v>
          </cell>
          <cell r="D56" t="str">
            <v>E2-D-01-WD-AD_WDV-MinS</v>
          </cell>
          <cell r="E56">
            <v>3.125</v>
          </cell>
          <cell r="F56">
            <v>6.44775544843153</v>
          </cell>
          <cell r="G56">
            <v>50</v>
          </cell>
          <cell r="H56">
            <v>0</v>
          </cell>
          <cell r="I56">
            <v>0</v>
          </cell>
          <cell r="J56">
            <v>0</v>
          </cell>
          <cell r="K56">
            <v>0</v>
          </cell>
          <cell r="L56">
            <v>169.53125</v>
          </cell>
          <cell r="M56">
            <v>169.53125</v>
          </cell>
          <cell r="N56">
            <v>144.14779407818</v>
          </cell>
          <cell r="O56">
            <v>-2.5530497095856999E-2</v>
          </cell>
          <cell r="P56">
            <v>144.17332457527601</v>
          </cell>
          <cell r="Q56">
            <v>0.35793731615681001</v>
          </cell>
          <cell r="R56">
            <v>1858.23883827231</v>
          </cell>
          <cell r="S56">
            <v>109.262194275749</v>
          </cell>
          <cell r="T56">
            <v>4.5909503184017202E-2</v>
          </cell>
          <cell r="U56">
            <v>0.151214487520899</v>
          </cell>
          <cell r="V56">
            <v>1.0481517250507E-5</v>
          </cell>
          <cell r="W56">
            <v>144.17332457527601</v>
          </cell>
          <cell r="X56">
            <v>0.35793731615681001</v>
          </cell>
          <cell r="Y56">
            <v>1858.23883827231</v>
          </cell>
          <cell r="Z56">
            <v>109.262194275749</v>
          </cell>
          <cell r="AA56">
            <v>4.5909503184017202E-2</v>
          </cell>
          <cell r="AB56">
            <v>0.151214487520899</v>
          </cell>
          <cell r="AC56">
            <v>1.0481517250507E-5</v>
          </cell>
          <cell r="AD56">
            <v>0</v>
          </cell>
          <cell r="AE56">
            <v>0</v>
          </cell>
          <cell r="AF56">
            <v>0</v>
          </cell>
          <cell r="AG56">
            <v>0</v>
          </cell>
          <cell r="AH56">
            <v>8.9484329039202601E-2</v>
          </cell>
          <cell r="AI56">
            <v>464.55970956807897</v>
          </cell>
          <cell r="AJ56">
            <v>22.915121527777799</v>
          </cell>
          <cell r="AK56">
            <v>2199.3516666666701</v>
          </cell>
          <cell r="AL56">
            <v>87.5</v>
          </cell>
          <cell r="AM56">
            <v>85912.174479166701</v>
          </cell>
          <cell r="AN56">
            <v>0</v>
          </cell>
          <cell r="AO56">
            <v>0</v>
          </cell>
          <cell r="AP56">
            <v>0</v>
          </cell>
          <cell r="AQ56">
            <v>0</v>
          </cell>
          <cell r="AR56">
            <v>22.915121527777799</v>
          </cell>
          <cell r="AS56">
            <v>2199.3516666666701</v>
          </cell>
          <cell r="AT56">
            <v>87.5</v>
          </cell>
          <cell r="AU56">
            <v>85911.861979166701</v>
          </cell>
          <cell r="AV56">
            <v>1.04012152777778</v>
          </cell>
          <cell r="AW56">
            <v>21.875</v>
          </cell>
          <cell r="AX56">
            <v>0</v>
          </cell>
          <cell r="AY56">
            <v>0.1</v>
          </cell>
          <cell r="AZ56">
            <v>45.830243055555599</v>
          </cell>
          <cell r="BA56">
            <v>4398.7033333333302</v>
          </cell>
          <cell r="BB56">
            <v>87.5</v>
          </cell>
          <cell r="BC56">
            <v>171824.03645833299</v>
          </cell>
          <cell r="BD56">
            <v>2.08024305555556</v>
          </cell>
          <cell r="BE56">
            <v>43.75</v>
          </cell>
          <cell r="BF56">
            <v>0</v>
          </cell>
          <cell r="BG56">
            <v>0.1</v>
          </cell>
          <cell r="BH56">
            <v>46.40625</v>
          </cell>
          <cell r="BI56">
            <v>7.734375</v>
          </cell>
        </row>
        <row r="57">
          <cell r="A57" t="str">
            <v>Glaswolle zwischen Holzträger (E2.D.01)</v>
          </cell>
          <cell r="B57" t="str">
            <v>m³</v>
          </cell>
          <cell r="C57">
            <v>20</v>
          </cell>
          <cell r="D57" t="str">
            <v>E2-D-01-WD-AD_Holz-Gw</v>
          </cell>
          <cell r="E57">
            <v>3.125</v>
          </cell>
          <cell r="F57">
            <v>-11.3379631119442</v>
          </cell>
          <cell r="G57">
            <v>50</v>
          </cell>
          <cell r="H57">
            <v>89.0625</v>
          </cell>
          <cell r="I57">
            <v>0.25</v>
          </cell>
          <cell r="J57">
            <v>3.125</v>
          </cell>
          <cell r="K57">
            <v>0</v>
          </cell>
          <cell r="L57">
            <v>18</v>
          </cell>
          <cell r="M57">
            <v>110.4375</v>
          </cell>
          <cell r="N57">
            <v>-81.936685233248795</v>
          </cell>
          <cell r="O57">
            <v>-147.07266214076299</v>
          </cell>
          <cell r="P57">
            <v>65.135976907513793</v>
          </cell>
          <cell r="Q57">
            <v>0.39164808213257601</v>
          </cell>
          <cell r="R57">
            <v>1186.4070558911701</v>
          </cell>
          <cell r="S57">
            <v>1921.0062746306601</v>
          </cell>
          <cell r="T57">
            <v>7.5513622610452094E-2</v>
          </cell>
          <cell r="U57">
            <v>0.176907122796883</v>
          </cell>
          <cell r="V57">
            <v>6.0159978030387097E-6</v>
          </cell>
          <cell r="W57">
            <v>65.135976907513793</v>
          </cell>
          <cell r="X57">
            <v>0.39164808213257601</v>
          </cell>
          <cell r="Y57">
            <v>1186.4070558911701</v>
          </cell>
          <cell r="Z57">
            <v>1921.0062746306601</v>
          </cell>
          <cell r="AA57">
            <v>7.5513622610452094E-2</v>
          </cell>
          <cell r="AB57">
            <v>0.176907122796883</v>
          </cell>
          <cell r="AC57">
            <v>6.0159978030387097E-6</v>
          </cell>
          <cell r="AD57">
            <v>0</v>
          </cell>
          <cell r="AE57">
            <v>0</v>
          </cell>
          <cell r="AF57">
            <v>0</v>
          </cell>
          <cell r="AG57">
            <v>0</v>
          </cell>
          <cell r="AH57">
            <v>9.7912020533144004E-2</v>
          </cell>
          <cell r="AI57">
            <v>296.60176397279298</v>
          </cell>
          <cell r="AJ57">
            <v>1.07878074306646</v>
          </cell>
          <cell r="AK57">
            <v>97.8629513343799</v>
          </cell>
          <cell r="AL57">
            <v>87.5</v>
          </cell>
          <cell r="AM57">
            <v>3822.45903649922</v>
          </cell>
          <cell r="AN57">
            <v>89.0625</v>
          </cell>
          <cell r="AO57">
            <v>0.25</v>
          </cell>
          <cell r="AP57">
            <v>0</v>
          </cell>
          <cell r="AQ57">
            <v>0.1</v>
          </cell>
          <cell r="AR57">
            <v>1.07878074306646</v>
          </cell>
          <cell r="AS57">
            <v>97.8629513343799</v>
          </cell>
          <cell r="AT57">
            <v>87.5</v>
          </cell>
          <cell r="AU57">
            <v>3822.77153649922</v>
          </cell>
          <cell r="AV57">
            <v>0.9</v>
          </cell>
          <cell r="AW57">
            <v>0.178380102040816</v>
          </cell>
          <cell r="AX57">
            <v>4.0064102564102601E-4</v>
          </cell>
          <cell r="AY57">
            <v>0</v>
          </cell>
          <cell r="AZ57">
            <v>2.15756148613292</v>
          </cell>
          <cell r="BA57">
            <v>195.72590266876</v>
          </cell>
          <cell r="BB57">
            <v>87.5</v>
          </cell>
          <cell r="BC57">
            <v>7645.54307299843</v>
          </cell>
          <cell r="BD57">
            <v>1.8</v>
          </cell>
          <cell r="BE57">
            <v>0.356760204081633</v>
          </cell>
          <cell r="BF57">
            <v>8.0128205128205104E-4</v>
          </cell>
          <cell r="BG57">
            <v>0</v>
          </cell>
          <cell r="BH57">
            <v>16.337499999999999</v>
          </cell>
          <cell r="BI57">
            <v>3.5562499999999999</v>
          </cell>
        </row>
        <row r="58">
          <cell r="A58" t="str">
            <v>Hanfdämmplatte zwischen Holzträger</v>
          </cell>
          <cell r="B58" t="str">
            <v>m³</v>
          </cell>
          <cell r="C58">
            <v>21</v>
          </cell>
          <cell r="D58" t="str">
            <v>E2-D-01-WD-AD_Holz-Hanf</v>
          </cell>
          <cell r="E58">
            <v>3.125</v>
          </cell>
          <cell r="F58">
            <v>4.85648761185616</v>
          </cell>
          <cell r="G58">
            <v>50</v>
          </cell>
          <cell r="H58">
            <v>165.5625</v>
          </cell>
          <cell r="I58">
            <v>0.25</v>
          </cell>
          <cell r="J58">
            <v>3.125</v>
          </cell>
          <cell r="K58">
            <v>0</v>
          </cell>
          <cell r="L58">
            <v>0</v>
          </cell>
          <cell r="M58">
            <v>168.9375</v>
          </cell>
          <cell r="N58">
            <v>-120.18664989801501</v>
          </cell>
          <cell r="O58">
            <v>-250.241311095686</v>
          </cell>
          <cell r="P58">
            <v>130.05466119766999</v>
          </cell>
          <cell r="Q58">
            <v>0.47865555681171201</v>
          </cell>
          <cell r="R58">
            <v>2547.8567358547398</v>
          </cell>
          <cell r="S58">
            <v>3081.307834062</v>
          </cell>
          <cell r="T58">
            <v>8.9662937382007105E-2</v>
          </cell>
          <cell r="U58">
            <v>0.19712278737977301</v>
          </cell>
          <cell r="V58">
            <v>1.0707196113719E-5</v>
          </cell>
          <cell r="W58">
            <v>130.05466119766999</v>
          </cell>
          <cell r="X58">
            <v>0.47865555681171201</v>
          </cell>
          <cell r="Y58">
            <v>2547.8567358547398</v>
          </cell>
          <cell r="Z58">
            <v>3081.307834062</v>
          </cell>
          <cell r="AA58">
            <v>8.9662937382007105E-2</v>
          </cell>
          <cell r="AB58">
            <v>0.19712278737977301</v>
          </cell>
          <cell r="AC58">
            <v>1.0707196113719E-5</v>
          </cell>
          <cell r="AD58">
            <v>0</v>
          </cell>
          <cell r="AE58">
            <v>0</v>
          </cell>
          <cell r="AF58">
            <v>0</v>
          </cell>
          <cell r="AG58">
            <v>0</v>
          </cell>
          <cell r="AH58">
            <v>0.119663889202928</v>
          </cell>
          <cell r="AI58">
            <v>636.96418396368495</v>
          </cell>
          <cell r="AJ58">
            <v>1.07878074306646</v>
          </cell>
          <cell r="AK58">
            <v>97.8629513343799</v>
          </cell>
          <cell r="AL58">
            <v>87.5</v>
          </cell>
          <cell r="AM58">
            <v>3822.45903649922</v>
          </cell>
          <cell r="AN58">
            <v>165.5625</v>
          </cell>
          <cell r="AO58">
            <v>0.25</v>
          </cell>
          <cell r="AP58">
            <v>0</v>
          </cell>
          <cell r="AQ58">
            <v>0.1</v>
          </cell>
          <cell r="AR58">
            <v>1.07878074306646</v>
          </cell>
          <cell r="AS58">
            <v>97.8629513343799</v>
          </cell>
          <cell r="AT58">
            <v>87.5</v>
          </cell>
          <cell r="AU58">
            <v>3822.45903649922</v>
          </cell>
          <cell r="AV58">
            <v>0</v>
          </cell>
          <cell r="AW58">
            <v>1.0783801020408199</v>
          </cell>
          <cell r="AX58">
            <v>4.0064102564102601E-4</v>
          </cell>
          <cell r="AY58">
            <v>0.1</v>
          </cell>
          <cell r="AZ58">
            <v>2.15756148613292</v>
          </cell>
          <cell r="BA58">
            <v>195.72590266876</v>
          </cell>
          <cell r="BB58">
            <v>87.5</v>
          </cell>
          <cell r="BC58">
            <v>7645.23057299843</v>
          </cell>
          <cell r="BD58">
            <v>0</v>
          </cell>
          <cell r="BE58">
            <v>2.1567602040816301</v>
          </cell>
          <cell r="BF58">
            <v>8.0128205128205104E-4</v>
          </cell>
          <cell r="BG58">
            <v>0.1</v>
          </cell>
          <cell r="BH58">
            <v>33.887500000000003</v>
          </cell>
          <cell r="BI58">
            <v>6.4812500000000002</v>
          </cell>
        </row>
        <row r="59">
          <cell r="A59" t="str">
            <v>Zellulose zwischen Holzträger (E2.D01)</v>
          </cell>
          <cell r="B59" t="str">
            <v>m³</v>
          </cell>
          <cell r="C59">
            <v>22</v>
          </cell>
          <cell r="D59" t="str">
            <v>E2-D-01-WD-AD_Holz-Zell</v>
          </cell>
          <cell r="E59">
            <v>3.125</v>
          </cell>
          <cell r="F59">
            <v>-28.7387497531295</v>
          </cell>
          <cell r="G59">
            <v>50</v>
          </cell>
          <cell r="H59">
            <v>120.5625</v>
          </cell>
          <cell r="I59">
            <v>0.25</v>
          </cell>
          <cell r="J59">
            <v>3.125</v>
          </cell>
          <cell r="K59">
            <v>0</v>
          </cell>
          <cell r="L59">
            <v>0</v>
          </cell>
          <cell r="M59">
            <v>123.9375</v>
          </cell>
          <cell r="N59">
            <v>-153.97581978285999</v>
          </cell>
          <cell r="O59">
            <v>-192.61187538498001</v>
          </cell>
          <cell r="P59">
            <v>38.636055602119797</v>
          </cell>
          <cell r="Q59">
            <v>0.22541644648825801</v>
          </cell>
          <cell r="R59">
            <v>580.20552360537795</v>
          </cell>
          <cell r="S59">
            <v>1916.58295559727</v>
          </cell>
          <cell r="T59">
            <v>5.44442132392743E-2</v>
          </cell>
          <cell r="U59">
            <v>9.7042456226085802E-2</v>
          </cell>
          <cell r="V59">
            <v>2.9268690696355202E-6</v>
          </cell>
          <cell r="W59">
            <v>38.636055602119797</v>
          </cell>
          <cell r="X59">
            <v>0.22541644648825801</v>
          </cell>
          <cell r="Y59">
            <v>580.20552360537795</v>
          </cell>
          <cell r="Z59">
            <v>1916.58295559727</v>
          </cell>
          <cell r="AA59">
            <v>5.44442132392743E-2</v>
          </cell>
          <cell r="AB59">
            <v>9.7042456226085802E-2</v>
          </cell>
          <cell r="AC59">
            <v>2.9268690696355202E-6</v>
          </cell>
          <cell r="AD59">
            <v>0</v>
          </cell>
          <cell r="AE59">
            <v>0</v>
          </cell>
          <cell r="AF59">
            <v>0</v>
          </cell>
          <cell r="AG59">
            <v>0</v>
          </cell>
          <cell r="AH59">
            <v>5.6354111622064502E-2</v>
          </cell>
          <cell r="AI59">
            <v>145.051380901344</v>
          </cell>
          <cell r="AJ59">
            <v>1.07878074306646</v>
          </cell>
          <cell r="AK59">
            <v>97.8629513343799</v>
          </cell>
          <cell r="AL59">
            <v>87.5</v>
          </cell>
          <cell r="AM59">
            <v>3822.45903649922</v>
          </cell>
          <cell r="AN59">
            <v>120.5625</v>
          </cell>
          <cell r="AO59">
            <v>0.25</v>
          </cell>
          <cell r="AP59">
            <v>0</v>
          </cell>
          <cell r="AQ59">
            <v>0.1</v>
          </cell>
          <cell r="AR59">
            <v>1.07878074306646</v>
          </cell>
          <cell r="AS59">
            <v>97.8629513343799</v>
          </cell>
          <cell r="AT59">
            <v>87.5</v>
          </cell>
          <cell r="AU59">
            <v>3822.45903649922</v>
          </cell>
          <cell r="AV59">
            <v>0</v>
          </cell>
          <cell r="AW59">
            <v>1.0783801020408199</v>
          </cell>
          <cell r="AX59">
            <v>4.0064102564102601E-4</v>
          </cell>
          <cell r="AY59">
            <v>0.1</v>
          </cell>
          <cell r="AZ59">
            <v>2.15756148613292</v>
          </cell>
          <cell r="BA59">
            <v>195.72590266876</v>
          </cell>
          <cell r="BB59">
            <v>87.5</v>
          </cell>
          <cell r="BC59">
            <v>7645.23057299843</v>
          </cell>
          <cell r="BD59">
            <v>0</v>
          </cell>
          <cell r="BE59">
            <v>2.1567602040816301</v>
          </cell>
          <cell r="BF59">
            <v>8.0128205128205104E-4</v>
          </cell>
          <cell r="BG59">
            <v>0.1</v>
          </cell>
          <cell r="BH59">
            <v>20.387499999999999</v>
          </cell>
          <cell r="BI59">
            <v>4.2312500000000002</v>
          </cell>
        </row>
        <row r="60">
          <cell r="A60" t="str">
            <v>Eigene Dämmung (E2.D.01.A)</v>
          </cell>
          <cell r="B60" t="str">
            <v>m³</v>
          </cell>
        </row>
        <row r="61">
          <cell r="A61" t="str">
            <v>Bitte auswählen</v>
          </cell>
        </row>
        <row r="62">
          <cell r="A62" t="str">
            <v>Zementestrich MW-T + EPS-Granulat</v>
          </cell>
          <cell r="B62" t="str">
            <v>m²</v>
          </cell>
          <cell r="C62">
            <v>23</v>
          </cell>
          <cell r="D62" t="str">
            <v>E2-d-01-Estr_Gw-EPSgran</v>
          </cell>
          <cell r="E62">
            <v>1</v>
          </cell>
          <cell r="F62">
            <v>-7.0850637365976699</v>
          </cell>
          <cell r="G62">
            <v>50</v>
          </cell>
          <cell r="H62">
            <v>0</v>
          </cell>
          <cell r="I62">
            <v>6.35</v>
          </cell>
          <cell r="J62">
            <v>0</v>
          </cell>
          <cell r="K62">
            <v>120</v>
          </cell>
          <cell r="L62">
            <v>2.04</v>
          </cell>
          <cell r="M62">
            <v>128.38999999999999</v>
          </cell>
          <cell r="N62">
            <v>27.753906061379102</v>
          </cell>
          <cell r="O62">
            <v>-5.1280954240919899E-2</v>
          </cell>
          <cell r="P62">
            <v>27.80518701562</v>
          </cell>
          <cell r="Q62">
            <v>9.0004274362539397E-2</v>
          </cell>
          <cell r="R62">
            <v>378.66146014501697</v>
          </cell>
          <cell r="S62">
            <v>35.7560209187439</v>
          </cell>
          <cell r="T62">
            <v>2.16983906791746E-2</v>
          </cell>
          <cell r="U62">
            <v>3.8647192595777403E-2</v>
          </cell>
          <cell r="V62">
            <v>1.1934950282103899E-6</v>
          </cell>
          <cell r="W62">
            <v>27.80518701562</v>
          </cell>
          <cell r="X62">
            <v>9.0004274362539397E-2</v>
          </cell>
          <cell r="Y62">
            <v>378.66146014501697</v>
          </cell>
          <cell r="Z62">
            <v>35.7560209187439</v>
          </cell>
          <cell r="AA62">
            <v>2.16983906791746E-2</v>
          </cell>
          <cell r="AB62">
            <v>3.8647192595777403E-2</v>
          </cell>
          <cell r="AC62">
            <v>1.1934950282103899E-6</v>
          </cell>
          <cell r="AD62">
            <v>0</v>
          </cell>
          <cell r="AE62">
            <v>0</v>
          </cell>
          <cell r="AF62">
            <v>0</v>
          </cell>
          <cell r="AG62">
            <v>0</v>
          </cell>
          <cell r="AH62">
            <v>2.2501068590634801E-2</v>
          </cell>
          <cell r="AI62">
            <v>94.665365036254201</v>
          </cell>
          <cell r="AJ62">
            <v>0.14010204081632699</v>
          </cell>
          <cell r="AK62">
            <v>27.030612244897998</v>
          </cell>
          <cell r="AL62">
            <v>50</v>
          </cell>
          <cell r="AM62">
            <v>337.78265306122398</v>
          </cell>
          <cell r="AN62">
            <v>0</v>
          </cell>
          <cell r="AO62">
            <v>6.35</v>
          </cell>
          <cell r="AP62">
            <v>0</v>
          </cell>
          <cell r="AQ62">
            <v>0.1</v>
          </cell>
          <cell r="AR62">
            <v>0.14010204081632699</v>
          </cell>
          <cell r="AS62">
            <v>27.030612244897998</v>
          </cell>
          <cell r="AT62">
            <v>50</v>
          </cell>
          <cell r="AU62">
            <v>337.882653061224</v>
          </cell>
          <cell r="AV62">
            <v>9.5000000000000001E-2</v>
          </cell>
          <cell r="AW62">
            <v>4.5102040816326502E-2</v>
          </cell>
          <cell r="AX62">
            <v>0</v>
          </cell>
          <cell r="AY62">
            <v>0</v>
          </cell>
          <cell r="AZ62">
            <v>0.28020408163265298</v>
          </cell>
          <cell r="BA62">
            <v>54.061224489795897</v>
          </cell>
          <cell r="BB62">
            <v>50</v>
          </cell>
          <cell r="BC62">
            <v>675.76530612244903</v>
          </cell>
          <cell r="BD62">
            <v>0.19</v>
          </cell>
          <cell r="BE62">
            <v>9.0204081632653102E-2</v>
          </cell>
          <cell r="BF62">
            <v>0</v>
          </cell>
          <cell r="BG62">
            <v>0</v>
          </cell>
          <cell r="BH62">
            <v>8.5169999999999995</v>
          </cell>
          <cell r="BI62">
            <v>6.4195000000000002</v>
          </cell>
        </row>
        <row r="63">
          <cell r="A63" t="str">
            <v>Trockenestrich (Spanplatte, Dibo, Glaswolle)</v>
          </cell>
          <cell r="B63" t="str">
            <v>m²</v>
          </cell>
          <cell r="C63">
            <v>24</v>
          </cell>
          <cell r="D63" t="str">
            <v>E2-d-01-Estr_Sp-Dibo-Gw</v>
          </cell>
          <cell r="E63">
            <v>1</v>
          </cell>
          <cell r="F63">
            <v>-15.3102625986884</v>
          </cell>
          <cell r="G63">
            <v>50</v>
          </cell>
          <cell r="H63">
            <v>21.76</v>
          </cell>
          <cell r="I63">
            <v>0</v>
          </cell>
          <cell r="J63">
            <v>0</v>
          </cell>
          <cell r="K63">
            <v>0</v>
          </cell>
          <cell r="L63">
            <v>2.75</v>
          </cell>
          <cell r="M63">
            <v>24.51</v>
          </cell>
          <cell r="N63">
            <v>-19.898162212759399</v>
          </cell>
          <cell r="O63">
            <v>-37.879026855541497</v>
          </cell>
          <cell r="P63">
            <v>17.980864642782201</v>
          </cell>
          <cell r="Q63">
            <v>8.3471709902219596E-2</v>
          </cell>
          <cell r="R63">
            <v>396.29609349426602</v>
          </cell>
          <cell r="S63">
            <v>474.98466614468703</v>
          </cell>
          <cell r="T63">
            <v>1.74870843364354E-2</v>
          </cell>
          <cell r="U63">
            <v>3.5919973383037401E-2</v>
          </cell>
          <cell r="V63">
            <v>1.21654258499493E-6</v>
          </cell>
          <cell r="W63">
            <v>17.980864642782201</v>
          </cell>
          <cell r="X63">
            <v>8.3471709902219596E-2</v>
          </cell>
          <cell r="Y63">
            <v>396.29609349426602</v>
          </cell>
          <cell r="Z63">
            <v>474.98466614468703</v>
          </cell>
          <cell r="AA63">
            <v>1.74870843364354E-2</v>
          </cell>
          <cell r="AB63">
            <v>3.5919973383037401E-2</v>
          </cell>
          <cell r="AC63">
            <v>1.21654258499493E-6</v>
          </cell>
          <cell r="AD63">
            <v>0</v>
          </cell>
          <cell r="AE63">
            <v>0</v>
          </cell>
          <cell r="AF63">
            <v>0</v>
          </cell>
          <cell r="AG63">
            <v>0</v>
          </cell>
          <cell r="AH63">
            <v>2.0867927475554899E-2</v>
          </cell>
          <cell r="AI63">
            <v>99.074023373566405</v>
          </cell>
          <cell r="AJ63">
            <v>1.022</v>
          </cell>
          <cell r="AK63">
            <v>306.60000000000002</v>
          </cell>
          <cell r="AL63">
            <v>37.5</v>
          </cell>
          <cell r="AM63">
            <v>3832.4</v>
          </cell>
          <cell r="AN63">
            <v>21.76</v>
          </cell>
          <cell r="AO63">
            <v>0</v>
          </cell>
          <cell r="AP63">
            <v>0</v>
          </cell>
          <cell r="AQ63">
            <v>0.1</v>
          </cell>
          <cell r="AR63">
            <v>1.022</v>
          </cell>
          <cell r="AS63">
            <v>306.60000000000002</v>
          </cell>
          <cell r="AT63">
            <v>37.5</v>
          </cell>
          <cell r="AU63">
            <v>3832.5</v>
          </cell>
          <cell r="AV63">
            <v>0.08</v>
          </cell>
          <cell r="AW63">
            <v>0.48699999999999999</v>
          </cell>
          <cell r="AX63">
            <v>0.45500000000000002</v>
          </cell>
          <cell r="AY63">
            <v>0</v>
          </cell>
          <cell r="AZ63">
            <v>2.044</v>
          </cell>
          <cell r="BA63">
            <v>613.20000000000005</v>
          </cell>
          <cell r="BB63">
            <v>37.5</v>
          </cell>
          <cell r="BC63">
            <v>7665</v>
          </cell>
          <cell r="BD63">
            <v>0.16</v>
          </cell>
          <cell r="BE63">
            <v>0.97399999999999998</v>
          </cell>
          <cell r="BF63">
            <v>0.91</v>
          </cell>
          <cell r="BG63">
            <v>0</v>
          </cell>
          <cell r="BH63">
            <v>7.3529999999999998</v>
          </cell>
          <cell r="BI63">
            <v>1.2255</v>
          </cell>
        </row>
        <row r="64">
          <cell r="A64" t="str">
            <v>Trockenestrich (Spanplatte, Dibo, Schafwolle)</v>
          </cell>
          <cell r="B64" t="str">
            <v>m²</v>
          </cell>
          <cell r="C64">
            <v>25</v>
          </cell>
          <cell r="D64" t="str">
            <v>E2-d-01-Estr_Sp-Dibo-Schaf</v>
          </cell>
          <cell r="E64">
            <v>1</v>
          </cell>
          <cell r="F64">
            <v>-19.545837926085401</v>
          </cell>
          <cell r="G64">
            <v>50</v>
          </cell>
          <cell r="H64">
            <v>24.16</v>
          </cell>
          <cell r="I64">
            <v>0</v>
          </cell>
          <cell r="J64">
            <v>0</v>
          </cell>
          <cell r="K64">
            <v>0</v>
          </cell>
          <cell r="L64">
            <v>0.91</v>
          </cell>
          <cell r="M64">
            <v>25.07</v>
          </cell>
          <cell r="N64">
            <v>-23.123989999594102</v>
          </cell>
          <cell r="O64">
            <v>-41.738077194595903</v>
          </cell>
          <cell r="P64">
            <v>18.614087195001801</v>
          </cell>
          <cell r="Q64">
            <v>6.5166449622320002E-2</v>
          </cell>
          <cell r="R64">
            <v>358.57901372612798</v>
          </cell>
          <cell r="S64">
            <v>471.33596421591199</v>
          </cell>
          <cell r="T64">
            <v>1.6115276067150502E-2</v>
          </cell>
          <cell r="U64">
            <v>2.7224889414923799E-2</v>
          </cell>
          <cell r="V64">
            <v>1.08010083768423E-6</v>
          </cell>
          <cell r="W64">
            <v>18.614087195001801</v>
          </cell>
          <cell r="X64">
            <v>6.5166449622320002E-2</v>
          </cell>
          <cell r="Y64">
            <v>358.57901372612798</v>
          </cell>
          <cell r="Z64">
            <v>471.33596421591199</v>
          </cell>
          <cell r="AA64">
            <v>1.6115276067150502E-2</v>
          </cell>
          <cell r="AB64">
            <v>2.7224889414923799E-2</v>
          </cell>
          <cell r="AC64">
            <v>1.08010083768423E-6</v>
          </cell>
          <cell r="AD64">
            <v>0</v>
          </cell>
          <cell r="AE64">
            <v>0</v>
          </cell>
          <cell r="AF64">
            <v>0</v>
          </cell>
          <cell r="AG64">
            <v>0</v>
          </cell>
          <cell r="AH64">
            <v>1.6291612405580001E-2</v>
          </cell>
          <cell r="AI64">
            <v>89.644753431531996</v>
          </cell>
          <cell r="AJ64">
            <v>1.022</v>
          </cell>
          <cell r="AK64">
            <v>306.60000000000002</v>
          </cell>
          <cell r="AL64">
            <v>37.5</v>
          </cell>
          <cell r="AM64">
            <v>3832.4</v>
          </cell>
          <cell r="AN64">
            <v>24.16</v>
          </cell>
          <cell r="AO64">
            <v>0</v>
          </cell>
          <cell r="AP64">
            <v>0</v>
          </cell>
          <cell r="AQ64">
            <v>0.1</v>
          </cell>
          <cell r="AR64">
            <v>1.022</v>
          </cell>
          <cell r="AS64">
            <v>306.60000000000002</v>
          </cell>
          <cell r="AT64">
            <v>37.5</v>
          </cell>
          <cell r="AU64">
            <v>3832.5</v>
          </cell>
          <cell r="AV64">
            <v>0</v>
          </cell>
          <cell r="AW64">
            <v>0.56699999999999995</v>
          </cell>
          <cell r="AX64">
            <v>0.45500000000000002</v>
          </cell>
          <cell r="AY64">
            <v>0</v>
          </cell>
          <cell r="AZ64">
            <v>2.044</v>
          </cell>
          <cell r="BA64">
            <v>613.20000000000005</v>
          </cell>
          <cell r="BB64">
            <v>37.5</v>
          </cell>
          <cell r="BC64">
            <v>7665</v>
          </cell>
          <cell r="BD64">
            <v>0</v>
          </cell>
          <cell r="BE64">
            <v>1.1339999999999999</v>
          </cell>
          <cell r="BF64">
            <v>0.91</v>
          </cell>
          <cell r="BG64">
            <v>0</v>
          </cell>
          <cell r="BH64">
            <v>7.5209999999999999</v>
          </cell>
          <cell r="BI64">
            <v>1.2535000000000001</v>
          </cell>
        </row>
        <row r="65">
          <cell r="A65" t="str">
            <v>Trockenestrich (Gipsfaserplatte, Dibo, Glaswolle)</v>
          </cell>
          <cell r="B65" t="str">
            <v>m²</v>
          </cell>
          <cell r="C65">
            <v>26</v>
          </cell>
          <cell r="D65" t="str">
            <v>E2-d-01-Estr_GFP-Dibo-Gw</v>
          </cell>
          <cell r="E65">
            <v>1</v>
          </cell>
          <cell r="F65">
            <v>-11.233092881740699</v>
          </cell>
          <cell r="G65">
            <v>50</v>
          </cell>
          <cell r="H65">
            <v>0</v>
          </cell>
          <cell r="I65">
            <v>0</v>
          </cell>
          <cell r="J65">
            <v>0</v>
          </cell>
          <cell r="K65">
            <v>0</v>
          </cell>
          <cell r="L65">
            <v>38.15</v>
          </cell>
          <cell r="M65">
            <v>38.15</v>
          </cell>
          <cell r="N65">
            <v>10.5810215919931</v>
          </cell>
          <cell r="O65">
            <v>-10.335691173099599</v>
          </cell>
          <cell r="P65">
            <v>20.9167127650928</v>
          </cell>
          <cell r="Q65">
            <v>9.4584013529318403E-2</v>
          </cell>
          <cell r="R65">
            <v>321.76605147053903</v>
          </cell>
          <cell r="S65">
            <v>30.918017171412401</v>
          </cell>
          <cell r="T65">
            <v>9.7328406029877305E-3</v>
          </cell>
          <cell r="U65">
            <v>3.6074343918221098E-2</v>
          </cell>
          <cell r="V65">
            <v>2.0078893117973601E-6</v>
          </cell>
          <cell r="W65">
            <v>20.9167127650928</v>
          </cell>
          <cell r="X65">
            <v>9.4584013529318403E-2</v>
          </cell>
          <cell r="Y65">
            <v>321.76605147053903</v>
          </cell>
          <cell r="Z65">
            <v>30.918017171412401</v>
          </cell>
          <cell r="AA65">
            <v>9.7328406029877305E-3</v>
          </cell>
          <cell r="AB65">
            <v>3.6074343918221098E-2</v>
          </cell>
          <cell r="AC65">
            <v>2.0078893117973601E-6</v>
          </cell>
          <cell r="AD65">
            <v>0</v>
          </cell>
          <cell r="AE65">
            <v>0</v>
          </cell>
          <cell r="AF65">
            <v>0</v>
          </cell>
          <cell r="AG65">
            <v>0</v>
          </cell>
          <cell r="AH65">
            <v>2.3646003382329601E-2</v>
          </cell>
          <cell r="AI65">
            <v>80.4415128676347</v>
          </cell>
          <cell r="AJ65">
            <v>1.02</v>
          </cell>
          <cell r="AK65">
            <v>306</v>
          </cell>
          <cell r="AL65">
            <v>37.5</v>
          </cell>
          <cell r="AM65">
            <v>3825</v>
          </cell>
          <cell r="AN65">
            <v>0</v>
          </cell>
          <cell r="AO65">
            <v>0</v>
          </cell>
          <cell r="AP65">
            <v>0</v>
          </cell>
          <cell r="AQ65">
            <v>0</v>
          </cell>
          <cell r="AR65">
            <v>1.02</v>
          </cell>
          <cell r="AS65">
            <v>306</v>
          </cell>
          <cell r="AT65">
            <v>37.5</v>
          </cell>
          <cell r="AU65">
            <v>3825</v>
          </cell>
          <cell r="AV65">
            <v>0.11</v>
          </cell>
          <cell r="AW65">
            <v>0.45500000000000002</v>
          </cell>
          <cell r="AX65">
            <v>0.45500000000000002</v>
          </cell>
          <cell r="AY65">
            <v>0</v>
          </cell>
          <cell r="AZ65">
            <v>2.04</v>
          </cell>
          <cell r="BA65">
            <v>612</v>
          </cell>
          <cell r="BB65">
            <v>37.5</v>
          </cell>
          <cell r="BC65">
            <v>7650</v>
          </cell>
          <cell r="BD65">
            <v>0.22</v>
          </cell>
          <cell r="BE65">
            <v>0.91</v>
          </cell>
          <cell r="BF65">
            <v>0.91</v>
          </cell>
          <cell r="BG65">
            <v>0</v>
          </cell>
          <cell r="BH65">
            <v>11.445</v>
          </cell>
          <cell r="BI65">
            <v>1.9075</v>
          </cell>
        </row>
        <row r="66">
          <cell r="A66" t="str">
            <v>Trockenestrich (Gipsfaserplatte, Dibo, Schafwolle)</v>
          </cell>
          <cell r="B66" t="str">
            <v>m²</v>
          </cell>
          <cell r="C66">
            <v>27</v>
          </cell>
          <cell r="D66" t="str">
            <v>E2-d-01-Estr_GFP-Dibo</v>
          </cell>
          <cell r="E66">
            <v>1</v>
          </cell>
          <cell r="F66">
            <v>-15.4686682091377</v>
          </cell>
          <cell r="G66">
            <v>50</v>
          </cell>
          <cell r="H66">
            <v>2.4</v>
          </cell>
          <cell r="I66">
            <v>0</v>
          </cell>
          <cell r="J66">
            <v>0</v>
          </cell>
          <cell r="K66">
            <v>0</v>
          </cell>
          <cell r="L66">
            <v>36.31</v>
          </cell>
          <cell r="M66">
            <v>38.71</v>
          </cell>
          <cell r="N66">
            <v>7.3551938051584198</v>
          </cell>
          <cell r="O66">
            <v>-14.194741512154</v>
          </cell>
          <cell r="P66">
            <v>21.5499353173124</v>
          </cell>
          <cell r="Q66">
            <v>7.6278753249418796E-2</v>
          </cell>
          <cell r="R66">
            <v>284.04897170240099</v>
          </cell>
          <cell r="S66">
            <v>27.269315242637798</v>
          </cell>
          <cell r="T66">
            <v>8.3610323337028197E-3</v>
          </cell>
          <cell r="U66">
            <v>2.7379259950107499E-2</v>
          </cell>
          <cell r="V66">
            <v>1.8714475644866699E-6</v>
          </cell>
          <cell r="W66">
            <v>21.5499353173124</v>
          </cell>
          <cell r="X66">
            <v>7.6278753249418796E-2</v>
          </cell>
          <cell r="Y66">
            <v>284.04897170240099</v>
          </cell>
          <cell r="Z66">
            <v>27.269315242637798</v>
          </cell>
          <cell r="AA66">
            <v>8.3610323337028197E-3</v>
          </cell>
          <cell r="AB66">
            <v>2.7379259950107499E-2</v>
          </cell>
          <cell r="AC66">
            <v>1.8714475644866699E-6</v>
          </cell>
          <cell r="AD66">
            <v>0</v>
          </cell>
          <cell r="AE66">
            <v>0</v>
          </cell>
          <cell r="AF66">
            <v>0</v>
          </cell>
          <cell r="AG66">
            <v>0</v>
          </cell>
          <cell r="AH66">
            <v>1.9069688312354699E-2</v>
          </cell>
          <cell r="AI66">
            <v>71.012242925600304</v>
          </cell>
          <cell r="AJ66">
            <v>1.02</v>
          </cell>
          <cell r="AK66">
            <v>306</v>
          </cell>
          <cell r="AL66">
            <v>37.5</v>
          </cell>
          <cell r="AM66">
            <v>3824.9</v>
          </cell>
          <cell r="AN66">
            <v>2.4</v>
          </cell>
          <cell r="AO66">
            <v>0</v>
          </cell>
          <cell r="AP66">
            <v>0</v>
          </cell>
          <cell r="AQ66">
            <v>0.1</v>
          </cell>
          <cell r="AR66">
            <v>1.02</v>
          </cell>
          <cell r="AS66">
            <v>306</v>
          </cell>
          <cell r="AT66">
            <v>37.5</v>
          </cell>
          <cell r="AU66">
            <v>3825</v>
          </cell>
          <cell r="AV66">
            <v>0.03</v>
          </cell>
          <cell r="AW66">
            <v>0.53500000000000003</v>
          </cell>
          <cell r="AX66">
            <v>0.45500000000000002</v>
          </cell>
          <cell r="AY66">
            <v>0</v>
          </cell>
          <cell r="AZ66">
            <v>2.04</v>
          </cell>
          <cell r="BA66">
            <v>612</v>
          </cell>
          <cell r="BB66">
            <v>37.5</v>
          </cell>
          <cell r="BC66">
            <v>7650</v>
          </cell>
          <cell r="BD66">
            <v>0.06</v>
          </cell>
          <cell r="BE66">
            <v>1.07</v>
          </cell>
          <cell r="BF66">
            <v>0.91</v>
          </cell>
          <cell r="BG66">
            <v>0</v>
          </cell>
          <cell r="BH66">
            <v>11.613</v>
          </cell>
          <cell r="BI66">
            <v>1.9355</v>
          </cell>
        </row>
        <row r="67">
          <cell r="A67" t="str">
            <v>Eigener Estrich (E2.D.01)</v>
          </cell>
          <cell r="B67" t="str">
            <v>m²</v>
          </cell>
        </row>
        <row r="68">
          <cell r="A68" t="str">
            <v>Bitte auswählen</v>
          </cell>
        </row>
        <row r="69">
          <cell r="A69" t="str">
            <v>Stahlbetonstiege</v>
          </cell>
          <cell r="B69" t="str">
            <v>m²</v>
          </cell>
          <cell r="C69">
            <v>1</v>
          </cell>
          <cell r="D69" t="str">
            <v>E2-D-02-STIEGE-STB</v>
          </cell>
          <cell r="E69">
            <v>1</v>
          </cell>
          <cell r="F69">
            <v>34.474161374066902</v>
          </cell>
          <cell r="G69">
            <v>100</v>
          </cell>
          <cell r="H69">
            <v>0</v>
          </cell>
          <cell r="I69">
            <v>0</v>
          </cell>
          <cell r="J69">
            <v>31.2</v>
          </cell>
          <cell r="K69">
            <v>470.4</v>
          </cell>
          <cell r="L69">
            <v>0</v>
          </cell>
          <cell r="M69">
            <v>501.6</v>
          </cell>
          <cell r="N69">
            <v>81.806999216823996</v>
          </cell>
          <cell r="O69">
            <v>-0.138636912058062</v>
          </cell>
          <cell r="P69">
            <v>81.9456361288821</v>
          </cell>
          <cell r="Q69">
            <v>0.217626679341278</v>
          </cell>
          <cell r="R69">
            <v>844.68312777277401</v>
          </cell>
          <cell r="S69">
            <v>29.005089995492199</v>
          </cell>
          <cell r="T69">
            <v>4.0552498010033897E-2</v>
          </cell>
          <cell r="U69">
            <v>0.134832199730575</v>
          </cell>
          <cell r="V69">
            <v>2.73538191385571E-6</v>
          </cell>
          <cell r="W69">
            <v>0</v>
          </cell>
          <cell r="X69">
            <v>0</v>
          </cell>
          <cell r="Y69">
            <v>0</v>
          </cell>
          <cell r="Z69">
            <v>0</v>
          </cell>
          <cell r="AA69">
            <v>0</v>
          </cell>
          <cell r="AB69">
            <v>0</v>
          </cell>
          <cell r="AC69">
            <v>0</v>
          </cell>
          <cell r="AD69">
            <v>0</v>
          </cell>
          <cell r="AE69">
            <v>0</v>
          </cell>
          <cell r="AF69">
            <v>0</v>
          </cell>
          <cell r="AG69">
            <v>0</v>
          </cell>
          <cell r="AH69">
            <v>5.4406669835319603E-2</v>
          </cell>
          <cell r="AI69">
            <v>211.17078194319299</v>
          </cell>
          <cell r="AJ69">
            <v>0.2</v>
          </cell>
          <cell r="AK69">
            <v>11</v>
          </cell>
          <cell r="AL69">
            <v>25</v>
          </cell>
          <cell r="AM69">
            <v>137.4</v>
          </cell>
          <cell r="AN69">
            <v>0</v>
          </cell>
          <cell r="AO69">
            <v>0</v>
          </cell>
          <cell r="AP69">
            <v>31.2</v>
          </cell>
          <cell r="AQ69">
            <v>0.1</v>
          </cell>
          <cell r="AR69">
            <v>0</v>
          </cell>
          <cell r="AS69">
            <v>0</v>
          </cell>
          <cell r="AT69">
            <v>25</v>
          </cell>
          <cell r="AU69">
            <v>0</v>
          </cell>
          <cell r="AV69">
            <v>0</v>
          </cell>
          <cell r="AW69">
            <v>0</v>
          </cell>
          <cell r="AX69">
            <v>0</v>
          </cell>
          <cell r="AY69">
            <v>0</v>
          </cell>
          <cell r="AZ69">
            <v>0.2</v>
          </cell>
          <cell r="BA69">
            <v>11</v>
          </cell>
          <cell r="BB69">
            <v>25</v>
          </cell>
          <cell r="BC69">
            <v>137.4</v>
          </cell>
          <cell r="BD69">
            <v>0.19600000000000001</v>
          </cell>
          <cell r="BE69">
            <v>0</v>
          </cell>
          <cell r="BF69">
            <v>4.0000000000000001E-3</v>
          </cell>
          <cell r="BG69">
            <v>0.1</v>
          </cell>
          <cell r="BH69">
            <v>32.880000000000003</v>
          </cell>
          <cell r="BI69">
            <v>25.08</v>
          </cell>
        </row>
        <row r="70">
          <cell r="A70" t="str">
            <v>Eigene Stiege</v>
          </cell>
          <cell r="B70" t="str">
            <v>m²</v>
          </cell>
        </row>
        <row r="71">
          <cell r="A71" t="str">
            <v>Bitte auswählen</v>
          </cell>
        </row>
        <row r="72">
          <cell r="A72" t="str">
            <v>Stahlbeton 20 cm</v>
          </cell>
          <cell r="B72" t="str">
            <v>m²</v>
          </cell>
          <cell r="C72">
            <v>1</v>
          </cell>
          <cell r="D72" t="str">
            <v>E2-D-03-STB</v>
          </cell>
          <cell r="E72">
            <v>1</v>
          </cell>
          <cell r="F72">
            <v>24.6762159926955</v>
          </cell>
          <cell r="G72">
            <v>100</v>
          </cell>
          <cell r="H72">
            <v>0</v>
          </cell>
          <cell r="I72">
            <v>0</v>
          </cell>
          <cell r="J72">
            <v>23.4</v>
          </cell>
          <cell r="K72">
            <v>475.5</v>
          </cell>
          <cell r="L72">
            <v>0</v>
          </cell>
          <cell r="M72">
            <v>498.9</v>
          </cell>
          <cell r="N72">
            <v>73.1949656499268</v>
          </cell>
          <cell r="O72">
            <v>-0.121396623275774</v>
          </cell>
          <cell r="P72">
            <v>73.3163622732026</v>
          </cell>
          <cell r="Q72">
            <v>0.186558564278207</v>
          </cell>
          <cell r="R72">
            <v>718.07739441840295</v>
          </cell>
          <cell r="S72">
            <v>25.179878579445599</v>
          </cell>
          <cell r="T72">
            <v>3.3617604434529803E-2</v>
          </cell>
          <cell r="U72">
            <v>0.115242974280372</v>
          </cell>
          <cell r="V72">
            <v>2.34857898268099E-6</v>
          </cell>
          <cell r="W72">
            <v>0</v>
          </cell>
          <cell r="X72">
            <v>0</v>
          </cell>
          <cell r="Y72">
            <v>0</v>
          </cell>
          <cell r="Z72">
            <v>0</v>
          </cell>
          <cell r="AA72">
            <v>0</v>
          </cell>
          <cell r="AB72">
            <v>0</v>
          </cell>
          <cell r="AC72">
            <v>0</v>
          </cell>
          <cell r="AD72">
            <v>0</v>
          </cell>
          <cell r="AE72">
            <v>0</v>
          </cell>
          <cell r="AF72">
            <v>0</v>
          </cell>
          <cell r="AG72">
            <v>0</v>
          </cell>
          <cell r="AH72">
            <v>4.6639641069551797E-2</v>
          </cell>
          <cell r="AI72">
            <v>179.51934860460099</v>
          </cell>
          <cell r="AJ72">
            <v>0.20300000000000001</v>
          </cell>
          <cell r="AK72">
            <v>11.65</v>
          </cell>
          <cell r="AL72">
            <v>37.5</v>
          </cell>
          <cell r="AM72">
            <v>145.52500000000001</v>
          </cell>
          <cell r="AN72">
            <v>0</v>
          </cell>
          <cell r="AO72">
            <v>0</v>
          </cell>
          <cell r="AP72">
            <v>23.4</v>
          </cell>
          <cell r="AQ72">
            <v>0.1</v>
          </cell>
          <cell r="AR72">
            <v>-2.7755575615628901E-17</v>
          </cell>
          <cell r="AS72">
            <v>-1.38777878078145E-15</v>
          </cell>
          <cell r="AT72">
            <v>37.5</v>
          </cell>
          <cell r="AU72">
            <v>-1.7347234759768099E-14</v>
          </cell>
          <cell r="AV72">
            <v>-2.7755575615628901E-17</v>
          </cell>
          <cell r="AW72">
            <v>0</v>
          </cell>
          <cell r="AX72">
            <v>0</v>
          </cell>
          <cell r="AY72">
            <v>0</v>
          </cell>
          <cell r="AZ72">
            <v>0.20300000000000001</v>
          </cell>
          <cell r="BA72">
            <v>11.65</v>
          </cell>
          <cell r="BB72">
            <v>37.5</v>
          </cell>
          <cell r="BC72">
            <v>145.52500000000001</v>
          </cell>
          <cell r="BD72">
            <v>0.2</v>
          </cell>
          <cell r="BE72">
            <v>0</v>
          </cell>
          <cell r="BF72">
            <v>3.0000000000000001E-3</v>
          </cell>
          <cell r="BG72">
            <v>0.1</v>
          </cell>
          <cell r="BH72">
            <v>31.47</v>
          </cell>
          <cell r="BI72">
            <v>24.945</v>
          </cell>
        </row>
        <row r="73">
          <cell r="A73" t="str">
            <v>Holzmassivdach 20 cm mit Alu-Bitumenbahn</v>
          </cell>
          <cell r="B73" t="str">
            <v>m²</v>
          </cell>
          <cell r="C73">
            <v>2</v>
          </cell>
          <cell r="D73" t="str">
            <v>E2-D-03-HM</v>
          </cell>
          <cell r="E73">
            <v>1</v>
          </cell>
          <cell r="F73">
            <v>4.4537322892932902</v>
          </cell>
          <cell r="G73">
            <v>50</v>
          </cell>
          <cell r="H73">
            <v>88</v>
          </cell>
          <cell r="I73">
            <v>0</v>
          </cell>
          <cell r="J73">
            <v>0</v>
          </cell>
          <cell r="K73">
            <v>0</v>
          </cell>
          <cell r="L73">
            <v>3.4</v>
          </cell>
          <cell r="M73">
            <v>91.4</v>
          </cell>
          <cell r="N73">
            <v>-93.323250931382802</v>
          </cell>
          <cell r="O73">
            <v>-135.479559576269</v>
          </cell>
          <cell r="P73">
            <v>42.156308644886799</v>
          </cell>
          <cell r="Q73">
            <v>0.22168774460466201</v>
          </cell>
          <cell r="R73">
            <v>803.47724491706401</v>
          </cell>
          <cell r="S73">
            <v>1555.93703740211</v>
          </cell>
          <cell r="T73">
            <v>6.9862448351050793E-2</v>
          </cell>
          <cell r="U73">
            <v>8.5481499784770501E-2</v>
          </cell>
          <cell r="V73">
            <v>4.2377032614541697E-6</v>
          </cell>
          <cell r="W73">
            <v>3.8181111222249702</v>
          </cell>
          <cell r="X73">
            <v>2.2545792819006202E-2</v>
          </cell>
          <cell r="Y73">
            <v>146.676887652434</v>
          </cell>
          <cell r="Z73">
            <v>4.7705525608908497</v>
          </cell>
          <cell r="AA73">
            <v>3.2264262312492798E-3</v>
          </cell>
          <cell r="AB73">
            <v>4.9069999229710403E-3</v>
          </cell>
          <cell r="AC73">
            <v>1.01547140124066E-6</v>
          </cell>
          <cell r="AD73">
            <v>0</v>
          </cell>
          <cell r="AE73">
            <v>0</v>
          </cell>
          <cell r="AF73">
            <v>0</v>
          </cell>
          <cell r="AG73">
            <v>0</v>
          </cell>
          <cell r="AH73">
            <v>5.5421936151165599E-2</v>
          </cell>
          <cell r="AI73">
            <v>200.869311229266</v>
          </cell>
          <cell r="AJ73">
            <v>0.202967045437352</v>
          </cell>
          <cell r="AK73">
            <v>40.890113631205502</v>
          </cell>
          <cell r="AL73">
            <v>37.5</v>
          </cell>
          <cell r="AM73">
            <v>511.02642039006798</v>
          </cell>
          <cell r="AN73">
            <v>88</v>
          </cell>
          <cell r="AO73">
            <v>0</v>
          </cell>
          <cell r="AP73">
            <v>0</v>
          </cell>
          <cell r="AQ73">
            <v>0.1</v>
          </cell>
          <cell r="AR73">
            <v>2.9670454373515302E-3</v>
          </cell>
          <cell r="AS73">
            <v>0.89011363120545905</v>
          </cell>
          <cell r="AT73">
            <v>37.5</v>
          </cell>
          <cell r="AU73">
            <v>11.0264203900682</v>
          </cell>
          <cell r="AV73">
            <v>0</v>
          </cell>
          <cell r="AW73">
            <v>2.9670454373515302E-3</v>
          </cell>
          <cell r="AX73">
            <v>0</v>
          </cell>
          <cell r="AY73">
            <v>0.1</v>
          </cell>
          <cell r="AZ73">
            <v>0.20593409087470299</v>
          </cell>
          <cell r="BA73">
            <v>41.780227262410897</v>
          </cell>
          <cell r="BB73">
            <v>37.5</v>
          </cell>
          <cell r="BC73">
            <v>522.15284078013599</v>
          </cell>
          <cell r="BD73">
            <v>0</v>
          </cell>
          <cell r="BE73">
            <v>5.9340908747030604E-3</v>
          </cell>
          <cell r="BF73">
            <v>0</v>
          </cell>
          <cell r="BG73">
            <v>0.1</v>
          </cell>
          <cell r="BH73">
            <v>18.62</v>
          </cell>
          <cell r="BI73">
            <v>4.57</v>
          </cell>
        </row>
        <row r="74">
          <cell r="A74" t="str">
            <v>Holzleichtdach Innenschale + PE-Dampfbremse</v>
          </cell>
          <cell r="B74" t="str">
            <v>m²</v>
          </cell>
          <cell r="C74">
            <v>3</v>
          </cell>
          <cell r="D74" t="str">
            <v>E2-D-03-HO-Innen-PE</v>
          </cell>
          <cell r="E74">
            <v>1</v>
          </cell>
          <cell r="F74">
            <v>-28.667738396743399</v>
          </cell>
          <cell r="G74">
            <v>50</v>
          </cell>
          <cell r="H74">
            <v>14.96</v>
          </cell>
          <cell r="I74">
            <v>0.2</v>
          </cell>
          <cell r="J74">
            <v>0</v>
          </cell>
          <cell r="K74">
            <v>0</v>
          </cell>
          <cell r="L74">
            <v>0</v>
          </cell>
          <cell r="M74">
            <v>15.16</v>
          </cell>
          <cell r="N74">
            <v>-18.308106870917101</v>
          </cell>
          <cell r="O74">
            <v>-26.035576154658401</v>
          </cell>
          <cell r="P74">
            <v>7.7274692837412902</v>
          </cell>
          <cell r="Q74">
            <v>3.0233193868173799E-2</v>
          </cell>
          <cell r="R74">
            <v>200.575606979588</v>
          </cell>
          <cell r="S74">
            <v>319.78572763163999</v>
          </cell>
          <cell r="T74">
            <v>9.1797921702306707E-3</v>
          </cell>
          <cell r="U74">
            <v>1.23168131301676E-2</v>
          </cell>
          <cell r="V74">
            <v>3.9989215442940499E-7</v>
          </cell>
          <cell r="W74">
            <v>7.7274692837412902</v>
          </cell>
          <cell r="X74">
            <v>3.0233193868173799E-2</v>
          </cell>
          <cell r="Y74">
            <v>200.575606979588</v>
          </cell>
          <cell r="Z74">
            <v>319.78572763163999</v>
          </cell>
          <cell r="AA74">
            <v>9.1797921702306707E-3</v>
          </cell>
          <cell r="AB74">
            <v>1.23168131301676E-2</v>
          </cell>
          <cell r="AC74">
            <v>3.9989215442940499E-7</v>
          </cell>
          <cell r="AD74">
            <v>0</v>
          </cell>
          <cell r="AE74">
            <v>0</v>
          </cell>
          <cell r="AF74">
            <v>0</v>
          </cell>
          <cell r="AG74">
            <v>0</v>
          </cell>
          <cell r="AH74">
            <v>7.5582984670434497E-3</v>
          </cell>
          <cell r="AI74">
            <v>50.143901744897001</v>
          </cell>
          <cell r="AJ74">
            <v>2.2204081632653101E-2</v>
          </cell>
          <cell r="AK74">
            <v>6.6612244897959201</v>
          </cell>
          <cell r="AL74">
            <v>25</v>
          </cell>
          <cell r="AM74">
            <v>83.165306122448996</v>
          </cell>
          <cell r="AN74">
            <v>14.96</v>
          </cell>
          <cell r="AO74">
            <v>0.2</v>
          </cell>
          <cell r="AP74">
            <v>0</v>
          </cell>
          <cell r="AQ74">
            <v>0.1</v>
          </cell>
          <cell r="AR74">
            <v>2.2204081632653101E-2</v>
          </cell>
          <cell r="AS74">
            <v>6.6612244897959201</v>
          </cell>
          <cell r="AT74">
            <v>25</v>
          </cell>
          <cell r="AU74">
            <v>83.165306122448996</v>
          </cell>
          <cell r="AV74">
            <v>0</v>
          </cell>
          <cell r="AW74">
            <v>2.2204081632653101E-2</v>
          </cell>
          <cell r="AX74">
            <v>0</v>
          </cell>
          <cell r="AY74">
            <v>0.1</v>
          </cell>
          <cell r="AZ74">
            <v>4.4408163265306097E-2</v>
          </cell>
          <cell r="BA74">
            <v>13.322448979591799</v>
          </cell>
          <cell r="BB74">
            <v>25</v>
          </cell>
          <cell r="BC74">
            <v>166.43061224489799</v>
          </cell>
          <cell r="BD74">
            <v>0</v>
          </cell>
          <cell r="BE74">
            <v>4.4408163265306097E-2</v>
          </cell>
          <cell r="BF74">
            <v>0</v>
          </cell>
          <cell r="BG74">
            <v>0.1</v>
          </cell>
          <cell r="BH74">
            <v>4.548</v>
          </cell>
          <cell r="BI74">
            <v>0.75800000000000001</v>
          </cell>
        </row>
        <row r="75">
          <cell r="A75" t="str">
            <v>Holzleichtdach Innenschale + Alu-Dampfsperre</v>
          </cell>
          <cell r="B75" t="str">
            <v>m²</v>
          </cell>
          <cell r="C75">
            <v>4</v>
          </cell>
          <cell r="D75" t="str">
            <v>E2-D-03-HO-Innen-Alu</v>
          </cell>
          <cell r="E75">
            <v>1</v>
          </cell>
          <cell r="F75">
            <v>-21.847681997158801</v>
          </cell>
          <cell r="G75">
            <v>100</v>
          </cell>
          <cell r="H75">
            <v>12.24</v>
          </cell>
          <cell r="I75">
            <v>0</v>
          </cell>
          <cell r="J75">
            <v>0.2</v>
          </cell>
          <cell r="K75">
            <v>0</v>
          </cell>
          <cell r="L75">
            <v>0.2</v>
          </cell>
          <cell r="M75">
            <v>12.44</v>
          </cell>
          <cell r="N75">
            <v>-8.7899581379079201</v>
          </cell>
          <cell r="O75">
            <v>-21.313098817085098</v>
          </cell>
          <cell r="P75">
            <v>12.5231406791772</v>
          </cell>
          <cell r="Q75">
            <v>5.4470142195152199E-2</v>
          </cell>
          <cell r="R75">
            <v>260.63876199416802</v>
          </cell>
          <cell r="S75">
            <v>273.02418319653202</v>
          </cell>
          <cell r="T75">
            <v>9.2247183578826192E-3</v>
          </cell>
          <cell r="U75">
            <v>2.82885258878251E-2</v>
          </cell>
          <cell r="V75">
            <v>6.3898328776140097E-7</v>
          </cell>
          <cell r="W75">
            <v>12.5231406791772</v>
          </cell>
          <cell r="X75">
            <v>5.4470142195152199E-2</v>
          </cell>
          <cell r="Y75">
            <v>260.63876199416802</v>
          </cell>
          <cell r="Z75">
            <v>273.02418319653202</v>
          </cell>
          <cell r="AA75">
            <v>9.2247183578826192E-3</v>
          </cell>
          <cell r="AB75">
            <v>2.82885258878251E-2</v>
          </cell>
          <cell r="AC75">
            <v>6.3898328776140097E-7</v>
          </cell>
          <cell r="AD75">
            <v>0</v>
          </cell>
          <cell r="AE75">
            <v>0</v>
          </cell>
          <cell r="AF75">
            <v>0</v>
          </cell>
          <cell r="AG75">
            <v>0</v>
          </cell>
          <cell r="AH75">
            <v>1.3617535548787999E-2</v>
          </cell>
          <cell r="AI75">
            <v>65.159690498542105</v>
          </cell>
          <cell r="AJ75">
            <v>1.80740740740741E-2</v>
          </cell>
          <cell r="AK75">
            <v>5.4222222222222198</v>
          </cell>
          <cell r="AL75">
            <v>25</v>
          </cell>
          <cell r="AM75">
            <v>67.677777777777806</v>
          </cell>
          <cell r="AN75">
            <v>12.24</v>
          </cell>
          <cell r="AO75">
            <v>0</v>
          </cell>
          <cell r="AP75">
            <v>0.2</v>
          </cell>
          <cell r="AQ75">
            <v>0.1</v>
          </cell>
          <cell r="AR75">
            <v>1.80740740740741E-2</v>
          </cell>
          <cell r="AS75">
            <v>5.4222222222222198</v>
          </cell>
          <cell r="AT75">
            <v>25</v>
          </cell>
          <cell r="AU75">
            <v>67.677777777777806</v>
          </cell>
          <cell r="AV75">
            <v>0</v>
          </cell>
          <cell r="AW75">
            <v>1.80740740740741E-2</v>
          </cell>
          <cell r="AX75">
            <v>0</v>
          </cell>
          <cell r="AY75">
            <v>0.1</v>
          </cell>
          <cell r="AZ75">
            <v>3.6148148148148103E-2</v>
          </cell>
          <cell r="BA75">
            <v>10.844444444444401</v>
          </cell>
          <cell r="BB75">
            <v>25</v>
          </cell>
          <cell r="BC75">
            <v>135.455555555556</v>
          </cell>
          <cell r="BD75">
            <v>0</v>
          </cell>
          <cell r="BE75">
            <v>3.6148148148148103E-2</v>
          </cell>
          <cell r="BF75">
            <v>0</v>
          </cell>
          <cell r="BG75">
            <v>0.1</v>
          </cell>
          <cell r="BH75">
            <v>3.7320000000000002</v>
          </cell>
          <cell r="BI75">
            <v>0.622</v>
          </cell>
        </row>
        <row r="76">
          <cell r="A76" t="str">
            <v>Eigene Dachkonstruktion</v>
          </cell>
          <cell r="B76" t="str">
            <v>m²</v>
          </cell>
        </row>
        <row r="77">
          <cell r="A77" t="str">
            <v>Bitte auswählen</v>
          </cell>
        </row>
        <row r="78">
          <cell r="A78" t="str">
            <v>Glaswolle zw. Brettschichtholz, tragend</v>
          </cell>
          <cell r="B78" t="str">
            <v>m³</v>
          </cell>
          <cell r="C78">
            <v>5</v>
          </cell>
          <cell r="D78" t="str">
            <v>E2-D-03-HO-SD_Gw</v>
          </cell>
          <cell r="E78">
            <v>1</v>
          </cell>
          <cell r="F78">
            <v>3.3901835492994001</v>
          </cell>
          <cell r="G78">
            <v>100</v>
          </cell>
          <cell r="H78">
            <v>32.0672</v>
          </cell>
          <cell r="I78">
            <v>0.2</v>
          </cell>
          <cell r="J78">
            <v>0</v>
          </cell>
          <cell r="K78">
            <v>0</v>
          </cell>
          <cell r="L78">
            <v>6.5087999999999999</v>
          </cell>
          <cell r="M78">
            <v>38.776000000000003</v>
          </cell>
          <cell r="N78">
            <v>-23.472785891627399</v>
          </cell>
          <cell r="O78">
            <v>-54.2938652886941</v>
          </cell>
          <cell r="P78">
            <v>30.8210793970668</v>
          </cell>
          <cell r="Q78">
            <v>0.170254554877564</v>
          </cell>
          <cell r="R78">
            <v>628.05121642686402</v>
          </cell>
          <cell r="S78">
            <v>762.36543676222095</v>
          </cell>
          <cell r="T78">
            <v>3.199259051877E-2</v>
          </cell>
          <cell r="U78">
            <v>7.55704701595281E-2</v>
          </cell>
          <cell r="V78">
            <v>2.6039959267037902E-6</v>
          </cell>
          <cell r="W78">
            <v>30.8210793970668</v>
          </cell>
          <cell r="X78">
            <v>0.170254554877564</v>
          </cell>
          <cell r="Y78">
            <v>628.05121642686402</v>
          </cell>
          <cell r="Z78">
            <v>762.36543676222095</v>
          </cell>
          <cell r="AA78">
            <v>3.199259051877E-2</v>
          </cell>
          <cell r="AB78">
            <v>7.55704701595281E-2</v>
          </cell>
          <cell r="AC78">
            <v>2.6039959267037902E-6</v>
          </cell>
          <cell r="AD78">
            <v>0</v>
          </cell>
          <cell r="AE78">
            <v>0</v>
          </cell>
          <cell r="AF78">
            <v>0</v>
          </cell>
          <cell r="AG78">
            <v>0</v>
          </cell>
          <cell r="AH78">
            <v>4.2563638719390902E-2</v>
          </cell>
          <cell r="AI78">
            <v>157.012804106716</v>
          </cell>
          <cell r="AJ78">
            <v>0.38220408163265301</v>
          </cell>
          <cell r="AK78">
            <v>111.205224489796</v>
          </cell>
          <cell r="AL78">
            <v>50</v>
          </cell>
          <cell r="AM78">
            <v>1389.9653061224501</v>
          </cell>
          <cell r="AN78">
            <v>32.0672</v>
          </cell>
          <cell r="AO78">
            <v>0.2</v>
          </cell>
          <cell r="AP78">
            <v>0</v>
          </cell>
          <cell r="AQ78">
            <v>0.1</v>
          </cell>
          <cell r="AR78">
            <v>0.38220408163265301</v>
          </cell>
          <cell r="AS78">
            <v>111.205224489796</v>
          </cell>
          <cell r="AT78">
            <v>50</v>
          </cell>
          <cell r="AU78">
            <v>1390.06530612245</v>
          </cell>
          <cell r="AV78">
            <v>0.32544000000000001</v>
          </cell>
          <cell r="AW78">
            <v>5.6764081632653098E-2</v>
          </cell>
          <cell r="AX78">
            <v>0</v>
          </cell>
          <cell r="AY78">
            <v>0</v>
          </cell>
          <cell r="AZ78">
            <v>0.76440816326530603</v>
          </cell>
          <cell r="BA78">
            <v>222.41044897959199</v>
          </cell>
          <cell r="BB78">
            <v>50</v>
          </cell>
          <cell r="BC78">
            <v>2780.1306122449</v>
          </cell>
          <cell r="BD78">
            <v>0.65088000000000001</v>
          </cell>
          <cell r="BE78">
            <v>0.113528163265306</v>
          </cell>
          <cell r="BF78">
            <v>0</v>
          </cell>
          <cell r="BG78">
            <v>0</v>
          </cell>
          <cell r="BH78">
            <v>9.9220799999999993</v>
          </cell>
          <cell r="BI78">
            <v>1.9388000000000001</v>
          </cell>
        </row>
        <row r="79">
          <cell r="A79" t="str">
            <v>Hanf zw. Brettschichtholz, tragend</v>
          </cell>
          <cell r="B79" t="str">
            <v>m³</v>
          </cell>
          <cell r="C79">
            <v>6</v>
          </cell>
          <cell r="D79" t="str">
            <v>E2-D-03-HO-SD_Hanf</v>
          </cell>
          <cell r="E79">
            <v>1</v>
          </cell>
          <cell r="F79">
            <v>14.0243179306038</v>
          </cell>
          <cell r="G79">
            <v>100</v>
          </cell>
          <cell r="H79">
            <v>44.769599999999997</v>
          </cell>
          <cell r="I79">
            <v>0</v>
          </cell>
          <cell r="J79">
            <v>0</v>
          </cell>
          <cell r="K79">
            <v>0</v>
          </cell>
          <cell r="L79">
            <v>0</v>
          </cell>
          <cell r="M79">
            <v>44.769599999999997</v>
          </cell>
          <cell r="N79">
            <v>-18.9958662434898</v>
          </cell>
          <cell r="O79">
            <v>-65.564072596135901</v>
          </cell>
          <cell r="P79">
            <v>46.568206352646001</v>
          </cell>
          <cell r="Q79">
            <v>0.17148326385336601</v>
          </cell>
          <cell r="R79">
            <v>919.77581372210204</v>
          </cell>
          <cell r="S79">
            <v>862.14475302095502</v>
          </cell>
          <cell r="T79">
            <v>2.79291905699336E-2</v>
          </cell>
          <cell r="U79">
            <v>7.0563641342533401E-2</v>
          </cell>
          <cell r="V79">
            <v>3.9004410814163703E-6</v>
          </cell>
          <cell r="W79">
            <v>46.568206352646001</v>
          </cell>
          <cell r="X79">
            <v>0.17148326385336601</v>
          </cell>
          <cell r="Y79">
            <v>919.77581372210204</v>
          </cell>
          <cell r="Z79">
            <v>862.14475302095502</v>
          </cell>
          <cell r="AA79">
            <v>2.79291905699336E-2</v>
          </cell>
          <cell r="AB79">
            <v>7.0563641342533401E-2</v>
          </cell>
          <cell r="AC79">
            <v>3.9004410814163703E-6</v>
          </cell>
          <cell r="AD79">
            <v>0</v>
          </cell>
          <cell r="AE79">
            <v>0</v>
          </cell>
          <cell r="AF79">
            <v>0</v>
          </cell>
          <cell r="AG79">
            <v>0</v>
          </cell>
          <cell r="AH79">
            <v>4.2870815963341399E-2</v>
          </cell>
          <cell r="AI79">
            <v>229.943953430525</v>
          </cell>
          <cell r="AJ79">
            <v>0.36</v>
          </cell>
          <cell r="AK79">
            <v>104.544</v>
          </cell>
          <cell r="AL79">
            <v>25</v>
          </cell>
          <cell r="AM79">
            <v>1306.7</v>
          </cell>
          <cell r="AN79">
            <v>44.769599999999997</v>
          </cell>
          <cell r="AO79">
            <v>0</v>
          </cell>
          <cell r="AP79">
            <v>0</v>
          </cell>
          <cell r="AQ79">
            <v>0.1</v>
          </cell>
          <cell r="AR79">
            <v>0.36</v>
          </cell>
          <cell r="AS79">
            <v>104.544</v>
          </cell>
          <cell r="AT79">
            <v>25</v>
          </cell>
          <cell r="AU79">
            <v>1306.7</v>
          </cell>
          <cell r="AV79">
            <v>0</v>
          </cell>
          <cell r="AW79">
            <v>0.36</v>
          </cell>
          <cell r="AX79">
            <v>0</v>
          </cell>
          <cell r="AY79">
            <v>0.1</v>
          </cell>
          <cell r="AZ79">
            <v>0.72</v>
          </cell>
          <cell r="BA79">
            <v>209.08799999999999</v>
          </cell>
          <cell r="BB79">
            <v>25</v>
          </cell>
          <cell r="BC79">
            <v>2613.5</v>
          </cell>
          <cell r="BD79">
            <v>0</v>
          </cell>
          <cell r="BE79">
            <v>0.72</v>
          </cell>
          <cell r="BF79">
            <v>0</v>
          </cell>
          <cell r="BG79">
            <v>0.1</v>
          </cell>
          <cell r="BH79">
            <v>11.72016</v>
          </cell>
          <cell r="BI79">
            <v>2.23848</v>
          </cell>
        </row>
        <row r="80">
          <cell r="A80" t="str">
            <v>Schafwolle zw. Brettschichtholz, tragend</v>
          </cell>
          <cell r="B80" t="str">
            <v>m³</v>
          </cell>
          <cell r="C80">
            <v>7</v>
          </cell>
          <cell r="D80" t="str">
            <v>E2-D-03-HO-SD_Schaf</v>
          </cell>
          <cell r="E80">
            <v>1</v>
          </cell>
          <cell r="F80">
            <v>-17.607386536849699</v>
          </cell>
          <cell r="G80">
            <v>100</v>
          </cell>
          <cell r="H80">
            <v>26.8704</v>
          </cell>
          <cell r="I80">
            <v>0</v>
          </cell>
          <cell r="J80">
            <v>0</v>
          </cell>
          <cell r="K80">
            <v>0</v>
          </cell>
          <cell r="L80">
            <v>0</v>
          </cell>
          <cell r="M80">
            <v>26.8704</v>
          </cell>
          <cell r="N80">
            <v>-15.891701466289399</v>
          </cell>
          <cell r="O80">
            <v>-43.956905913309001</v>
          </cell>
          <cell r="P80">
            <v>28.0652044470196</v>
          </cell>
          <cell r="Q80">
            <v>8.0510053040294002E-2</v>
          </cell>
          <cell r="R80">
            <v>319.19669906477998</v>
          </cell>
          <cell r="S80">
            <v>430.39509670001098</v>
          </cell>
          <cell r="T80">
            <v>1.8861770993958998E-2</v>
          </cell>
          <cell r="U80">
            <v>3.46270306859418E-2</v>
          </cell>
          <cell r="V80">
            <v>1.88714608276065E-6</v>
          </cell>
          <cell r="W80">
            <v>28.0652044470196</v>
          </cell>
          <cell r="X80">
            <v>8.0510053040294002E-2</v>
          </cell>
          <cell r="Y80">
            <v>319.19669906477998</v>
          </cell>
          <cell r="Z80">
            <v>430.39509670001098</v>
          </cell>
          <cell r="AA80">
            <v>1.8861770993958998E-2</v>
          </cell>
          <cell r="AB80">
            <v>3.46270306859418E-2</v>
          </cell>
          <cell r="AC80">
            <v>1.88714608276065E-6</v>
          </cell>
          <cell r="AD80">
            <v>0</v>
          </cell>
          <cell r="AE80">
            <v>0</v>
          </cell>
          <cell r="AF80">
            <v>0</v>
          </cell>
          <cell r="AG80">
            <v>0</v>
          </cell>
          <cell r="AH80">
            <v>2.0127513260073501E-2</v>
          </cell>
          <cell r="AI80">
            <v>79.799174766194994</v>
          </cell>
          <cell r="AJ80">
            <v>0.36</v>
          </cell>
          <cell r="AK80">
            <v>104.544</v>
          </cell>
          <cell r="AL80">
            <v>25</v>
          </cell>
          <cell r="AM80">
            <v>1306.7</v>
          </cell>
          <cell r="AN80">
            <v>26.8704</v>
          </cell>
          <cell r="AO80">
            <v>0</v>
          </cell>
          <cell r="AP80">
            <v>0</v>
          </cell>
          <cell r="AQ80">
            <v>0.1</v>
          </cell>
          <cell r="AR80">
            <v>0.36</v>
          </cell>
          <cell r="AS80">
            <v>104.544</v>
          </cell>
          <cell r="AT80">
            <v>25</v>
          </cell>
          <cell r="AU80">
            <v>1306.7</v>
          </cell>
          <cell r="AV80">
            <v>0</v>
          </cell>
          <cell r="AW80">
            <v>0.36</v>
          </cell>
          <cell r="AX80">
            <v>0</v>
          </cell>
          <cell r="AY80">
            <v>0.1</v>
          </cell>
          <cell r="AZ80">
            <v>0.72</v>
          </cell>
          <cell r="BA80">
            <v>209.08799999999999</v>
          </cell>
          <cell r="BB80">
            <v>25</v>
          </cell>
          <cell r="BC80">
            <v>2613.5</v>
          </cell>
          <cell r="BD80">
            <v>0</v>
          </cell>
          <cell r="BE80">
            <v>0.72</v>
          </cell>
          <cell r="BF80">
            <v>0</v>
          </cell>
          <cell r="BG80">
            <v>0.1</v>
          </cell>
          <cell r="BH80">
            <v>6.3503999999999996</v>
          </cell>
          <cell r="BI80">
            <v>1.34352</v>
          </cell>
        </row>
        <row r="81">
          <cell r="A81" t="str">
            <v>Zellulose zw. Brettschichtholz, tragend</v>
          </cell>
          <cell r="B81" t="str">
            <v>m³</v>
          </cell>
          <cell r="C81">
            <v>8</v>
          </cell>
          <cell r="D81" t="str">
            <v>E2-D-03-HO-SD_Zell</v>
          </cell>
          <cell r="E81">
            <v>1</v>
          </cell>
          <cell r="F81">
            <v>-19.267718102021799</v>
          </cell>
          <cell r="G81">
            <v>100</v>
          </cell>
          <cell r="H81">
            <v>36.907200000000003</v>
          </cell>
          <cell r="I81">
            <v>0</v>
          </cell>
          <cell r="J81">
            <v>0</v>
          </cell>
          <cell r="K81">
            <v>0</v>
          </cell>
          <cell r="L81">
            <v>0</v>
          </cell>
          <cell r="M81">
            <v>36.907200000000003</v>
          </cell>
          <cell r="N81">
            <v>-38.654961193584597</v>
          </cell>
          <cell r="O81">
            <v>-56.8829374589723</v>
          </cell>
          <cell r="P81">
            <v>18.227976265387898</v>
          </cell>
          <cell r="Q81">
            <v>0.109139500661944</v>
          </cell>
          <cell r="R81">
            <v>268.685260259492</v>
          </cell>
          <cell r="S81">
            <v>452.88362959961</v>
          </cell>
          <cell r="T81">
            <v>1.75895774556785E-2</v>
          </cell>
          <cell r="U81">
            <v>4.6252044780296903E-2</v>
          </cell>
          <cell r="V81">
            <v>1.4342410227906399E-6</v>
          </cell>
          <cell r="W81">
            <v>18.227976265387898</v>
          </cell>
          <cell r="X81">
            <v>0.109139500661944</v>
          </cell>
          <cell r="Y81">
            <v>268.685260259492</v>
          </cell>
          <cell r="Z81">
            <v>452.88362959961</v>
          </cell>
          <cell r="AA81">
            <v>1.75895774556785E-2</v>
          </cell>
          <cell r="AB81">
            <v>4.6252044780296903E-2</v>
          </cell>
          <cell r="AC81">
            <v>1.4342410227906399E-6</v>
          </cell>
          <cell r="AD81">
            <v>0</v>
          </cell>
          <cell r="AE81">
            <v>0</v>
          </cell>
          <cell r="AF81">
            <v>0</v>
          </cell>
          <cell r="AG81">
            <v>0</v>
          </cell>
          <cell r="AH81">
            <v>2.7284875165486101E-2</v>
          </cell>
          <cell r="AI81">
            <v>67.1713150648729</v>
          </cell>
          <cell r="AJ81">
            <v>0.39456000000000002</v>
          </cell>
          <cell r="AK81">
            <v>114.91200000000001</v>
          </cell>
          <cell r="AL81">
            <v>25</v>
          </cell>
          <cell r="AM81">
            <v>1436.3</v>
          </cell>
          <cell r="AN81">
            <v>36.907200000000003</v>
          </cell>
          <cell r="AO81">
            <v>0</v>
          </cell>
          <cell r="AP81">
            <v>0</v>
          </cell>
          <cell r="AQ81">
            <v>0.1</v>
          </cell>
          <cell r="AR81">
            <v>0.39456000000000002</v>
          </cell>
          <cell r="AS81">
            <v>114.91200000000001</v>
          </cell>
          <cell r="AT81">
            <v>25</v>
          </cell>
          <cell r="AU81">
            <v>1436.3</v>
          </cell>
          <cell r="AV81">
            <v>0</v>
          </cell>
          <cell r="AW81">
            <v>0.39456000000000002</v>
          </cell>
          <cell r="AX81">
            <v>0</v>
          </cell>
          <cell r="AY81">
            <v>0.1</v>
          </cell>
          <cell r="AZ81">
            <v>0.78912000000000004</v>
          </cell>
          <cell r="BA81">
            <v>229.82400000000001</v>
          </cell>
          <cell r="BB81">
            <v>25</v>
          </cell>
          <cell r="BC81">
            <v>2872.7</v>
          </cell>
          <cell r="BD81">
            <v>0</v>
          </cell>
          <cell r="BE81">
            <v>0.78912000000000004</v>
          </cell>
          <cell r="BF81">
            <v>0</v>
          </cell>
          <cell r="BG81">
            <v>0.1</v>
          </cell>
          <cell r="BH81">
            <v>9.36144</v>
          </cell>
          <cell r="BI81">
            <v>1.8453599999999999</v>
          </cell>
        </row>
        <row r="82">
          <cell r="A82" t="str">
            <v>Glaswolle zw. Doppel-T-Träger, nicht tragend</v>
          </cell>
          <cell r="B82" t="str">
            <v>m³</v>
          </cell>
          <cell r="C82">
            <v>10</v>
          </cell>
          <cell r="D82" t="str">
            <v>E2-D-03-GW</v>
          </cell>
          <cell r="E82">
            <v>2.7777777777777799</v>
          </cell>
          <cell r="F82">
            <v>-6.3650807588875304</v>
          </cell>
          <cell r="G82">
            <v>50</v>
          </cell>
          <cell r="H82">
            <v>17.4631111111111</v>
          </cell>
          <cell r="I82">
            <v>0</v>
          </cell>
          <cell r="J82">
            <v>1.3888888888888899</v>
          </cell>
          <cell r="K82">
            <v>0</v>
          </cell>
          <cell r="L82">
            <v>19.399999999999999</v>
          </cell>
          <cell r="M82">
            <v>38.252000000000002</v>
          </cell>
          <cell r="N82">
            <v>26.9072636789924</v>
          </cell>
          <cell r="O82">
            <v>-27.994608418062398</v>
          </cell>
          <cell r="P82">
            <v>54.901872097054799</v>
          </cell>
          <cell r="Q82">
            <v>0.33291456971936101</v>
          </cell>
          <cell r="R82">
            <v>1031.1597839314099</v>
          </cell>
          <cell r="S82">
            <v>440.259391427629</v>
          </cell>
          <cell r="T82">
            <v>4.1527652073554397E-2</v>
          </cell>
          <cell r="U82">
            <v>0.14955107115593499</v>
          </cell>
          <cell r="V82">
            <v>5.2501891836103901E-6</v>
          </cell>
          <cell r="W82">
            <v>54.901872097054799</v>
          </cell>
          <cell r="X82">
            <v>0.33291456971936101</v>
          </cell>
          <cell r="Y82">
            <v>1031.1597839314099</v>
          </cell>
          <cell r="Z82">
            <v>440.259391427629</v>
          </cell>
          <cell r="AA82">
            <v>4.1527652073554397E-2</v>
          </cell>
          <cell r="AB82">
            <v>0.14955107115593499</v>
          </cell>
          <cell r="AC82">
            <v>5.2501891836103901E-6</v>
          </cell>
          <cell r="AD82">
            <v>0</v>
          </cell>
          <cell r="AE82">
            <v>0</v>
          </cell>
          <cell r="AF82">
            <v>0</v>
          </cell>
          <cell r="AG82">
            <v>0</v>
          </cell>
          <cell r="AH82">
            <v>8.3228642429840197E-2</v>
          </cell>
          <cell r="AI82">
            <v>257.789945982853</v>
          </cell>
          <cell r="AJ82">
            <v>1.00040028490028</v>
          </cell>
          <cell r="AK82">
            <v>107.531230769231</v>
          </cell>
          <cell r="AL82">
            <v>62.5</v>
          </cell>
          <cell r="AM82">
            <v>3733.7232905982901</v>
          </cell>
          <cell r="AN82">
            <v>17.4631111111111</v>
          </cell>
          <cell r="AO82">
            <v>0</v>
          </cell>
          <cell r="AP82">
            <v>1.3888888888888899</v>
          </cell>
          <cell r="AQ82">
            <v>0</v>
          </cell>
          <cell r="AR82">
            <v>19.399999999999999</v>
          </cell>
          <cell r="AS82">
            <v>2095.1999999999998</v>
          </cell>
          <cell r="AT82">
            <v>62.5</v>
          </cell>
          <cell r="AU82">
            <v>72749.722222222204</v>
          </cell>
          <cell r="AV82">
            <v>19.399999999999999</v>
          </cell>
          <cell r="AW82">
            <v>0</v>
          </cell>
          <cell r="AX82">
            <v>0</v>
          </cell>
          <cell r="AY82">
            <v>0.1</v>
          </cell>
          <cell r="AZ82">
            <v>20.4004002849003</v>
          </cell>
          <cell r="BA82">
            <v>2202.73123076923</v>
          </cell>
          <cell r="BB82">
            <v>62.5</v>
          </cell>
          <cell r="BC82">
            <v>76483.445512820501</v>
          </cell>
          <cell r="BD82">
            <v>20.37</v>
          </cell>
          <cell r="BE82">
            <v>3.0222222222222199E-2</v>
          </cell>
          <cell r="BF82">
            <v>1.7806267806267799E-4</v>
          </cell>
          <cell r="BG82">
            <v>0.1</v>
          </cell>
          <cell r="BH82">
            <v>10.7644888888889</v>
          </cell>
          <cell r="BI82">
            <v>1.9126000000000001</v>
          </cell>
        </row>
        <row r="83">
          <cell r="A83" t="str">
            <v>Hanf zw. Doppel-T-Träger, nicht tragend</v>
          </cell>
          <cell r="B83" t="str">
            <v>m³</v>
          </cell>
          <cell r="C83">
            <v>12</v>
          </cell>
          <cell r="D83" t="str">
            <v>E2-D-03-Hanf</v>
          </cell>
          <cell r="E83">
            <v>2.7777777777777799</v>
          </cell>
          <cell r="F83">
            <v>13.270690743720399</v>
          </cell>
          <cell r="G83">
            <v>50</v>
          </cell>
          <cell r="H83">
            <v>99.913111111111107</v>
          </cell>
          <cell r="I83">
            <v>0</v>
          </cell>
          <cell r="J83">
            <v>1.3888888888888899</v>
          </cell>
          <cell r="K83">
            <v>0</v>
          </cell>
          <cell r="L83">
            <v>0</v>
          </cell>
          <cell r="M83">
            <v>101.30200000000001</v>
          </cell>
          <cell r="N83">
            <v>-14.317698237478201</v>
          </cell>
          <cell r="O83">
            <v>-139.18748562503501</v>
          </cell>
          <cell r="P83">
            <v>124.869787387556</v>
          </cell>
          <cell r="Q83">
            <v>0.42668929242909698</v>
          </cell>
          <cell r="R83">
            <v>2498.4999945588102</v>
          </cell>
          <cell r="S83">
            <v>1690.8066277036301</v>
          </cell>
          <cell r="T83">
            <v>5.6777469105119202E-2</v>
          </cell>
          <cell r="U83">
            <v>0.17133906520638301</v>
          </cell>
          <cell r="V83">
            <v>1.03062584740102E-5</v>
          </cell>
          <cell r="W83">
            <v>124.869787387556</v>
          </cell>
          <cell r="X83">
            <v>0.42668929242909698</v>
          </cell>
          <cell r="Y83">
            <v>2498.4999945588102</v>
          </cell>
          <cell r="Z83">
            <v>1690.8066277036301</v>
          </cell>
          <cell r="AA83">
            <v>5.6777469105119202E-2</v>
          </cell>
          <cell r="AB83">
            <v>0.17133906520638301</v>
          </cell>
          <cell r="AC83">
            <v>1.03062584740102E-5</v>
          </cell>
          <cell r="AD83">
            <v>0</v>
          </cell>
          <cell r="AE83">
            <v>0</v>
          </cell>
          <cell r="AF83">
            <v>0</v>
          </cell>
          <cell r="AG83">
            <v>0</v>
          </cell>
          <cell r="AH83">
            <v>0.10667232310727399</v>
          </cell>
          <cell r="AI83">
            <v>624.62499863970299</v>
          </cell>
          <cell r="AJ83">
            <v>1.00040028490028</v>
          </cell>
          <cell r="AK83">
            <v>107.531230769231</v>
          </cell>
          <cell r="AL83">
            <v>62.5</v>
          </cell>
          <cell r="AM83">
            <v>3733.44551282051</v>
          </cell>
          <cell r="AN83">
            <v>99.913111111111107</v>
          </cell>
          <cell r="AO83">
            <v>0</v>
          </cell>
          <cell r="AP83">
            <v>0</v>
          </cell>
          <cell r="AQ83">
            <v>0.1</v>
          </cell>
          <cell r="AR83">
            <v>1.00040028490028</v>
          </cell>
          <cell r="AS83">
            <v>107.531230769231</v>
          </cell>
          <cell r="AT83">
            <v>62.5</v>
          </cell>
          <cell r="AU83">
            <v>3733.44551282051</v>
          </cell>
          <cell r="AV83">
            <v>0</v>
          </cell>
          <cell r="AW83">
            <v>1.0002222222222199</v>
          </cell>
          <cell r="AX83">
            <v>1.7806267806267799E-4</v>
          </cell>
          <cell r="AY83">
            <v>0.1</v>
          </cell>
          <cell r="AZ83">
            <v>2.0008005698005702</v>
          </cell>
          <cell r="BA83">
            <v>215.062461538462</v>
          </cell>
          <cell r="BB83">
            <v>62.5</v>
          </cell>
          <cell r="BC83">
            <v>7467.1688034188001</v>
          </cell>
          <cell r="BD83">
            <v>0</v>
          </cell>
          <cell r="BE83">
            <v>2.0004444444444398</v>
          </cell>
          <cell r="BF83">
            <v>3.5612535612535598E-4</v>
          </cell>
          <cell r="BG83">
            <v>0.1</v>
          </cell>
          <cell r="BH83">
            <v>29.679488888888901</v>
          </cell>
          <cell r="BI83">
            <v>5.0651000000000002</v>
          </cell>
        </row>
        <row r="84">
          <cell r="A84" t="str">
            <v>Schafwolle zw. Doppel-T-Träger, nicht tragend</v>
          </cell>
          <cell r="B84" t="str">
            <v>m³</v>
          </cell>
          <cell r="C84">
            <v>11</v>
          </cell>
          <cell r="D84" t="str">
            <v>E2-D-03-Schaf</v>
          </cell>
          <cell r="E84">
            <v>2.7777777777777799</v>
          </cell>
          <cell r="F84">
            <v>-20.670408076445501</v>
          </cell>
          <cell r="G84">
            <v>50</v>
          </cell>
          <cell r="H84">
            <v>46.563111111111098</v>
          </cell>
          <cell r="I84">
            <v>0</v>
          </cell>
          <cell r="J84">
            <v>1.3888888888888899</v>
          </cell>
          <cell r="K84">
            <v>0</v>
          </cell>
          <cell r="L84">
            <v>0</v>
          </cell>
          <cell r="M84">
            <v>47.951999999999998</v>
          </cell>
          <cell r="N84">
            <v>-5.0654863585315804</v>
          </cell>
          <cell r="O84" t="e">
            <v>#VALUE!</v>
          </cell>
          <cell r="P84">
            <v>69.7201074205651</v>
          </cell>
          <cell r="Q84">
            <v>0.15553634722051901</v>
          </cell>
          <cell r="R84">
            <v>708.42581431790097</v>
          </cell>
          <cell r="S84">
            <v>403.94217763198998</v>
          </cell>
          <cell r="T84">
            <v>2.97512984171419E-2</v>
          </cell>
          <cell r="U84">
            <v>6.4227117268532793E-2</v>
          </cell>
          <cell r="V84">
            <v>4.3054713897672102E-6</v>
          </cell>
          <cell r="W84">
            <v>69.7201074205651</v>
          </cell>
          <cell r="X84">
            <v>0.15553634722051901</v>
          </cell>
          <cell r="Y84">
            <v>708.42581431790097</v>
          </cell>
          <cell r="Z84">
            <v>403.94217763198998</v>
          </cell>
          <cell r="AA84">
            <v>2.97512984171419E-2</v>
          </cell>
          <cell r="AB84">
            <v>6.4227117268532793E-2</v>
          </cell>
          <cell r="AC84">
            <v>4.3054713897672102E-6</v>
          </cell>
          <cell r="AD84">
            <v>0</v>
          </cell>
          <cell r="AE84">
            <v>0</v>
          </cell>
          <cell r="AF84">
            <v>0</v>
          </cell>
          <cell r="AG84">
            <v>0</v>
          </cell>
          <cell r="AH84">
            <v>3.8884086805129801E-2</v>
          </cell>
          <cell r="AI84">
            <v>177.10645357947499</v>
          </cell>
          <cell r="AJ84">
            <v>1.00040028490028</v>
          </cell>
          <cell r="AK84">
            <v>3.8188307692307699</v>
          </cell>
          <cell r="AL84">
            <v>50.75</v>
          </cell>
          <cell r="AM84">
            <v>98.405790598290594</v>
          </cell>
          <cell r="AN84">
            <v>46.563111111111098</v>
          </cell>
          <cell r="AO84">
            <v>0</v>
          </cell>
          <cell r="AP84">
            <v>1.3888888888888899</v>
          </cell>
          <cell r="AQ84">
            <v>0</v>
          </cell>
          <cell r="AR84">
            <v>0</v>
          </cell>
          <cell r="AS84">
            <v>0</v>
          </cell>
          <cell r="AT84">
            <v>50.75</v>
          </cell>
          <cell r="AU84">
            <v>0</v>
          </cell>
          <cell r="AV84">
            <v>0</v>
          </cell>
          <cell r="AW84">
            <v>0</v>
          </cell>
          <cell r="AX84">
            <v>0</v>
          </cell>
          <cell r="AY84">
            <v>0</v>
          </cell>
          <cell r="AZ84">
            <v>1.00040028490028</v>
          </cell>
          <cell r="BA84">
            <v>3.8188307692307699</v>
          </cell>
          <cell r="BB84">
            <v>50.75</v>
          </cell>
          <cell r="BC84">
            <v>98.128012820512794</v>
          </cell>
          <cell r="BD84">
            <v>0</v>
          </cell>
          <cell r="BE84">
            <v>1.0002222222222199</v>
          </cell>
          <cell r="BF84">
            <v>1.7806267806267799E-4</v>
          </cell>
          <cell r="BG84">
            <v>0.1</v>
          </cell>
          <cell r="BH84">
            <v>5.0317888888888902</v>
          </cell>
          <cell r="BI84">
            <v>1.0299</v>
          </cell>
        </row>
        <row r="85">
          <cell r="A85" t="str">
            <v>Zellulose zw. Doppel-T-Träger, nicht tragend</v>
          </cell>
          <cell r="B85" t="str">
            <v>m³</v>
          </cell>
          <cell r="C85">
            <v>13</v>
          </cell>
          <cell r="D85" t="str">
            <v>E2-D-03-Zell</v>
          </cell>
          <cell r="E85">
            <v>2.7777777777777799</v>
          </cell>
          <cell r="F85">
            <v>-27.4635345613247</v>
          </cell>
          <cell r="G85">
            <v>50</v>
          </cell>
          <cell r="H85">
            <v>51.4131111111111</v>
          </cell>
          <cell r="I85">
            <v>0</v>
          </cell>
          <cell r="J85">
            <v>1.3888888888888899</v>
          </cell>
          <cell r="K85">
            <v>0</v>
          </cell>
          <cell r="L85">
            <v>0</v>
          </cell>
          <cell r="M85">
            <v>52.802</v>
          </cell>
          <cell r="N85">
            <v>-50.734914668922102</v>
          </cell>
          <cell r="O85">
            <v>-77.075760470163203</v>
          </cell>
          <cell r="P85">
            <v>26.340845801241201</v>
          </cell>
          <cell r="Q85">
            <v>0.15375380685826301</v>
          </cell>
          <cell r="R85">
            <v>377.80924357894298</v>
          </cell>
          <cell r="S85">
            <v>435.492036469428</v>
          </cell>
          <cell r="T85">
            <v>1.88195108623961E-2</v>
          </cell>
          <cell r="U85">
            <v>6.3474708296298102E-2</v>
          </cell>
          <cell r="V85">
            <v>1.9207948820536102E-6</v>
          </cell>
          <cell r="W85">
            <v>26.340845801241201</v>
          </cell>
          <cell r="X85">
            <v>0.15375380685826301</v>
          </cell>
          <cell r="Y85">
            <v>377.80924357894298</v>
          </cell>
          <cell r="Z85">
            <v>435.492036469428</v>
          </cell>
          <cell r="AA85">
            <v>1.88195108623961E-2</v>
          </cell>
          <cell r="AB85">
            <v>6.3474708296298102E-2</v>
          </cell>
          <cell r="AC85">
            <v>1.9207948820536102E-6</v>
          </cell>
          <cell r="AD85">
            <v>0</v>
          </cell>
          <cell r="AE85">
            <v>0</v>
          </cell>
          <cell r="AF85">
            <v>0</v>
          </cell>
          <cell r="AG85">
            <v>0</v>
          </cell>
          <cell r="AH85">
            <v>3.84384517145656E-2</v>
          </cell>
          <cell r="AI85">
            <v>94.452310894735803</v>
          </cell>
          <cell r="AJ85">
            <v>1.00040028490028</v>
          </cell>
          <cell r="AK85">
            <v>107.531230769231</v>
          </cell>
          <cell r="AL85">
            <v>62.5</v>
          </cell>
          <cell r="AM85">
            <v>3733.44551282051</v>
          </cell>
          <cell r="AN85">
            <v>51.4131111111111</v>
          </cell>
          <cell r="AO85">
            <v>0</v>
          </cell>
          <cell r="AP85">
            <v>0</v>
          </cell>
          <cell r="AQ85">
            <v>0.1</v>
          </cell>
          <cell r="AR85">
            <v>1.00040028490028</v>
          </cell>
          <cell r="AS85">
            <v>107.531230769231</v>
          </cell>
          <cell r="AT85">
            <v>62.5</v>
          </cell>
          <cell r="AU85">
            <v>3733.44551282051</v>
          </cell>
          <cell r="AV85">
            <v>0</v>
          </cell>
          <cell r="AW85">
            <v>1.0002222222222199</v>
          </cell>
          <cell r="AX85">
            <v>1.7806267806267799E-4</v>
          </cell>
          <cell r="AY85">
            <v>0.1</v>
          </cell>
          <cell r="AZ85">
            <v>2.0008005698005702</v>
          </cell>
          <cell r="BA85">
            <v>215.062461538462</v>
          </cell>
          <cell r="BB85">
            <v>62.5</v>
          </cell>
          <cell r="BC85">
            <v>7467.1688034188001</v>
          </cell>
          <cell r="BD85">
            <v>0</v>
          </cell>
          <cell r="BE85">
            <v>2.0004444444444398</v>
          </cell>
          <cell r="BF85">
            <v>3.5612535612535598E-4</v>
          </cell>
          <cell r="BG85">
            <v>0.1</v>
          </cell>
          <cell r="BH85">
            <v>15.129488888888901</v>
          </cell>
          <cell r="BI85">
            <v>2.6400999999999999</v>
          </cell>
        </row>
        <row r="86">
          <cell r="A86" t="str">
            <v>Polystyroldämmung (XPS oder EPS)</v>
          </cell>
          <cell r="B86" t="str">
            <v>m³</v>
          </cell>
          <cell r="C86">
            <v>9</v>
          </cell>
          <cell r="D86" t="str">
            <v>E2-D-03-PS</v>
          </cell>
          <cell r="E86">
            <v>1</v>
          </cell>
          <cell r="F86">
            <v>190.38628772113401</v>
          </cell>
          <cell r="G86">
            <v>50</v>
          </cell>
          <cell r="H86">
            <v>0</v>
          </cell>
          <cell r="I86">
            <v>54.22</v>
          </cell>
          <cell r="J86">
            <v>0</v>
          </cell>
          <cell r="K86">
            <v>0</v>
          </cell>
          <cell r="L86">
            <v>0</v>
          </cell>
          <cell r="M86">
            <v>54.22</v>
          </cell>
          <cell r="N86">
            <v>140.28258407256001</v>
          </cell>
          <cell r="O86">
            <v>-4.2281813999999501E-2</v>
          </cell>
          <cell r="P86">
            <v>140.32486588655999</v>
          </cell>
          <cell r="Q86">
            <v>0.57891259129088801</v>
          </cell>
          <cell r="R86">
            <v>3784.52534610766</v>
          </cell>
          <cell r="S86">
            <v>45.061892303882402</v>
          </cell>
          <cell r="T86">
            <v>0.27091132700751602</v>
          </cell>
          <cell r="U86">
            <v>0.119929676711111</v>
          </cell>
          <cell r="V86">
            <v>1.03103737559533E-5</v>
          </cell>
          <cell r="W86">
            <v>182.678543080308</v>
          </cell>
          <cell r="X86">
            <v>0.866026053949564</v>
          </cell>
          <cell r="Y86">
            <v>5930.88107548486</v>
          </cell>
          <cell r="Z86">
            <v>81.138346031882406</v>
          </cell>
          <cell r="AA86">
            <v>0.32963596761071801</v>
          </cell>
          <cell r="AB86">
            <v>0.21328441131324199</v>
          </cell>
          <cell r="AC86">
            <v>2.65333201449891E-5</v>
          </cell>
          <cell r="AD86">
            <v>0</v>
          </cell>
          <cell r="AE86">
            <v>0</v>
          </cell>
          <cell r="AF86">
            <v>0</v>
          </cell>
          <cell r="AG86">
            <v>0</v>
          </cell>
          <cell r="AH86">
            <v>0.144728147822722</v>
          </cell>
          <cell r="AI86">
            <v>946.13133652691499</v>
          </cell>
          <cell r="AJ86">
            <v>1.00345454545455</v>
          </cell>
          <cell r="AK86">
            <v>178.536363636364</v>
          </cell>
          <cell r="AL86">
            <v>37.5</v>
          </cell>
          <cell r="AM86">
            <v>2231.6045454545501</v>
          </cell>
          <cell r="AN86">
            <v>0</v>
          </cell>
          <cell r="AO86">
            <v>54.22</v>
          </cell>
          <cell r="AP86">
            <v>0</v>
          </cell>
          <cell r="AQ86">
            <v>0.1</v>
          </cell>
          <cell r="AR86">
            <v>1.0503636363636399</v>
          </cell>
          <cell r="AS86">
            <v>192.60909090909101</v>
          </cell>
          <cell r="AT86">
            <v>37.5</v>
          </cell>
          <cell r="AU86">
            <v>2407.5136363636402</v>
          </cell>
          <cell r="AV86">
            <v>0</v>
          </cell>
          <cell r="AW86">
            <v>1.0503636363636399</v>
          </cell>
          <cell r="AX86">
            <v>0</v>
          </cell>
          <cell r="AY86">
            <v>0.1</v>
          </cell>
          <cell r="AZ86">
            <v>2.0538181818181802</v>
          </cell>
          <cell r="BA86">
            <v>371.14545454545498</v>
          </cell>
          <cell r="BB86">
            <v>37.5</v>
          </cell>
          <cell r="BC86">
            <v>4639.2181818181798</v>
          </cell>
          <cell r="BD86">
            <v>0</v>
          </cell>
          <cell r="BE86">
            <v>2.0538181818181802</v>
          </cell>
          <cell r="BF86">
            <v>0</v>
          </cell>
          <cell r="BG86">
            <v>0.1</v>
          </cell>
          <cell r="BH86">
            <v>11.611000000000001</v>
          </cell>
          <cell r="BI86">
            <v>2.7109999999999999</v>
          </cell>
        </row>
        <row r="87">
          <cell r="A87" t="str">
            <v>Steinwolle Warmdachdämmung</v>
          </cell>
          <cell r="B87" t="str">
            <v>m³</v>
          </cell>
          <cell r="C87">
            <v>14</v>
          </cell>
          <cell r="D87" t="str">
            <v>E2-D-03-STW</v>
          </cell>
          <cell r="E87">
            <v>1</v>
          </cell>
          <cell r="F87">
            <v>51.205342410645201</v>
          </cell>
          <cell r="G87">
            <v>50</v>
          </cell>
          <cell r="H87">
            <v>0</v>
          </cell>
          <cell r="I87">
            <v>0</v>
          </cell>
          <cell r="J87">
            <v>0</v>
          </cell>
          <cell r="K87">
            <v>0</v>
          </cell>
          <cell r="L87">
            <v>30</v>
          </cell>
          <cell r="M87">
            <v>30</v>
          </cell>
          <cell r="N87">
            <v>58.036473500293198</v>
          </cell>
          <cell r="O87">
            <v>-7.1446870830271802E-4</v>
          </cell>
          <cell r="P87">
            <v>58.037187969001501</v>
          </cell>
          <cell r="Q87">
            <v>0.42377541610267799</v>
          </cell>
          <cell r="R87">
            <v>640.87624040717697</v>
          </cell>
          <cell r="S87">
            <v>24.7023628030501</v>
          </cell>
          <cell r="T87">
            <v>0.15197028055467701</v>
          </cell>
          <cell r="U87">
            <v>9.3472211604141597E-2</v>
          </cell>
          <cell r="V87">
            <v>1.9931511997698999E-6</v>
          </cell>
          <cell r="W87">
            <v>58.037187969001501</v>
          </cell>
          <cell r="X87">
            <v>0.42377541610267799</v>
          </cell>
          <cell r="Y87">
            <v>640.87624040717697</v>
          </cell>
          <cell r="Z87">
            <v>24.7023628030501</v>
          </cell>
          <cell r="AA87">
            <v>0.15197028055467701</v>
          </cell>
          <cell r="AB87">
            <v>9.3472211604141597E-2</v>
          </cell>
          <cell r="AC87">
            <v>1.9931511997698999E-6</v>
          </cell>
          <cell r="AD87">
            <v>0</v>
          </cell>
          <cell r="AE87">
            <v>0</v>
          </cell>
          <cell r="AF87">
            <v>0</v>
          </cell>
          <cell r="AG87">
            <v>0</v>
          </cell>
          <cell r="AH87">
            <v>0.105943854025669</v>
          </cell>
          <cell r="AI87">
            <v>160.21906010179401</v>
          </cell>
          <cell r="AJ87">
            <v>1</v>
          </cell>
          <cell r="AK87">
            <v>300</v>
          </cell>
          <cell r="AL87">
            <v>12.5</v>
          </cell>
          <cell r="AM87">
            <v>3750</v>
          </cell>
          <cell r="AN87">
            <v>0</v>
          </cell>
          <cell r="AO87">
            <v>0</v>
          </cell>
          <cell r="AP87">
            <v>0</v>
          </cell>
          <cell r="AQ87">
            <v>0</v>
          </cell>
          <cell r="AR87">
            <v>30</v>
          </cell>
          <cell r="AS87">
            <v>9000</v>
          </cell>
          <cell r="AT87">
            <v>12.5</v>
          </cell>
          <cell r="AU87">
            <v>112499.9</v>
          </cell>
          <cell r="AV87">
            <v>30</v>
          </cell>
          <cell r="AW87">
            <v>0</v>
          </cell>
          <cell r="AX87">
            <v>0</v>
          </cell>
          <cell r="AY87">
            <v>0.1</v>
          </cell>
          <cell r="AZ87">
            <v>31</v>
          </cell>
          <cell r="BA87">
            <v>9300</v>
          </cell>
          <cell r="BB87">
            <v>12.5</v>
          </cell>
          <cell r="BC87">
            <v>116249.9</v>
          </cell>
          <cell r="BD87">
            <v>31</v>
          </cell>
          <cell r="BE87">
            <v>0</v>
          </cell>
          <cell r="BF87">
            <v>0</v>
          </cell>
          <cell r="BG87">
            <v>0.1</v>
          </cell>
          <cell r="BH87">
            <v>9</v>
          </cell>
          <cell r="BI87">
            <v>1.5</v>
          </cell>
        </row>
        <row r="88">
          <cell r="A88" t="str">
            <v>Kork Warmdachdämmung</v>
          </cell>
          <cell r="B88" t="str">
            <v>m³</v>
          </cell>
          <cell r="C88">
            <v>15</v>
          </cell>
          <cell r="D88" t="str">
            <v>E2-D-03-Kork</v>
          </cell>
          <cell r="E88">
            <v>1</v>
          </cell>
          <cell r="F88">
            <v>-4.7459163149795298</v>
          </cell>
          <cell r="G88">
            <v>100</v>
          </cell>
          <cell r="H88">
            <v>120</v>
          </cell>
          <cell r="I88">
            <v>0</v>
          </cell>
          <cell r="J88">
            <v>0</v>
          </cell>
          <cell r="K88">
            <v>0</v>
          </cell>
          <cell r="L88">
            <v>0</v>
          </cell>
          <cell r="M88">
            <v>120</v>
          </cell>
          <cell r="N88">
            <v>-146.869432830986</v>
          </cell>
          <cell r="O88">
            <v>-188.398733754587</v>
          </cell>
          <cell r="P88">
            <v>41.529300923600204</v>
          </cell>
          <cell r="Q88">
            <v>0.22709149900914699</v>
          </cell>
          <cell r="R88">
            <v>773.60367866895695</v>
          </cell>
          <cell r="S88">
            <v>2394.3688546957301</v>
          </cell>
          <cell r="T88">
            <v>3.6759864503556103E-2</v>
          </cell>
          <cell r="U88">
            <v>0.111930623535909</v>
          </cell>
          <cell r="V88">
            <v>2.9687215885728598E-6</v>
          </cell>
          <cell r="W88">
            <v>41.529300923600204</v>
          </cell>
          <cell r="X88">
            <v>0.22709149900914699</v>
          </cell>
          <cell r="Y88">
            <v>773.60367866895695</v>
          </cell>
          <cell r="Z88">
            <v>2394.3688546957301</v>
          </cell>
          <cell r="AA88">
            <v>3.6759864503556103E-2</v>
          </cell>
          <cell r="AB88">
            <v>0.111930623535909</v>
          </cell>
          <cell r="AC88">
            <v>2.9687215885728598E-6</v>
          </cell>
          <cell r="AD88">
            <v>0</v>
          </cell>
          <cell r="AE88">
            <v>0</v>
          </cell>
          <cell r="AF88">
            <v>0</v>
          </cell>
          <cell r="AG88">
            <v>0</v>
          </cell>
          <cell r="AH88">
            <v>5.6772874752286803E-2</v>
          </cell>
          <cell r="AI88">
            <v>193.40091966723901</v>
          </cell>
          <cell r="AJ88">
            <v>1</v>
          </cell>
          <cell r="AK88">
            <v>1000</v>
          </cell>
          <cell r="AL88">
            <v>12.5</v>
          </cell>
          <cell r="AM88">
            <v>12500</v>
          </cell>
          <cell r="AN88">
            <v>120</v>
          </cell>
          <cell r="AO88">
            <v>0</v>
          </cell>
          <cell r="AP88">
            <v>0</v>
          </cell>
          <cell r="AQ88">
            <v>0</v>
          </cell>
          <cell r="AR88">
            <v>0</v>
          </cell>
          <cell r="AS88">
            <v>0</v>
          </cell>
          <cell r="AT88">
            <v>12.5</v>
          </cell>
          <cell r="AU88">
            <v>0</v>
          </cell>
          <cell r="AV88">
            <v>0</v>
          </cell>
          <cell r="AW88">
            <v>0</v>
          </cell>
          <cell r="AX88">
            <v>0</v>
          </cell>
          <cell r="AY88">
            <v>0</v>
          </cell>
          <cell r="AZ88">
            <v>1</v>
          </cell>
          <cell r="BA88">
            <v>1000</v>
          </cell>
          <cell r="BB88">
            <v>12.5</v>
          </cell>
          <cell r="BC88">
            <v>12499.9</v>
          </cell>
          <cell r="BD88">
            <v>0</v>
          </cell>
          <cell r="BE88">
            <v>1</v>
          </cell>
          <cell r="BF88">
            <v>0</v>
          </cell>
          <cell r="BG88">
            <v>0.1</v>
          </cell>
          <cell r="BH88">
            <v>120</v>
          </cell>
          <cell r="BI88">
            <v>6</v>
          </cell>
        </row>
        <row r="89">
          <cell r="A89" t="str">
            <v>Eigene Dachdämmung</v>
          </cell>
          <cell r="B89" t="str">
            <v>m³</v>
          </cell>
        </row>
        <row r="90">
          <cell r="A90" t="str">
            <v>Bitte auswählen</v>
          </cell>
        </row>
        <row r="91">
          <cell r="A91" t="str">
            <v>Unterdach Holzschalung</v>
          </cell>
          <cell r="B91" t="str">
            <v>m²</v>
          </cell>
          <cell r="C91">
            <v>16</v>
          </cell>
          <cell r="D91" t="str">
            <v>E2-D-03-UD_Holz</v>
          </cell>
          <cell r="E91">
            <v>1</v>
          </cell>
          <cell r="F91">
            <v>-37.1201126774437</v>
          </cell>
          <cell r="G91">
            <v>100</v>
          </cell>
          <cell r="H91">
            <v>12.96</v>
          </cell>
          <cell r="I91">
            <v>0.08</v>
          </cell>
          <cell r="J91">
            <v>0</v>
          </cell>
          <cell r="K91">
            <v>0</v>
          </cell>
          <cell r="L91">
            <v>0</v>
          </cell>
          <cell r="M91">
            <v>13.04</v>
          </cell>
          <cell r="N91">
            <v>-17.9476596006546</v>
          </cell>
          <cell r="O91" t="e">
            <v>#VALUE!</v>
          </cell>
          <cell r="P91">
            <v>1.66333493477854</v>
          </cell>
          <cell r="Q91">
            <v>8.8145653489082494E-3</v>
          </cell>
          <cell r="R91">
            <v>30.876656284327201</v>
          </cell>
          <cell r="S91">
            <v>221.64202626625701</v>
          </cell>
          <cell r="T91">
            <v>5.1668102100605098E-3</v>
          </cell>
          <cell r="U91">
            <v>3.1538707074155099E-3</v>
          </cell>
          <cell r="V91">
            <v>1.6217945107436299E-7</v>
          </cell>
          <cell r="W91">
            <v>1.66333493477854</v>
          </cell>
          <cell r="X91">
            <v>8.8145653489082494E-3</v>
          </cell>
          <cell r="Y91">
            <v>30.876656284327201</v>
          </cell>
          <cell r="Z91">
            <v>221.64202626625701</v>
          </cell>
          <cell r="AA91">
            <v>5.1668102100605098E-3</v>
          </cell>
          <cell r="AB91">
            <v>3.1538707074155099E-3</v>
          </cell>
          <cell r="AC91">
            <v>1.6217945107436299E-7</v>
          </cell>
          <cell r="AD91">
            <v>0</v>
          </cell>
          <cell r="AE91">
            <v>0</v>
          </cell>
          <cell r="AF91">
            <v>0</v>
          </cell>
          <cell r="AG91">
            <v>0</v>
          </cell>
          <cell r="AH91">
            <v>2.2036413372270602E-3</v>
          </cell>
          <cell r="AI91">
            <v>7.7191640710818001</v>
          </cell>
          <cell r="AJ91">
            <v>2.4081632653061201E-2</v>
          </cell>
          <cell r="AK91">
            <v>2.4244897959183699E-2</v>
          </cell>
          <cell r="AL91">
            <v>1.25</v>
          </cell>
          <cell r="AM91">
            <v>-9.3755102040816302E-2</v>
          </cell>
          <cell r="AN91">
            <v>12.96</v>
          </cell>
          <cell r="AO91">
            <v>0.08</v>
          </cell>
          <cell r="AP91">
            <v>0</v>
          </cell>
          <cell r="AQ91">
            <v>0.1</v>
          </cell>
          <cell r="AR91">
            <v>2.4081632653061201E-2</v>
          </cell>
          <cell r="AS91">
            <v>2.4244897959183699E-2</v>
          </cell>
          <cell r="AT91">
            <v>1.25</v>
          </cell>
          <cell r="AU91">
            <v>-9.3755102040816302E-2</v>
          </cell>
          <cell r="AV91">
            <v>0</v>
          </cell>
          <cell r="AW91">
            <v>2.4081632653061201E-2</v>
          </cell>
          <cell r="AX91">
            <v>0</v>
          </cell>
          <cell r="AY91">
            <v>0.1</v>
          </cell>
          <cell r="AZ91">
            <v>4.8163265306122499E-2</v>
          </cell>
          <cell r="BA91">
            <v>4.8489795918367301E-2</v>
          </cell>
          <cell r="BB91">
            <v>1.25</v>
          </cell>
          <cell r="BC91">
            <v>-8.7510204081632695E-2</v>
          </cell>
          <cell r="BD91">
            <v>0</v>
          </cell>
          <cell r="BE91">
            <v>4.8163265306122499E-2</v>
          </cell>
          <cell r="BF91">
            <v>0</v>
          </cell>
          <cell r="BG91">
            <v>0.1</v>
          </cell>
          <cell r="BH91">
            <v>1.32E-2</v>
          </cell>
          <cell r="BI91">
            <v>1.328E-2</v>
          </cell>
        </row>
        <row r="92">
          <cell r="A92" t="str">
            <v>Unterdach Spanplatte</v>
          </cell>
          <cell r="B92" t="str">
            <v>m²</v>
          </cell>
          <cell r="C92">
            <v>17</v>
          </cell>
          <cell r="D92" t="str">
            <v>E2-D-03-UD-Spanpl</v>
          </cell>
          <cell r="E92">
            <v>1</v>
          </cell>
          <cell r="F92">
            <v>-30.8188075015217</v>
          </cell>
          <cell r="G92">
            <v>100</v>
          </cell>
          <cell r="H92">
            <v>12.24</v>
          </cell>
          <cell r="I92">
            <v>0</v>
          </cell>
          <cell r="J92">
            <v>0</v>
          </cell>
          <cell r="K92">
            <v>0</v>
          </cell>
          <cell r="L92">
            <v>0</v>
          </cell>
          <cell r="M92">
            <v>12.24</v>
          </cell>
          <cell r="N92">
            <v>-15.410357511727</v>
          </cell>
          <cell r="O92">
            <v>-21.301835035629601</v>
          </cell>
          <cell r="P92">
            <v>5.89147752390266</v>
          </cell>
          <cell r="Q92">
            <v>2.3058777368673601E-2</v>
          </cell>
          <cell r="R92">
            <v>150.25245303828899</v>
          </cell>
          <cell r="S92">
            <v>261.23722620467402</v>
          </cell>
          <cell r="T92">
            <v>7.0483936184660796E-3</v>
          </cell>
          <cell r="U92">
            <v>9.6806280462199794E-3</v>
          </cell>
          <cell r="V92">
            <v>3.0849127287066102E-7</v>
          </cell>
          <cell r="W92">
            <v>5.89147752390266</v>
          </cell>
          <cell r="X92">
            <v>2.3058777368673601E-2</v>
          </cell>
          <cell r="Y92">
            <v>150.25245303828899</v>
          </cell>
          <cell r="Z92">
            <v>261.23722620467402</v>
          </cell>
          <cell r="AA92">
            <v>7.0483936184660796E-3</v>
          </cell>
          <cell r="AB92">
            <v>9.6806280462199794E-3</v>
          </cell>
          <cell r="AC92">
            <v>3.0849127287066102E-7</v>
          </cell>
          <cell r="AD92">
            <v>0</v>
          </cell>
          <cell r="AE92">
            <v>0</v>
          </cell>
          <cell r="AF92">
            <v>0</v>
          </cell>
          <cell r="AG92">
            <v>0</v>
          </cell>
          <cell r="AH92">
            <v>5.7646943421683899E-3</v>
          </cell>
          <cell r="AI92">
            <v>37.563113259572098</v>
          </cell>
          <cell r="AJ92">
            <v>1.7999999999999999E-2</v>
          </cell>
          <cell r="AK92">
            <v>5.4</v>
          </cell>
          <cell r="AL92">
            <v>12.5</v>
          </cell>
          <cell r="AM92">
            <v>67.400000000000006</v>
          </cell>
          <cell r="AN92">
            <v>12.24</v>
          </cell>
          <cell r="AO92">
            <v>0</v>
          </cell>
          <cell r="AP92">
            <v>0</v>
          </cell>
          <cell r="AQ92">
            <v>0.1</v>
          </cell>
          <cell r="AR92">
            <v>1.7999999999999999E-2</v>
          </cell>
          <cell r="AS92">
            <v>5.4</v>
          </cell>
          <cell r="AT92">
            <v>12.5</v>
          </cell>
          <cell r="AU92">
            <v>67.400000000000006</v>
          </cell>
          <cell r="AV92">
            <v>0</v>
          </cell>
          <cell r="AW92">
            <v>1.7999999999999999E-2</v>
          </cell>
          <cell r="AX92">
            <v>0</v>
          </cell>
          <cell r="AY92">
            <v>0.1</v>
          </cell>
          <cell r="AZ92">
            <v>3.5999999999999997E-2</v>
          </cell>
          <cell r="BA92">
            <v>10.8</v>
          </cell>
          <cell r="BB92">
            <v>12.5</v>
          </cell>
          <cell r="BC92">
            <v>134.9</v>
          </cell>
          <cell r="BD92">
            <v>0</v>
          </cell>
          <cell r="BE92">
            <v>3.5999999999999997E-2</v>
          </cell>
          <cell r="BF92">
            <v>0</v>
          </cell>
          <cell r="BG92">
            <v>0.1</v>
          </cell>
          <cell r="BH92">
            <v>3.6720000000000002</v>
          </cell>
          <cell r="BI92">
            <v>0.61199999999999999</v>
          </cell>
        </row>
        <row r="93">
          <cell r="A93" t="str">
            <v>Unterdach Holzfaserplatte</v>
          </cell>
          <cell r="B93" t="str">
            <v>m²</v>
          </cell>
          <cell r="C93">
            <v>18</v>
          </cell>
          <cell r="D93" t="str">
            <v>E2-D-03-UD_HFP</v>
          </cell>
          <cell r="E93">
            <v>1</v>
          </cell>
          <cell r="F93">
            <v>-31.078913645441801</v>
          </cell>
          <cell r="G93">
            <v>100</v>
          </cell>
          <cell r="H93">
            <v>5.4</v>
          </cell>
          <cell r="I93">
            <v>0</v>
          </cell>
          <cell r="J93">
            <v>0</v>
          </cell>
          <cell r="K93">
            <v>0</v>
          </cell>
          <cell r="L93">
            <v>0</v>
          </cell>
          <cell r="M93">
            <v>5.4</v>
          </cell>
          <cell r="N93">
            <v>-3.9378570228936098</v>
          </cell>
          <cell r="O93">
            <v>-8.6970841076459706</v>
          </cell>
          <cell r="P93">
            <v>4.7592270847523404</v>
          </cell>
          <cell r="Q93">
            <v>2.20749625822265E-2</v>
          </cell>
          <cell r="R93">
            <v>89.022025422307607</v>
          </cell>
          <cell r="S93">
            <v>110.407405787351</v>
          </cell>
          <cell r="T93">
            <v>6.01556493203248E-3</v>
          </cell>
          <cell r="U93">
            <v>7.5492684641950596E-3</v>
          </cell>
          <cell r="V93">
            <v>4.0842509348452497E-7</v>
          </cell>
          <cell r="W93">
            <v>4.7592270847523404</v>
          </cell>
          <cell r="X93">
            <v>2.20749625822265E-2</v>
          </cell>
          <cell r="Y93">
            <v>89.022025422307607</v>
          </cell>
          <cell r="Z93">
            <v>110.407405787351</v>
          </cell>
          <cell r="AA93">
            <v>6.01556493203248E-3</v>
          </cell>
          <cell r="AB93">
            <v>7.5492684641950596E-3</v>
          </cell>
          <cell r="AC93">
            <v>4.0842509348452497E-7</v>
          </cell>
          <cell r="AD93">
            <v>0</v>
          </cell>
          <cell r="AE93">
            <v>0</v>
          </cell>
          <cell r="AF93">
            <v>0</v>
          </cell>
          <cell r="AG93">
            <v>0</v>
          </cell>
          <cell r="AH93">
            <v>5.5187406455566102E-3</v>
          </cell>
          <cell r="AI93">
            <v>22.255506355576902</v>
          </cell>
          <cell r="AJ93">
            <v>0.02</v>
          </cell>
          <cell r="AK93">
            <v>6</v>
          </cell>
          <cell r="AL93">
            <v>12.5</v>
          </cell>
          <cell r="AM93">
            <v>74.900000000000006</v>
          </cell>
          <cell r="AN93">
            <v>5.4</v>
          </cell>
          <cell r="AO93">
            <v>0</v>
          </cell>
          <cell r="AP93">
            <v>0</v>
          </cell>
          <cell r="AQ93">
            <v>0.1</v>
          </cell>
          <cell r="AR93">
            <v>0.02</v>
          </cell>
          <cell r="AS93">
            <v>6</v>
          </cell>
          <cell r="AT93">
            <v>12.5</v>
          </cell>
          <cell r="AU93">
            <v>74.900000000000006</v>
          </cell>
          <cell r="AV93">
            <v>0</v>
          </cell>
          <cell r="AW93">
            <v>0.02</v>
          </cell>
          <cell r="AX93">
            <v>0</v>
          </cell>
          <cell r="AY93">
            <v>0.1</v>
          </cell>
          <cell r="AZ93">
            <v>0.04</v>
          </cell>
          <cell r="BA93">
            <v>12</v>
          </cell>
          <cell r="BB93">
            <v>12.5</v>
          </cell>
          <cell r="BC93">
            <v>149.9</v>
          </cell>
          <cell r="BD93">
            <v>0</v>
          </cell>
          <cell r="BE93">
            <v>0.04</v>
          </cell>
          <cell r="BF93">
            <v>0</v>
          </cell>
          <cell r="BG93">
            <v>0.1</v>
          </cell>
          <cell r="BH93">
            <v>1.62</v>
          </cell>
          <cell r="BI93">
            <v>0.27</v>
          </cell>
        </row>
        <row r="94">
          <cell r="A94" t="str">
            <v>Eigenes Unterdach</v>
          </cell>
          <cell r="B94" t="str">
            <v>m²</v>
          </cell>
        </row>
        <row r="95">
          <cell r="A95" t="str">
            <v>Bitte auswählen</v>
          </cell>
        </row>
        <row r="96">
          <cell r="A96" t="str">
            <v>Polymerbitumen-Dichtungsbahn (E2.D)</v>
          </cell>
          <cell r="B96" t="str">
            <v>m²</v>
          </cell>
          <cell r="C96">
            <v>19</v>
          </cell>
          <cell r="D96" t="str">
            <v>E2D-03-Abd_Bit</v>
          </cell>
          <cell r="E96">
            <v>1</v>
          </cell>
          <cell r="F96">
            <v>-13.6490406612445</v>
          </cell>
          <cell r="G96">
            <v>100</v>
          </cell>
          <cell r="H96">
            <v>0</v>
          </cell>
          <cell r="I96">
            <v>0</v>
          </cell>
          <cell r="J96">
            <v>0</v>
          </cell>
          <cell r="K96">
            <v>0</v>
          </cell>
          <cell r="L96">
            <v>10.3</v>
          </cell>
          <cell r="M96">
            <v>10.3</v>
          </cell>
          <cell r="N96">
            <v>8.13190075383155</v>
          </cell>
          <cell r="O96">
            <v>-1.4093937999999801E-2</v>
          </cell>
          <cell r="P96">
            <v>8.1459946918315502</v>
          </cell>
          <cell r="Q96">
            <v>5.5627314063751598E-2</v>
          </cell>
          <cell r="R96">
            <v>417.360020138501</v>
          </cell>
          <cell r="S96">
            <v>6.3786490423292896</v>
          </cell>
          <cell r="T96">
            <v>1.09196525373035E-2</v>
          </cell>
          <cell r="U96">
            <v>1.6921304139722999E-2</v>
          </cell>
          <cell r="V96">
            <v>3.1515206304099702E-6</v>
          </cell>
          <cell r="W96">
            <v>24.4379840754947</v>
          </cell>
          <cell r="X96">
            <v>0.16688194219125499</v>
          </cell>
          <cell r="Y96">
            <v>1252.0800604154999</v>
          </cell>
          <cell r="Z96">
            <v>19.135947126987901</v>
          </cell>
          <cell r="AA96">
            <v>3.2758957611910597E-2</v>
          </cell>
          <cell r="AB96">
            <v>5.0763912419169097E-2</v>
          </cell>
          <cell r="AC96">
            <v>9.4545618912299008E-6</v>
          </cell>
          <cell r="AD96">
            <v>0</v>
          </cell>
          <cell r="AE96">
            <v>0</v>
          </cell>
          <cell r="AF96">
            <v>0</v>
          </cell>
          <cell r="AG96">
            <v>0</v>
          </cell>
          <cell r="AH96">
            <v>1.39068285159379E-2</v>
          </cell>
          <cell r="AI96">
            <v>104.34000503462499</v>
          </cell>
          <cell r="AJ96">
            <v>9.4219554030874793E-3</v>
          </cell>
          <cell r="AK96">
            <v>2.82658662092624</v>
          </cell>
          <cell r="AL96">
            <v>25</v>
          </cell>
          <cell r="AM96">
            <v>35.332332761578002</v>
          </cell>
          <cell r="AN96">
            <v>0</v>
          </cell>
          <cell r="AO96">
            <v>0</v>
          </cell>
          <cell r="AP96">
            <v>0</v>
          </cell>
          <cell r="AQ96">
            <v>0</v>
          </cell>
          <cell r="AR96">
            <v>2.82658662092624E-2</v>
          </cell>
          <cell r="AS96">
            <v>8.4797598627787298</v>
          </cell>
          <cell r="AT96">
            <v>25</v>
          </cell>
          <cell r="AU96">
            <v>105.896998284734</v>
          </cell>
          <cell r="AV96">
            <v>0</v>
          </cell>
          <cell r="AW96">
            <v>2.82658662092624E-2</v>
          </cell>
          <cell r="AX96">
            <v>0</v>
          </cell>
          <cell r="AY96">
            <v>0.1</v>
          </cell>
          <cell r="AZ96">
            <v>3.7687821612349903E-2</v>
          </cell>
          <cell r="BA96">
            <v>11.306346483704999</v>
          </cell>
          <cell r="BB96">
            <v>25</v>
          </cell>
          <cell r="BC96">
            <v>141.22933104631201</v>
          </cell>
          <cell r="BD96">
            <v>0</v>
          </cell>
          <cell r="BE96">
            <v>3.7687821612349903E-2</v>
          </cell>
          <cell r="BF96">
            <v>0</v>
          </cell>
          <cell r="BG96">
            <v>0.1</v>
          </cell>
          <cell r="BH96">
            <v>3.09</v>
          </cell>
          <cell r="BI96">
            <v>0.51500000000000001</v>
          </cell>
        </row>
        <row r="97">
          <cell r="A97" t="str">
            <v>Polymerbitumen-Dichtungsbahn + Gummigranulat</v>
          </cell>
          <cell r="B97" t="str">
            <v>m²</v>
          </cell>
          <cell r="C97">
            <v>20</v>
          </cell>
          <cell r="D97" t="str">
            <v>E2D-03-Abd_Bit-Gummi</v>
          </cell>
          <cell r="E97">
            <v>1</v>
          </cell>
          <cell r="F97">
            <v>-13.631202218199499</v>
          </cell>
          <cell r="G97">
            <v>100</v>
          </cell>
          <cell r="H97">
            <v>0</v>
          </cell>
          <cell r="I97">
            <v>0</v>
          </cell>
          <cell r="J97">
            <v>0</v>
          </cell>
          <cell r="K97">
            <v>0</v>
          </cell>
          <cell r="L97">
            <v>10.31</v>
          </cell>
          <cell r="M97">
            <v>10.31</v>
          </cell>
          <cell r="N97">
            <v>8.1447975343592809</v>
          </cell>
          <cell r="O97">
            <v>-1.4093937999999801E-2</v>
          </cell>
          <cell r="P97">
            <v>8.1588914723592794</v>
          </cell>
          <cell r="Q97">
            <v>5.56841475767655E-2</v>
          </cell>
          <cell r="R97">
            <v>417.60335547515803</v>
          </cell>
          <cell r="S97">
            <v>6.3915557525256901</v>
          </cell>
          <cell r="T97">
            <v>1.09251410084296E-2</v>
          </cell>
          <cell r="U97">
            <v>1.69479207393761E-2</v>
          </cell>
          <cell r="V97">
            <v>3.1518243023829401E-6</v>
          </cell>
          <cell r="W97">
            <v>24.476674417077799</v>
          </cell>
          <cell r="X97">
            <v>0.16705244273029701</v>
          </cell>
          <cell r="Y97">
            <v>1252.81006642547</v>
          </cell>
          <cell r="Z97">
            <v>19.174667257577099</v>
          </cell>
          <cell r="AA97">
            <v>3.2775423025288901E-2</v>
          </cell>
          <cell r="AB97">
            <v>5.0843762218128398E-2</v>
          </cell>
          <cell r="AC97">
            <v>9.4554729071487996E-6</v>
          </cell>
          <cell r="AD97">
            <v>0</v>
          </cell>
          <cell r="AE97">
            <v>0</v>
          </cell>
          <cell r="AF97">
            <v>0</v>
          </cell>
          <cell r="AG97">
            <v>0</v>
          </cell>
          <cell r="AH97">
            <v>1.3921036894191399E-2</v>
          </cell>
          <cell r="AI97">
            <v>104.40083886878899</v>
          </cell>
          <cell r="AJ97">
            <v>9.4375804030874793E-3</v>
          </cell>
          <cell r="AK97">
            <v>2.8312741209262402</v>
          </cell>
          <cell r="AL97">
            <v>37.5</v>
          </cell>
          <cell r="AM97">
            <v>35.390926511578002</v>
          </cell>
          <cell r="AN97">
            <v>0</v>
          </cell>
          <cell r="AO97">
            <v>0</v>
          </cell>
          <cell r="AP97">
            <v>0</v>
          </cell>
          <cell r="AQ97">
            <v>0</v>
          </cell>
          <cell r="AR97">
            <v>2.8312741209262401E-2</v>
          </cell>
          <cell r="AS97">
            <v>8.4938223627787295</v>
          </cell>
          <cell r="AT97">
            <v>37.5</v>
          </cell>
          <cell r="AU97">
            <v>106.072779534734</v>
          </cell>
          <cell r="AV97">
            <v>0</v>
          </cell>
          <cell r="AW97">
            <v>2.8312741209262401E-2</v>
          </cell>
          <cell r="AX97">
            <v>0</v>
          </cell>
          <cell r="AY97">
            <v>0.1</v>
          </cell>
          <cell r="AZ97">
            <v>3.7750321612349903E-2</v>
          </cell>
          <cell r="BA97">
            <v>11.325096483705</v>
          </cell>
          <cell r="BB97">
            <v>37.5</v>
          </cell>
          <cell r="BC97">
            <v>141.46370604631201</v>
          </cell>
          <cell r="BD97">
            <v>0</v>
          </cell>
          <cell r="BE97">
            <v>3.7750321612349903E-2</v>
          </cell>
          <cell r="BF97">
            <v>0</v>
          </cell>
          <cell r="BG97">
            <v>0.1</v>
          </cell>
          <cell r="BH97">
            <v>3.093</v>
          </cell>
          <cell r="BI97">
            <v>0.51549999999999996</v>
          </cell>
        </row>
        <row r="98">
          <cell r="A98" t="str">
            <v>EPDM-Dichtungsbahn</v>
          </cell>
          <cell r="B98" t="str">
            <v>m²</v>
          </cell>
          <cell r="C98">
            <v>21</v>
          </cell>
          <cell r="D98" t="str">
            <v>E2D-03-Abd_EPDM</v>
          </cell>
          <cell r="E98">
            <v>1</v>
          </cell>
          <cell r="F98">
            <v>-27.032095856602101</v>
          </cell>
          <cell r="G98">
            <v>100</v>
          </cell>
          <cell r="H98">
            <v>0</v>
          </cell>
          <cell r="I98">
            <v>0</v>
          </cell>
          <cell r="J98">
            <v>0</v>
          </cell>
          <cell r="K98">
            <v>0</v>
          </cell>
          <cell r="L98">
            <v>2</v>
          </cell>
          <cell r="M98">
            <v>2</v>
          </cell>
          <cell r="N98">
            <v>5.1883338227203399</v>
          </cell>
          <cell r="O98">
            <v>-9.1514799999999605E-2</v>
          </cell>
          <cell r="P98">
            <v>5.2798486227203396</v>
          </cell>
          <cell r="Q98">
            <v>2.1386997812083999E-2</v>
          </cell>
          <cell r="R98">
            <v>167.54746394</v>
          </cell>
          <cell r="S98">
            <v>4.0764734000000002</v>
          </cell>
          <cell r="T98">
            <v>4.4105504625124199E-3</v>
          </cell>
          <cell r="U98">
            <v>7.32710928359532E-3</v>
          </cell>
          <cell r="V98">
            <v>1.2783953356887401E-6</v>
          </cell>
          <cell r="W98">
            <v>15.839545868161</v>
          </cell>
          <cell r="X98">
            <v>6.4160993436252006E-2</v>
          </cell>
          <cell r="Y98">
            <v>502.64239182</v>
          </cell>
          <cell r="Z98">
            <v>12.2294202</v>
          </cell>
          <cell r="AA98">
            <v>1.32316513875373E-2</v>
          </cell>
          <cell r="AB98">
            <v>2.1981327850785999E-2</v>
          </cell>
          <cell r="AC98">
            <v>3.8351860070662302E-6</v>
          </cell>
          <cell r="AD98">
            <v>0</v>
          </cell>
          <cell r="AE98">
            <v>0</v>
          </cell>
          <cell r="AF98">
            <v>0</v>
          </cell>
          <cell r="AG98">
            <v>0</v>
          </cell>
          <cell r="AH98">
            <v>5.3467494530209997E-3</v>
          </cell>
          <cell r="AI98">
            <v>41.886865985</v>
          </cell>
          <cell r="AJ98">
            <v>3.3333333333333301E-3</v>
          </cell>
          <cell r="AK98">
            <v>1</v>
          </cell>
          <cell r="AL98">
            <v>12.5</v>
          </cell>
          <cell r="AM98">
            <v>12.5</v>
          </cell>
          <cell r="AN98">
            <v>0</v>
          </cell>
          <cell r="AO98">
            <v>0</v>
          </cell>
          <cell r="AP98">
            <v>0</v>
          </cell>
          <cell r="AQ98">
            <v>0</v>
          </cell>
          <cell r="AR98">
            <v>0.01</v>
          </cell>
          <cell r="AS98">
            <v>3</v>
          </cell>
          <cell r="AT98">
            <v>12.5</v>
          </cell>
          <cell r="AU98">
            <v>37.4</v>
          </cell>
          <cell r="AV98">
            <v>0</v>
          </cell>
          <cell r="AW98">
            <v>0.01</v>
          </cell>
          <cell r="AX98">
            <v>0</v>
          </cell>
          <cell r="AY98">
            <v>0.1</v>
          </cell>
          <cell r="AZ98">
            <v>1.3333333333333299E-2</v>
          </cell>
          <cell r="BA98">
            <v>4</v>
          </cell>
          <cell r="BB98">
            <v>12.5</v>
          </cell>
          <cell r="BC98">
            <v>49.9</v>
          </cell>
          <cell r="BD98">
            <v>0</v>
          </cell>
          <cell r="BE98">
            <v>1.3333333333333299E-2</v>
          </cell>
          <cell r="BF98">
            <v>0</v>
          </cell>
          <cell r="BG98">
            <v>0.1</v>
          </cell>
          <cell r="BH98">
            <v>0.6</v>
          </cell>
          <cell r="BI98">
            <v>0.1</v>
          </cell>
        </row>
        <row r="99">
          <cell r="A99" t="str">
            <v>Kunststoff-Dichtungsbahn</v>
          </cell>
          <cell r="B99" t="str">
            <v>m²</v>
          </cell>
          <cell r="C99">
            <v>22</v>
          </cell>
          <cell r="D99" t="str">
            <v>E2D-03-Abd_Kunstst</v>
          </cell>
          <cell r="E99">
            <v>1</v>
          </cell>
          <cell r="F99">
            <v>-28.248938913380201</v>
          </cell>
          <cell r="G99">
            <v>100</v>
          </cell>
          <cell r="H99">
            <v>0</v>
          </cell>
          <cell r="I99">
            <v>0</v>
          </cell>
          <cell r="J99">
            <v>0</v>
          </cell>
          <cell r="K99">
            <v>0</v>
          </cell>
          <cell r="L99">
            <v>2.14</v>
          </cell>
          <cell r="M99">
            <v>2.14</v>
          </cell>
          <cell r="N99">
            <v>4.5888209461319098</v>
          </cell>
          <cell r="O99">
            <v>-2.96271451000004E-3</v>
          </cell>
          <cell r="P99">
            <v>4.5917836606419096</v>
          </cell>
          <cell r="Q99">
            <v>1.70051712654464E-2</v>
          </cell>
          <cell r="R99">
            <v>151.567042806149</v>
          </cell>
          <cell r="S99">
            <v>2.9740620366295798</v>
          </cell>
          <cell r="T99">
            <v>5.8241551847836703E-3</v>
          </cell>
          <cell r="U99">
            <v>3.27538832945173E-3</v>
          </cell>
          <cell r="V99">
            <v>6.1701443123429995E-8</v>
          </cell>
          <cell r="W99">
            <v>13.775350981925699</v>
          </cell>
          <cell r="X99">
            <v>5.1015513796339201E-2</v>
          </cell>
          <cell r="Y99">
            <v>454.70112841844701</v>
          </cell>
          <cell r="Z99">
            <v>8.9221861098887398</v>
          </cell>
          <cell r="AA99">
            <v>1.7472465554350999E-2</v>
          </cell>
          <cell r="AB99">
            <v>9.8261649883551894E-3</v>
          </cell>
          <cell r="AC99">
            <v>1.8510432937029E-7</v>
          </cell>
          <cell r="AD99">
            <v>0</v>
          </cell>
          <cell r="AE99">
            <v>0</v>
          </cell>
          <cell r="AF99">
            <v>0</v>
          </cell>
          <cell r="AG99">
            <v>0</v>
          </cell>
          <cell r="AH99">
            <v>4.2512928163616001E-3</v>
          </cell>
          <cell r="AI99">
            <v>37.891760701537301</v>
          </cell>
          <cell r="AJ99">
            <v>2.2333333333333298E-3</v>
          </cell>
          <cell r="AK99">
            <v>0.67</v>
          </cell>
          <cell r="AL99">
            <v>25</v>
          </cell>
          <cell r="AM99">
            <v>8.375</v>
          </cell>
          <cell r="AN99">
            <v>0</v>
          </cell>
          <cell r="AO99">
            <v>0</v>
          </cell>
          <cell r="AP99">
            <v>0</v>
          </cell>
          <cell r="AQ99">
            <v>0</v>
          </cell>
          <cell r="AR99">
            <v>6.7000000000000002E-3</v>
          </cell>
          <cell r="AS99">
            <v>2.0099999999999998</v>
          </cell>
          <cell r="AT99">
            <v>25</v>
          </cell>
          <cell r="AU99">
            <v>25.024999999999999</v>
          </cell>
          <cell r="AV99">
            <v>0</v>
          </cell>
          <cell r="AW99">
            <v>6.7000000000000002E-3</v>
          </cell>
          <cell r="AX99">
            <v>0</v>
          </cell>
          <cell r="AY99">
            <v>0.1</v>
          </cell>
          <cell r="AZ99">
            <v>8.9333333333333296E-3</v>
          </cell>
          <cell r="BA99">
            <v>2.68</v>
          </cell>
          <cell r="BB99">
            <v>25</v>
          </cell>
          <cell r="BC99">
            <v>33.4</v>
          </cell>
          <cell r="BD99">
            <v>0</v>
          </cell>
          <cell r="BE99">
            <v>8.9333333333333296E-3</v>
          </cell>
          <cell r="BF99">
            <v>0</v>
          </cell>
          <cell r="BG99">
            <v>0.1</v>
          </cell>
          <cell r="BH99">
            <v>0.64200000000000002</v>
          </cell>
          <cell r="BI99">
            <v>0.107</v>
          </cell>
        </row>
        <row r="100">
          <cell r="A100" t="str">
            <v>Eigene Dachabdichtung</v>
          </cell>
          <cell r="B100" t="str">
            <v>m²</v>
          </cell>
        </row>
        <row r="101">
          <cell r="A101" t="str">
            <v>Bitte auswählen</v>
          </cell>
        </row>
        <row r="102">
          <cell r="A102" t="str">
            <v>Stahlbeton 18 cm  inkl. Abdichtung</v>
          </cell>
          <cell r="B102" t="str">
            <v>m²</v>
          </cell>
          <cell r="C102">
            <v>1</v>
          </cell>
          <cell r="D102" t="str">
            <v>E2-E-01z_EAW-STB18</v>
          </cell>
          <cell r="E102">
            <v>1</v>
          </cell>
          <cell r="F102">
            <v>44.6393015209268</v>
          </cell>
          <cell r="G102">
            <v>100</v>
          </cell>
          <cell r="H102">
            <v>0</v>
          </cell>
          <cell r="I102">
            <v>0</v>
          </cell>
          <cell r="J102">
            <v>21.06</v>
          </cell>
          <cell r="K102">
            <v>439.32</v>
          </cell>
          <cell r="L102">
            <v>0</v>
          </cell>
          <cell r="M102">
            <v>460.38</v>
          </cell>
          <cell r="N102">
            <v>75.605932400719595</v>
          </cell>
          <cell r="O102">
            <v>-0.124742449322968</v>
          </cell>
          <cell r="P102">
            <v>75.730674850042604</v>
          </cell>
          <cell r="Q102">
            <v>0.22694502995295801</v>
          </cell>
          <cell r="R102">
            <v>1143.36926381237</v>
          </cell>
          <cell r="S102">
            <v>29.059244507333801</v>
          </cell>
          <cell r="T102">
            <v>0.99789764628780997</v>
          </cell>
          <cell r="U102">
            <v>0.120631220302717</v>
          </cell>
          <cell r="V102">
            <v>5.2632972645757498E-6</v>
          </cell>
          <cell r="W102">
            <v>9.7021444839081106</v>
          </cell>
          <cell r="X102">
            <v>5.88793523386043E-2</v>
          </cell>
          <cell r="Y102">
            <v>496.27142297820001</v>
          </cell>
          <cell r="Z102">
            <v>6.3395079190499999</v>
          </cell>
          <cell r="AA102">
            <v>0.96762692875607104</v>
          </cell>
          <cell r="AB102">
            <v>1.68391674094014E-2</v>
          </cell>
          <cell r="AC102">
            <v>3.14507499001675E-6</v>
          </cell>
          <cell r="AD102">
            <v>0</v>
          </cell>
          <cell r="AE102">
            <v>0</v>
          </cell>
          <cell r="AF102">
            <v>0</v>
          </cell>
          <cell r="AG102">
            <v>0</v>
          </cell>
          <cell r="AH102">
            <v>5.6736257488239503E-2</v>
          </cell>
          <cell r="AI102">
            <v>285.84231595309302</v>
          </cell>
          <cell r="AJ102">
            <v>0.19319913419913401</v>
          </cell>
          <cell r="AK102">
            <v>13.634740259740299</v>
          </cell>
          <cell r="AL102">
            <v>62.5</v>
          </cell>
          <cell r="AM102">
            <v>170.33425324675301</v>
          </cell>
          <cell r="AN102">
            <v>0</v>
          </cell>
          <cell r="AO102">
            <v>0</v>
          </cell>
          <cell r="AP102">
            <v>21.06</v>
          </cell>
          <cell r="AQ102">
            <v>0.1</v>
          </cell>
          <cell r="AR102">
            <v>1.0199134199134201E-2</v>
          </cell>
          <cell r="AS102">
            <v>3.0597402597402601</v>
          </cell>
          <cell r="AT102">
            <v>62.5</v>
          </cell>
          <cell r="AU102">
            <v>38.1467532467532</v>
          </cell>
          <cell r="AV102">
            <v>-2.7755575615628901E-17</v>
          </cell>
          <cell r="AW102">
            <v>1.0199134199134201E-2</v>
          </cell>
          <cell r="AX102">
            <v>0</v>
          </cell>
          <cell r="AY102">
            <v>0.1</v>
          </cell>
          <cell r="AZ102">
            <v>0.203398268398268</v>
          </cell>
          <cell r="BA102">
            <v>16.6944805194805</v>
          </cell>
          <cell r="BB102">
            <v>62.5</v>
          </cell>
          <cell r="BC102">
            <v>208.681006493506</v>
          </cell>
          <cell r="BD102">
            <v>0.18029999999999999</v>
          </cell>
          <cell r="BE102">
            <v>2.0398268398268402E-2</v>
          </cell>
          <cell r="BF102">
            <v>2.7000000000000001E-3</v>
          </cell>
          <cell r="BG102">
            <v>0</v>
          </cell>
          <cell r="BH102">
            <v>31.734000000000002</v>
          </cell>
          <cell r="BI102">
            <v>23.018999999999998</v>
          </cell>
        </row>
        <row r="103">
          <cell r="A103" t="str">
            <v>Stahlbeton 25 cm  inkl. Abdichtung</v>
          </cell>
          <cell r="B103" t="str">
            <v>m²</v>
          </cell>
          <cell r="C103">
            <v>2</v>
          </cell>
          <cell r="D103" t="str">
            <v>E2-E-01z_EAW-STB25</v>
          </cell>
          <cell r="E103">
            <v>1</v>
          </cell>
          <cell r="F103">
            <v>65.795228762702493</v>
          </cell>
          <cell r="G103">
            <v>100</v>
          </cell>
          <cell r="H103">
            <v>0</v>
          </cell>
          <cell r="I103">
            <v>0</v>
          </cell>
          <cell r="J103">
            <v>29.25</v>
          </cell>
          <cell r="K103">
            <v>604.79999999999995</v>
          </cell>
          <cell r="L103">
            <v>0</v>
          </cell>
          <cell r="M103">
            <v>634.04999999999995</v>
          </cell>
          <cell r="N103">
            <v>101.07572568362301</v>
          </cell>
          <cell r="O103">
            <v>-0.16236084115779001</v>
          </cell>
          <cell r="P103">
            <v>101.238086524781</v>
          </cell>
          <cell r="Q103">
            <v>0.29167013327644498</v>
          </cell>
          <cell r="R103">
            <v>1391.7977013571799</v>
          </cell>
          <cell r="S103">
            <v>37.669741476399899</v>
          </cell>
          <cell r="T103">
            <v>1.0096117504475799</v>
          </cell>
          <cell r="U103">
            <v>0.160709445157415</v>
          </cell>
          <cell r="V103">
            <v>6.0695457430027E-6</v>
          </cell>
          <cell r="W103">
            <v>9.7021444839081106</v>
          </cell>
          <cell r="X103">
            <v>5.88793523386043E-2</v>
          </cell>
          <cell r="Y103">
            <v>496.27142297820001</v>
          </cell>
          <cell r="Z103">
            <v>6.3395079190499999</v>
          </cell>
          <cell r="AA103">
            <v>0.96762692875607104</v>
          </cell>
          <cell r="AB103">
            <v>1.68391674094014E-2</v>
          </cell>
          <cell r="AC103">
            <v>3.14507499001675E-6</v>
          </cell>
          <cell r="AD103">
            <v>0</v>
          </cell>
          <cell r="AE103">
            <v>0</v>
          </cell>
          <cell r="AF103">
            <v>0</v>
          </cell>
          <cell r="AG103">
            <v>0</v>
          </cell>
          <cell r="AH103">
            <v>7.29175333191113E-2</v>
          </cell>
          <cell r="AI103">
            <v>347.94942533929498</v>
          </cell>
          <cell r="AJ103">
            <v>0.26319913419913399</v>
          </cell>
          <cell r="AK103">
            <v>17.3972402597403</v>
          </cell>
          <cell r="AL103">
            <v>62.5</v>
          </cell>
          <cell r="AM103">
            <v>217.36550324675301</v>
          </cell>
          <cell r="AN103">
            <v>0</v>
          </cell>
          <cell r="AO103">
            <v>0</v>
          </cell>
          <cell r="AP103">
            <v>29.25</v>
          </cell>
          <cell r="AQ103">
            <v>0.1</v>
          </cell>
          <cell r="AR103">
            <v>1.0199134199134201E-2</v>
          </cell>
          <cell r="AS103">
            <v>3.0597402597402601</v>
          </cell>
          <cell r="AT103">
            <v>62.5</v>
          </cell>
          <cell r="AU103">
            <v>38.1467532467532</v>
          </cell>
          <cell r="AV103">
            <v>0</v>
          </cell>
          <cell r="AW103">
            <v>1.0199134199134201E-2</v>
          </cell>
          <cell r="AX103">
            <v>0</v>
          </cell>
          <cell r="AY103">
            <v>0.1</v>
          </cell>
          <cell r="AZ103">
            <v>0.27339826839826797</v>
          </cell>
          <cell r="BA103">
            <v>20.456980519480499</v>
          </cell>
          <cell r="BB103">
            <v>62.5</v>
          </cell>
          <cell r="BC103">
            <v>255.712256493506</v>
          </cell>
          <cell r="BD103">
            <v>0.24925</v>
          </cell>
          <cell r="BE103">
            <v>2.0398268398268402E-2</v>
          </cell>
          <cell r="BF103">
            <v>3.7499999999999999E-3</v>
          </cell>
          <cell r="BG103">
            <v>0</v>
          </cell>
          <cell r="BH103">
            <v>42.465000000000003</v>
          </cell>
          <cell r="BI103">
            <v>31.702500000000001</v>
          </cell>
        </row>
        <row r="104">
          <cell r="A104" t="str">
            <v>WU-Beton (EAW)</v>
          </cell>
          <cell r="B104" t="str">
            <v>m²</v>
          </cell>
          <cell r="C104">
            <v>3</v>
          </cell>
          <cell r="D104" t="str">
            <v>E2-E-01z_EAW-WU</v>
          </cell>
          <cell r="E104">
            <v>1</v>
          </cell>
          <cell r="F104">
            <v>39.749736989222697</v>
          </cell>
          <cell r="G104">
            <v>100</v>
          </cell>
          <cell r="H104">
            <v>0</v>
          </cell>
          <cell r="I104">
            <v>0</v>
          </cell>
          <cell r="J104">
            <v>17.55</v>
          </cell>
          <cell r="K104">
            <v>705.7</v>
          </cell>
          <cell r="L104">
            <v>0</v>
          </cell>
          <cell r="M104">
            <v>723.25</v>
          </cell>
          <cell r="N104">
            <v>95.025931445718001</v>
          </cell>
          <cell r="O104">
            <v>-0.10850205653701001</v>
          </cell>
          <cell r="P104">
            <v>95.134433502255007</v>
          </cell>
          <cell r="Q104">
            <v>0.216255938668968</v>
          </cell>
          <cell r="R104">
            <v>942.33869777222003</v>
          </cell>
          <cell r="S104">
            <v>24.313371226771501</v>
          </cell>
          <cell r="T104">
            <v>0.99491552209685896</v>
          </cell>
          <cell r="U104">
            <v>0.12972293459380499</v>
          </cell>
          <cell r="V104">
            <v>3.1390003380982398E-6</v>
          </cell>
          <cell r="W104">
            <v>2.6431982849501301</v>
          </cell>
          <cell r="X104">
            <v>1.10271085621583E-2</v>
          </cell>
          <cell r="Y104">
            <v>138.54546808200001</v>
          </cell>
          <cell r="Z104">
            <v>0.32676563105</v>
          </cell>
          <cell r="AA104">
            <v>0.95783948865553803</v>
          </cell>
          <cell r="AB104">
            <v>1.2800449757128501E-3</v>
          </cell>
          <cell r="AC104">
            <v>4.4125059184410802E-7</v>
          </cell>
          <cell r="AD104">
            <v>0</v>
          </cell>
          <cell r="AE104">
            <v>0</v>
          </cell>
          <cell r="AF104">
            <v>0</v>
          </cell>
          <cell r="AG104">
            <v>0</v>
          </cell>
          <cell r="AH104">
            <v>5.4063984667242E-2</v>
          </cell>
          <cell r="AI104">
            <v>235.58467444305501</v>
          </cell>
          <cell r="AJ104">
            <v>0.30763095238095201</v>
          </cell>
          <cell r="AK104">
            <v>17.2892857142857</v>
          </cell>
          <cell r="AL104">
            <v>50</v>
          </cell>
          <cell r="AM104">
            <v>216.016071428571</v>
          </cell>
          <cell r="AN104">
            <v>0</v>
          </cell>
          <cell r="AO104">
            <v>0</v>
          </cell>
          <cell r="AP104">
            <v>17.55</v>
          </cell>
          <cell r="AQ104">
            <v>0.1</v>
          </cell>
          <cell r="AR104">
            <v>2.3809523809523799E-3</v>
          </cell>
          <cell r="AS104">
            <v>0.71428571428571397</v>
          </cell>
          <cell r="AT104">
            <v>50</v>
          </cell>
          <cell r="AU104">
            <v>8.8285714285714292</v>
          </cell>
          <cell r="AV104">
            <v>0</v>
          </cell>
          <cell r="AW104">
            <v>2.3809523809523799E-3</v>
          </cell>
          <cell r="AX104">
            <v>0</v>
          </cell>
          <cell r="AY104">
            <v>0.1</v>
          </cell>
          <cell r="AZ104">
            <v>0.31001190476190499</v>
          </cell>
          <cell r="BA104">
            <v>18.003571428571401</v>
          </cell>
          <cell r="BB104">
            <v>50</v>
          </cell>
          <cell r="BC104">
            <v>224.94464285714301</v>
          </cell>
          <cell r="BD104">
            <v>0.30299999999999999</v>
          </cell>
          <cell r="BE104">
            <v>4.7619047619047597E-3</v>
          </cell>
          <cell r="BF104">
            <v>2.2499999999999998E-3</v>
          </cell>
          <cell r="BG104">
            <v>0.1</v>
          </cell>
          <cell r="BH104">
            <v>41.85</v>
          </cell>
          <cell r="BI104">
            <v>36.162500000000001</v>
          </cell>
        </row>
        <row r="105">
          <cell r="A105" t="str">
            <v>Eigene Erdberührte Außenwand</v>
          </cell>
          <cell r="B105" t="str">
            <v>m²</v>
          </cell>
        </row>
        <row r="106">
          <cell r="A106" t="str">
            <v>Bitte auswählen</v>
          </cell>
        </row>
        <row r="107">
          <cell r="A107" t="str">
            <v>Hochlochziegel 38 cm</v>
          </cell>
          <cell r="B107" t="str">
            <v>m²</v>
          </cell>
          <cell r="C107">
            <v>4</v>
          </cell>
          <cell r="D107" t="str">
            <v>E2-E-01a-AW-HLZ38</v>
          </cell>
          <cell r="E107">
            <v>1</v>
          </cell>
          <cell r="F107">
            <v>19.841892855037699</v>
          </cell>
          <cell r="G107">
            <v>100</v>
          </cell>
          <cell r="H107">
            <v>0</v>
          </cell>
          <cell r="I107">
            <v>0</v>
          </cell>
          <cell r="J107">
            <v>0</v>
          </cell>
          <cell r="K107">
            <v>0</v>
          </cell>
          <cell r="L107">
            <v>324</v>
          </cell>
          <cell r="M107">
            <v>324</v>
          </cell>
          <cell r="N107">
            <v>58.6823099403111</v>
          </cell>
          <cell r="O107">
            <v>-4.5407015303260898E-2</v>
          </cell>
          <cell r="P107">
            <v>58.727716955614397</v>
          </cell>
          <cell r="Q107">
            <v>0.16507760446574599</v>
          </cell>
          <cell r="R107">
            <v>731.53481808658898</v>
          </cell>
          <cell r="S107">
            <v>17.463775107958899</v>
          </cell>
          <cell r="T107">
            <v>1.66079604438901E-2</v>
          </cell>
          <cell r="U107">
            <v>5.5722637848448497E-2</v>
          </cell>
          <cell r="V107">
            <v>4.4888037824987301E-6</v>
          </cell>
          <cell r="W107">
            <v>0</v>
          </cell>
          <cell r="X107">
            <v>0</v>
          </cell>
          <cell r="Y107">
            <v>0</v>
          </cell>
          <cell r="Z107">
            <v>0</v>
          </cell>
          <cell r="AA107">
            <v>0</v>
          </cell>
          <cell r="AB107">
            <v>0</v>
          </cell>
          <cell r="AC107">
            <v>0</v>
          </cell>
          <cell r="AD107">
            <v>0</v>
          </cell>
          <cell r="AE107">
            <v>0</v>
          </cell>
          <cell r="AF107">
            <v>0</v>
          </cell>
          <cell r="AG107">
            <v>0</v>
          </cell>
          <cell r="AH107">
            <v>4.1269401116436601E-2</v>
          </cell>
          <cell r="AI107">
            <v>182.88370452164699</v>
          </cell>
          <cell r="AJ107">
            <v>0.39111111111111102</v>
          </cell>
          <cell r="AK107">
            <v>39.1111111111111</v>
          </cell>
          <cell r="AL107">
            <v>25</v>
          </cell>
          <cell r="AM107">
            <v>488.88888888888903</v>
          </cell>
          <cell r="AN107">
            <v>0</v>
          </cell>
          <cell r="AO107">
            <v>0</v>
          </cell>
          <cell r="AP107">
            <v>0</v>
          </cell>
          <cell r="AQ107">
            <v>0</v>
          </cell>
          <cell r="AR107">
            <v>0</v>
          </cell>
          <cell r="AS107">
            <v>0</v>
          </cell>
          <cell r="AT107">
            <v>25</v>
          </cell>
          <cell r="AU107">
            <v>0</v>
          </cell>
          <cell r="AV107">
            <v>0</v>
          </cell>
          <cell r="AW107">
            <v>0</v>
          </cell>
          <cell r="AX107">
            <v>0</v>
          </cell>
          <cell r="AY107">
            <v>0</v>
          </cell>
          <cell r="AZ107">
            <v>0.39111111111111102</v>
          </cell>
          <cell r="BA107">
            <v>39.1111111111111</v>
          </cell>
          <cell r="BB107">
            <v>25</v>
          </cell>
          <cell r="BC107">
            <v>488.78888888888901</v>
          </cell>
          <cell r="BD107">
            <v>0.39111111111111102</v>
          </cell>
          <cell r="BE107">
            <v>0</v>
          </cell>
          <cell r="BF107">
            <v>0</v>
          </cell>
          <cell r="BG107">
            <v>0.1</v>
          </cell>
          <cell r="BH107">
            <v>32.4</v>
          </cell>
          <cell r="BI107">
            <v>16.2</v>
          </cell>
        </row>
        <row r="108">
          <cell r="A108" t="str">
            <v>Hochlochziegel 25 cm</v>
          </cell>
          <cell r="B108" t="str">
            <v>m²</v>
          </cell>
          <cell r="C108">
            <v>5</v>
          </cell>
          <cell r="D108" t="str">
            <v>E2-E-01a-AW-HLZ25</v>
          </cell>
          <cell r="E108">
            <v>1</v>
          </cell>
          <cell r="F108">
            <v>0.74401725550273201</v>
          </cell>
          <cell r="G108">
            <v>100</v>
          </cell>
          <cell r="H108">
            <v>0</v>
          </cell>
          <cell r="I108">
            <v>0</v>
          </cell>
          <cell r="J108">
            <v>0</v>
          </cell>
          <cell r="K108">
            <v>0</v>
          </cell>
          <cell r="L108">
            <v>214</v>
          </cell>
          <cell r="M108">
            <v>214</v>
          </cell>
          <cell r="N108">
            <v>38.748705011370198</v>
          </cell>
          <cell r="O108">
            <v>-2.9985040519655198E-2</v>
          </cell>
          <cell r="P108">
            <v>38.778690051889903</v>
          </cell>
          <cell r="Q108">
            <v>0.108975060071463</v>
          </cell>
          <cell r="R108">
            <v>482.676752322379</v>
          </cell>
          <cell r="S108">
            <v>11.6143544961453</v>
          </cell>
          <cell r="T108">
            <v>1.0964049769587699E-2</v>
          </cell>
          <cell r="U108">
            <v>3.6867899296750099E-2</v>
          </cell>
          <cell r="V108">
            <v>2.9587280699588199E-6</v>
          </cell>
          <cell r="W108">
            <v>0</v>
          </cell>
          <cell r="X108">
            <v>0</v>
          </cell>
          <cell r="Y108">
            <v>0</v>
          </cell>
          <cell r="Z108">
            <v>0</v>
          </cell>
          <cell r="AA108">
            <v>0</v>
          </cell>
          <cell r="AB108">
            <v>0</v>
          </cell>
          <cell r="AC108">
            <v>0</v>
          </cell>
          <cell r="AD108">
            <v>0</v>
          </cell>
          <cell r="AE108">
            <v>0</v>
          </cell>
          <cell r="AF108">
            <v>0</v>
          </cell>
          <cell r="AG108">
            <v>0</v>
          </cell>
          <cell r="AH108">
            <v>2.7243765017865799E-2</v>
          </cell>
          <cell r="AI108">
            <v>120.66918808059501</v>
          </cell>
          <cell r="AJ108">
            <v>0.25777777777777799</v>
          </cell>
          <cell r="AK108">
            <v>25.7777777777778</v>
          </cell>
          <cell r="AL108">
            <v>25</v>
          </cell>
          <cell r="AM108">
            <v>322.222222222222</v>
          </cell>
          <cell r="AN108">
            <v>0</v>
          </cell>
          <cell r="AO108">
            <v>0</v>
          </cell>
          <cell r="AP108">
            <v>0</v>
          </cell>
          <cell r="AQ108">
            <v>0</v>
          </cell>
          <cell r="AR108">
            <v>0</v>
          </cell>
          <cell r="AS108">
            <v>0</v>
          </cell>
          <cell r="AT108">
            <v>25</v>
          </cell>
          <cell r="AU108">
            <v>0</v>
          </cell>
          <cell r="AV108">
            <v>0</v>
          </cell>
          <cell r="AW108">
            <v>0</v>
          </cell>
          <cell r="AX108">
            <v>0</v>
          </cell>
          <cell r="AY108">
            <v>0</v>
          </cell>
          <cell r="AZ108">
            <v>0.25777777777777799</v>
          </cell>
          <cell r="BA108">
            <v>25.7777777777778</v>
          </cell>
          <cell r="BB108">
            <v>25</v>
          </cell>
          <cell r="BC108">
            <v>322.12222222222198</v>
          </cell>
          <cell r="BD108">
            <v>0.25777777777777799</v>
          </cell>
          <cell r="BE108">
            <v>0</v>
          </cell>
          <cell r="BF108">
            <v>0</v>
          </cell>
          <cell r="BG108">
            <v>0.1</v>
          </cell>
          <cell r="BH108">
            <v>21.4</v>
          </cell>
          <cell r="BI108">
            <v>10.7</v>
          </cell>
        </row>
        <row r="109">
          <cell r="A109" t="str">
            <v>Hochlochziegel 20 cm</v>
          </cell>
          <cell r="B109" t="str">
            <v>m²</v>
          </cell>
          <cell r="C109">
            <v>6</v>
          </cell>
          <cell r="D109" t="str">
            <v>E2-E-01a-AW-HLZ20</v>
          </cell>
          <cell r="E109">
            <v>1</v>
          </cell>
          <cell r="F109">
            <v>-6.5859778435176999</v>
          </cell>
          <cell r="G109">
            <v>100</v>
          </cell>
          <cell r="H109">
            <v>0</v>
          </cell>
          <cell r="I109">
            <v>0</v>
          </cell>
          <cell r="J109">
            <v>0</v>
          </cell>
          <cell r="K109">
            <v>0</v>
          </cell>
          <cell r="L109">
            <v>171.8</v>
          </cell>
          <cell r="M109">
            <v>171.8</v>
          </cell>
          <cell r="N109">
            <v>31.100083545176599</v>
          </cell>
          <cell r="O109">
            <v>-2.4067835362575001E-2</v>
          </cell>
          <cell r="P109">
            <v>31.1241513805392</v>
          </cell>
          <cell r="Q109">
            <v>8.7444651264769205E-2</v>
          </cell>
          <cell r="R109">
            <v>387.14164190950902</v>
          </cell>
          <cell r="S109">
            <v>9.3805665935640405</v>
          </cell>
          <cell r="T109">
            <v>8.7981438184279101E-3</v>
          </cell>
          <cell r="U109">
            <v>2.9642711194874299E-2</v>
          </cell>
          <cell r="V109">
            <v>2.3709494327664401E-6</v>
          </cell>
          <cell r="W109">
            <v>0</v>
          </cell>
          <cell r="X109">
            <v>0</v>
          </cell>
          <cell r="Y109">
            <v>0</v>
          </cell>
          <cell r="Z109">
            <v>0</v>
          </cell>
          <cell r="AA109">
            <v>0</v>
          </cell>
          <cell r="AB109">
            <v>0</v>
          </cell>
          <cell r="AC109">
            <v>0</v>
          </cell>
          <cell r="AD109">
            <v>0</v>
          </cell>
          <cell r="AE109">
            <v>0</v>
          </cell>
          <cell r="AF109">
            <v>0</v>
          </cell>
          <cell r="AG109">
            <v>0</v>
          </cell>
          <cell r="AH109">
            <v>2.1861162816192301E-2</v>
          </cell>
          <cell r="AI109">
            <v>96.785410477377198</v>
          </cell>
          <cell r="AJ109">
            <v>0.20655555555555599</v>
          </cell>
          <cell r="AK109">
            <v>20.655555555555601</v>
          </cell>
          <cell r="AL109">
            <v>25</v>
          </cell>
          <cell r="AM109">
            <v>258.194444444444</v>
          </cell>
          <cell r="AN109">
            <v>0</v>
          </cell>
          <cell r="AO109">
            <v>0</v>
          </cell>
          <cell r="AP109">
            <v>0</v>
          </cell>
          <cell r="AQ109">
            <v>0</v>
          </cell>
          <cell r="AR109">
            <v>0</v>
          </cell>
          <cell r="AS109">
            <v>0</v>
          </cell>
          <cell r="AT109">
            <v>25</v>
          </cell>
          <cell r="AU109">
            <v>0</v>
          </cell>
          <cell r="AV109">
            <v>0</v>
          </cell>
          <cell r="AW109">
            <v>0</v>
          </cell>
          <cell r="AX109">
            <v>0</v>
          </cell>
          <cell r="AY109">
            <v>0</v>
          </cell>
          <cell r="AZ109">
            <v>0.20655555555555599</v>
          </cell>
          <cell r="BA109">
            <v>20.655555555555601</v>
          </cell>
          <cell r="BB109">
            <v>25</v>
          </cell>
          <cell r="BC109">
            <v>258.09444444444398</v>
          </cell>
          <cell r="BD109">
            <v>0.20655555555555599</v>
          </cell>
          <cell r="BE109">
            <v>0</v>
          </cell>
          <cell r="BF109">
            <v>0</v>
          </cell>
          <cell r="BG109">
            <v>0.1</v>
          </cell>
          <cell r="BH109">
            <v>17.18</v>
          </cell>
          <cell r="BI109">
            <v>8.59</v>
          </cell>
        </row>
        <row r="110">
          <cell r="A110" t="str">
            <v>Porenbeton 30 cm</v>
          </cell>
          <cell r="B110" t="str">
            <v>m²</v>
          </cell>
          <cell r="C110">
            <v>7</v>
          </cell>
          <cell r="D110" t="str">
            <v>E2-E-01a-AW-PORBET30</v>
          </cell>
          <cell r="E110">
            <v>1</v>
          </cell>
          <cell r="F110">
            <v>5.2724268494530602</v>
          </cell>
          <cell r="G110">
            <v>100</v>
          </cell>
          <cell r="H110">
            <v>0</v>
          </cell>
          <cell r="I110">
            <v>0</v>
          </cell>
          <cell r="J110">
            <v>0</v>
          </cell>
          <cell r="K110">
            <v>0</v>
          </cell>
          <cell r="L110">
            <v>194</v>
          </cell>
          <cell r="M110">
            <v>194</v>
          </cell>
          <cell r="N110">
            <v>43.171123085637902</v>
          </cell>
          <cell r="O110">
            <v>-5.4892338616555798E-2</v>
          </cell>
          <cell r="P110">
            <v>43.226015424254498</v>
          </cell>
          <cell r="Q110">
            <v>0.125309662789714</v>
          </cell>
          <cell r="R110">
            <v>531.07853889654598</v>
          </cell>
          <cell r="S110">
            <v>97.114592522511401</v>
          </cell>
          <cell r="T110">
            <v>1.33452270667225E-2</v>
          </cell>
          <cell r="U110">
            <v>5.2552649317337601E-2</v>
          </cell>
          <cell r="V110">
            <v>2.55796421920366E-6</v>
          </cell>
          <cell r="W110">
            <v>0</v>
          </cell>
          <cell r="X110">
            <v>0</v>
          </cell>
          <cell r="Y110">
            <v>0</v>
          </cell>
          <cell r="Z110">
            <v>0</v>
          </cell>
          <cell r="AA110">
            <v>0</v>
          </cell>
          <cell r="AB110">
            <v>0</v>
          </cell>
          <cell r="AC110">
            <v>0</v>
          </cell>
          <cell r="AD110">
            <v>0</v>
          </cell>
          <cell r="AE110">
            <v>0</v>
          </cell>
          <cell r="AF110">
            <v>0</v>
          </cell>
          <cell r="AG110">
            <v>0</v>
          </cell>
          <cell r="AH110">
            <v>3.1327415697428501E-2</v>
          </cell>
          <cell r="AI110">
            <v>132.76963472413701</v>
          </cell>
          <cell r="AJ110">
            <v>0.30777777777777798</v>
          </cell>
          <cell r="AK110">
            <v>90.7777777777778</v>
          </cell>
          <cell r="AL110">
            <v>25</v>
          </cell>
          <cell r="AM110">
            <v>1134.7222222222199</v>
          </cell>
          <cell r="AN110">
            <v>0</v>
          </cell>
          <cell r="AO110">
            <v>0</v>
          </cell>
          <cell r="AP110">
            <v>0</v>
          </cell>
          <cell r="AQ110">
            <v>0</v>
          </cell>
          <cell r="AR110">
            <v>0</v>
          </cell>
          <cell r="AS110">
            <v>0</v>
          </cell>
          <cell r="AT110">
            <v>25</v>
          </cell>
          <cell r="AU110">
            <v>0</v>
          </cell>
          <cell r="AV110">
            <v>0</v>
          </cell>
          <cell r="AW110">
            <v>0</v>
          </cell>
          <cell r="AX110">
            <v>0</v>
          </cell>
          <cell r="AY110">
            <v>0</v>
          </cell>
          <cell r="AZ110">
            <v>0.30777777777777798</v>
          </cell>
          <cell r="BA110">
            <v>90.7777777777778</v>
          </cell>
          <cell r="BB110">
            <v>25</v>
          </cell>
          <cell r="BC110">
            <v>1134.62222222222</v>
          </cell>
          <cell r="BD110">
            <v>0.30777777777777798</v>
          </cell>
          <cell r="BE110">
            <v>0</v>
          </cell>
          <cell r="BF110">
            <v>0</v>
          </cell>
          <cell r="BG110">
            <v>0.1</v>
          </cell>
          <cell r="BH110">
            <v>55.4</v>
          </cell>
          <cell r="BI110">
            <v>9.6999999999999993</v>
          </cell>
        </row>
        <row r="111">
          <cell r="A111" t="str">
            <v>Eigene Ziegel-Außenwand</v>
          </cell>
          <cell r="B111" t="str">
            <v>m²</v>
          </cell>
        </row>
        <row r="112">
          <cell r="A112" t="str">
            <v>Stahlbetonwand 18 cm (AW)</v>
          </cell>
          <cell r="B112" t="str">
            <v>m²</v>
          </cell>
          <cell r="C112">
            <v>8</v>
          </cell>
          <cell r="D112" t="str">
            <v>E2-E-01b-AW-STB18</v>
          </cell>
          <cell r="E112">
            <v>1</v>
          </cell>
          <cell r="F112">
            <v>19.070365401819899</v>
          </cell>
          <cell r="G112">
            <v>100</v>
          </cell>
          <cell r="H112">
            <v>0</v>
          </cell>
          <cell r="I112">
            <v>0</v>
          </cell>
          <cell r="J112">
            <v>21.06</v>
          </cell>
          <cell r="K112">
            <v>430.32</v>
          </cell>
          <cell r="L112">
            <v>0</v>
          </cell>
          <cell r="M112">
            <v>451.38</v>
          </cell>
          <cell r="N112">
            <v>66.247758953857897</v>
          </cell>
          <cell r="O112">
            <v>-0.121471680904521</v>
          </cell>
          <cell r="P112">
            <v>66.369230634762403</v>
          </cell>
          <cell r="Q112">
            <v>0.169333220222987</v>
          </cell>
          <cell r="R112">
            <v>653.53928639335902</v>
          </cell>
          <cell r="S112">
            <v>23.1696488854836</v>
          </cell>
          <cell r="T112">
            <v>3.0386400625777899E-2</v>
          </cell>
          <cell r="U112">
            <v>0.10436275543427501</v>
          </cell>
          <cell r="V112">
            <v>2.1532315312510099E-6</v>
          </cell>
          <cell r="W112">
            <v>0</v>
          </cell>
          <cell r="X112">
            <v>0</v>
          </cell>
          <cell r="Y112">
            <v>0</v>
          </cell>
          <cell r="Z112">
            <v>0</v>
          </cell>
          <cell r="AA112">
            <v>0</v>
          </cell>
          <cell r="AB112">
            <v>0</v>
          </cell>
          <cell r="AC112">
            <v>0</v>
          </cell>
          <cell r="AD112">
            <v>0</v>
          </cell>
          <cell r="AE112">
            <v>0</v>
          </cell>
          <cell r="AF112">
            <v>0</v>
          </cell>
          <cell r="AG112">
            <v>0</v>
          </cell>
          <cell r="AH112">
            <v>4.2333305055746798E-2</v>
          </cell>
          <cell r="AI112">
            <v>163.38482159834001</v>
          </cell>
          <cell r="AJ112">
            <v>0.183</v>
          </cell>
          <cell r="AK112">
            <v>10.574999999999999</v>
          </cell>
          <cell r="AL112">
            <v>37.5</v>
          </cell>
          <cell r="AM112">
            <v>132.08750000000001</v>
          </cell>
          <cell r="AN112">
            <v>0</v>
          </cell>
          <cell r="AO112">
            <v>0</v>
          </cell>
          <cell r="AP112">
            <v>21.06</v>
          </cell>
          <cell r="AQ112">
            <v>0.1</v>
          </cell>
          <cell r="AR112">
            <v>-2.7755575615628901E-17</v>
          </cell>
          <cell r="AS112">
            <v>-1.38777878078145E-15</v>
          </cell>
          <cell r="AT112">
            <v>37.5</v>
          </cell>
          <cell r="AU112">
            <v>-1.7347234759768099E-14</v>
          </cell>
          <cell r="AV112">
            <v>-2.7755575615628901E-17</v>
          </cell>
          <cell r="AW112">
            <v>0</v>
          </cell>
          <cell r="AX112">
            <v>0</v>
          </cell>
          <cell r="AY112">
            <v>0</v>
          </cell>
          <cell r="AZ112">
            <v>0.183</v>
          </cell>
          <cell r="BA112">
            <v>10.574999999999999</v>
          </cell>
          <cell r="BB112">
            <v>37.5</v>
          </cell>
          <cell r="BC112">
            <v>132.08750000000001</v>
          </cell>
          <cell r="BD112">
            <v>0.18029999999999999</v>
          </cell>
          <cell r="BE112">
            <v>0</v>
          </cell>
          <cell r="BF112">
            <v>2.7000000000000001E-3</v>
          </cell>
          <cell r="BG112">
            <v>0.1</v>
          </cell>
          <cell r="BH112">
            <v>29.033999999999999</v>
          </cell>
          <cell r="BI112">
            <v>22.568999999999999</v>
          </cell>
        </row>
        <row r="113">
          <cell r="A113" t="str">
            <v>Eigene Beton-Außenwand</v>
          </cell>
          <cell r="B113" t="str">
            <v>m²</v>
          </cell>
        </row>
        <row r="114">
          <cell r="A114" t="str">
            <v>Holzmassivwand 12 cm (AW)</v>
          </cell>
          <cell r="B114" t="str">
            <v>m²</v>
          </cell>
          <cell r="C114">
            <v>9</v>
          </cell>
          <cell r="D114" t="str">
            <v>E2-E-01c1-AW-HM</v>
          </cell>
          <cell r="E114">
            <v>1</v>
          </cell>
          <cell r="F114">
            <v>-16.975952300543501</v>
          </cell>
          <cell r="G114">
            <v>100</v>
          </cell>
          <cell r="H114">
            <v>52.8</v>
          </cell>
          <cell r="I114">
            <v>0</v>
          </cell>
          <cell r="J114">
            <v>0</v>
          </cell>
          <cell r="K114">
            <v>0</v>
          </cell>
          <cell r="L114">
            <v>0</v>
          </cell>
          <cell r="M114">
            <v>52.8</v>
          </cell>
          <cell r="N114">
            <v>-58.259893532131599</v>
          </cell>
          <cell r="O114">
            <v>-81.262812045728495</v>
          </cell>
          <cell r="P114">
            <v>23.002918513597098</v>
          </cell>
          <cell r="Q114">
            <v>0.119485171071394</v>
          </cell>
          <cell r="R114">
            <v>394.08021435877799</v>
          </cell>
          <cell r="S114">
            <v>930.69989090473302</v>
          </cell>
          <cell r="T114">
            <v>3.9981613271880899E-2</v>
          </cell>
          <cell r="U114">
            <v>4.8344699917079702E-2</v>
          </cell>
          <cell r="V114">
            <v>1.9333391161281101E-6</v>
          </cell>
          <cell r="W114">
            <v>0</v>
          </cell>
          <cell r="X114">
            <v>0</v>
          </cell>
          <cell r="Y114">
            <v>0</v>
          </cell>
          <cell r="Z114">
            <v>0</v>
          </cell>
          <cell r="AA114">
            <v>0</v>
          </cell>
          <cell r="AB114">
            <v>0</v>
          </cell>
          <cell r="AC114">
            <v>0</v>
          </cell>
          <cell r="AD114">
            <v>0</v>
          </cell>
          <cell r="AE114">
            <v>0</v>
          </cell>
          <cell r="AF114">
            <v>0</v>
          </cell>
          <cell r="AG114">
            <v>0</v>
          </cell>
          <cell r="AH114">
            <v>2.98712927678484E-2</v>
          </cell>
          <cell r="AI114">
            <v>98.520053589694598</v>
          </cell>
          <cell r="AJ114">
            <v>0.12</v>
          </cell>
          <cell r="AK114">
            <v>24</v>
          </cell>
          <cell r="AL114">
            <v>12.5</v>
          </cell>
          <cell r="AM114">
            <v>299.89999999999998</v>
          </cell>
          <cell r="AN114">
            <v>52.8</v>
          </cell>
          <cell r="AO114">
            <v>0</v>
          </cell>
          <cell r="AP114">
            <v>0</v>
          </cell>
          <cell r="AQ114">
            <v>0.1</v>
          </cell>
          <cell r="AR114">
            <v>0</v>
          </cell>
          <cell r="AS114">
            <v>0</v>
          </cell>
          <cell r="AT114">
            <v>12.5</v>
          </cell>
          <cell r="AU114">
            <v>0</v>
          </cell>
          <cell r="AV114">
            <v>0</v>
          </cell>
          <cell r="AW114">
            <v>0</v>
          </cell>
          <cell r="AX114">
            <v>0</v>
          </cell>
          <cell r="AY114">
            <v>0</v>
          </cell>
          <cell r="AZ114">
            <v>0.12</v>
          </cell>
          <cell r="BA114">
            <v>24</v>
          </cell>
          <cell r="BB114">
            <v>12.5</v>
          </cell>
          <cell r="BC114">
            <v>300</v>
          </cell>
          <cell r="BD114">
            <v>0</v>
          </cell>
          <cell r="BE114">
            <v>0</v>
          </cell>
          <cell r="BF114">
            <v>0</v>
          </cell>
          <cell r="BG114">
            <v>0</v>
          </cell>
          <cell r="BH114">
            <v>10.56</v>
          </cell>
          <cell r="BI114">
            <v>2.64</v>
          </cell>
        </row>
        <row r="115">
          <cell r="A115" t="str">
            <v>Eigene Holzmassiv-Außenwand</v>
          </cell>
          <cell r="B115" t="str">
            <v>m²</v>
          </cell>
        </row>
        <row r="116">
          <cell r="A116" t="str">
            <v>AW-Konstruktion Stahl</v>
          </cell>
          <cell r="B116" t="str">
            <v>m²</v>
          </cell>
        </row>
        <row r="117">
          <cell r="A117" t="str">
            <v>Eigene AW-Konstruktion Stahl</v>
          </cell>
          <cell r="B117" t="str">
            <v>m²</v>
          </cell>
        </row>
        <row r="118">
          <cell r="A118" t="str">
            <v>Bitte auswählen</v>
          </cell>
        </row>
        <row r="119">
          <cell r="A119" t="str">
            <v>Glaswolle zwischen Holzträger (E2.E.01)</v>
          </cell>
          <cell r="B119" t="str">
            <v>m³</v>
          </cell>
          <cell r="C119">
            <v>10</v>
          </cell>
          <cell r="D119" t="str">
            <v>E2-E-01c2-AW-HO_Gw</v>
          </cell>
          <cell r="E119">
            <v>1</v>
          </cell>
          <cell r="F119">
            <v>53.099443245036902</v>
          </cell>
          <cell r="G119">
            <v>70</v>
          </cell>
          <cell r="H119">
            <v>49.5</v>
          </cell>
          <cell r="I119">
            <v>0</v>
          </cell>
          <cell r="J119">
            <v>0</v>
          </cell>
          <cell r="K119">
            <v>0</v>
          </cell>
          <cell r="L119">
            <v>18</v>
          </cell>
          <cell r="M119">
            <v>67.5</v>
          </cell>
          <cell r="N119">
            <v>-16.988885877130699</v>
          </cell>
          <cell r="O119">
            <v>-81.765882910983194</v>
          </cell>
          <cell r="P119">
            <v>64.776997033852595</v>
          </cell>
          <cell r="Q119">
            <v>0.39239006590419101</v>
          </cell>
          <cell r="R119">
            <v>1198.3674631199999</v>
          </cell>
          <cell r="S119">
            <v>1278.3435988686999</v>
          </cell>
          <cell r="T119">
            <v>6.4618412095656497E-2</v>
          </cell>
          <cell r="U119">
            <v>0.17726848616118401</v>
          </cell>
          <cell r="V119">
            <v>6.1743967564118403E-6</v>
          </cell>
          <cell r="W119">
            <v>44.167496151632001</v>
          </cell>
          <cell r="X119">
            <v>0.27570963955633598</v>
          </cell>
          <cell r="Y119">
            <v>832.488387062828</v>
          </cell>
          <cell r="Z119">
            <v>49.010085097435798</v>
          </cell>
          <cell r="AA119">
            <v>3.0042195517528E-2</v>
          </cell>
          <cell r="AB119">
            <v>0.124354263253458</v>
          </cell>
          <cell r="AC119">
            <v>4.3895158286535904E-6</v>
          </cell>
          <cell r="AD119">
            <v>0</v>
          </cell>
          <cell r="AE119">
            <v>0</v>
          </cell>
          <cell r="AF119">
            <v>0</v>
          </cell>
          <cell r="AG119">
            <v>0</v>
          </cell>
          <cell r="AH119">
            <v>9.8097516476047794E-2</v>
          </cell>
          <cell r="AI119">
            <v>299.59186577999901</v>
          </cell>
          <cell r="AJ119">
            <v>1</v>
          </cell>
          <cell r="AK119">
            <v>290</v>
          </cell>
          <cell r="AL119">
            <v>25</v>
          </cell>
          <cell r="AM119">
            <v>3625</v>
          </cell>
          <cell r="AN119">
            <v>49.5</v>
          </cell>
          <cell r="AO119">
            <v>0</v>
          </cell>
          <cell r="AP119">
            <v>0</v>
          </cell>
          <cell r="AQ119">
            <v>0</v>
          </cell>
          <cell r="AR119">
            <v>18</v>
          </cell>
          <cell r="AS119">
            <v>5400</v>
          </cell>
          <cell r="AT119">
            <v>25</v>
          </cell>
          <cell r="AU119">
            <v>67499.899999999994</v>
          </cell>
          <cell r="AV119">
            <v>18</v>
          </cell>
          <cell r="AW119">
            <v>0</v>
          </cell>
          <cell r="AX119">
            <v>0</v>
          </cell>
          <cell r="AY119">
            <v>0.1</v>
          </cell>
          <cell r="AZ119">
            <v>19</v>
          </cell>
          <cell r="BA119">
            <v>5690</v>
          </cell>
          <cell r="BB119">
            <v>25</v>
          </cell>
          <cell r="BC119">
            <v>71124.899999999994</v>
          </cell>
          <cell r="BD119">
            <v>18.899999999999999</v>
          </cell>
          <cell r="BE119">
            <v>0.1</v>
          </cell>
          <cell r="BF119">
            <v>0</v>
          </cell>
          <cell r="BG119">
            <v>0.1</v>
          </cell>
          <cell r="BH119">
            <v>15.3</v>
          </cell>
          <cell r="BI119">
            <v>3.375</v>
          </cell>
        </row>
        <row r="120">
          <cell r="A120" t="str">
            <v>Hanffaser zwischen Holzträger</v>
          </cell>
          <cell r="B120" t="str">
            <v>m³</v>
          </cell>
          <cell r="C120">
            <v>11</v>
          </cell>
          <cell r="D120" t="str">
            <v>E2-E-01c2-AW-HO_Hanf</v>
          </cell>
          <cell r="E120">
            <v>1</v>
          </cell>
          <cell r="F120">
            <v>103.707101756913</v>
          </cell>
          <cell r="G120">
            <v>70</v>
          </cell>
          <cell r="H120">
            <v>126</v>
          </cell>
          <cell r="I120">
            <v>0</v>
          </cell>
          <cell r="J120">
            <v>0</v>
          </cell>
          <cell r="K120">
            <v>0</v>
          </cell>
          <cell r="L120">
            <v>0</v>
          </cell>
          <cell r="M120">
            <v>126</v>
          </cell>
          <cell r="N120">
            <v>-55.2388505418972</v>
          </cell>
          <cell r="O120">
            <v>-184.934531865906</v>
          </cell>
          <cell r="P120">
            <v>129.695681324009</v>
          </cell>
          <cell r="Q120">
            <v>0.47939754058332801</v>
          </cell>
          <cell r="R120">
            <v>2559.81714308356</v>
          </cell>
          <cell r="S120">
            <v>2438.6451583000398</v>
          </cell>
          <cell r="T120">
            <v>7.8767726867211493E-2</v>
          </cell>
          <cell r="U120">
            <v>0.19748415074407399</v>
          </cell>
          <cell r="V120">
            <v>1.08655950670921E-5</v>
          </cell>
          <cell r="W120">
            <v>109.086180441788</v>
          </cell>
          <cell r="X120">
            <v>0.36271711423547198</v>
          </cell>
          <cell r="Y120">
            <v>2193.9380670263999</v>
          </cell>
          <cell r="Z120">
            <v>1209.3116445287801</v>
          </cell>
          <cell r="AA120">
            <v>4.4191510289082997E-2</v>
          </cell>
          <cell r="AB120">
            <v>0.14456992783634801</v>
          </cell>
          <cell r="AC120">
            <v>9.0807141393338393E-6</v>
          </cell>
          <cell r="AD120">
            <v>0</v>
          </cell>
          <cell r="AE120">
            <v>0</v>
          </cell>
          <cell r="AF120">
            <v>0</v>
          </cell>
          <cell r="AG120">
            <v>0</v>
          </cell>
          <cell r="AH120">
            <v>0.119849385145832</v>
          </cell>
          <cell r="AI120">
            <v>639.95428577089103</v>
          </cell>
          <cell r="AJ120">
            <v>1</v>
          </cell>
          <cell r="AK120">
            <v>290</v>
          </cell>
          <cell r="AL120">
            <v>25</v>
          </cell>
          <cell r="AM120">
            <v>3625</v>
          </cell>
          <cell r="AN120">
            <v>126</v>
          </cell>
          <cell r="AO120">
            <v>0</v>
          </cell>
          <cell r="AP120">
            <v>0</v>
          </cell>
          <cell r="AQ120">
            <v>0</v>
          </cell>
          <cell r="AR120">
            <v>0</v>
          </cell>
          <cell r="AS120">
            <v>0</v>
          </cell>
          <cell r="AT120">
            <v>25</v>
          </cell>
          <cell r="AU120">
            <v>0</v>
          </cell>
          <cell r="AV120">
            <v>0</v>
          </cell>
          <cell r="AW120">
            <v>0</v>
          </cell>
          <cell r="AX120">
            <v>0</v>
          </cell>
          <cell r="AY120">
            <v>0</v>
          </cell>
          <cell r="AZ120">
            <v>1</v>
          </cell>
          <cell r="BA120">
            <v>290</v>
          </cell>
          <cell r="BB120">
            <v>25</v>
          </cell>
          <cell r="BC120">
            <v>3624.9</v>
          </cell>
          <cell r="BD120">
            <v>0</v>
          </cell>
          <cell r="BE120">
            <v>1</v>
          </cell>
          <cell r="BF120">
            <v>0</v>
          </cell>
          <cell r="BG120">
            <v>0.1</v>
          </cell>
          <cell r="BH120">
            <v>32.85</v>
          </cell>
          <cell r="BI120">
            <v>6.3</v>
          </cell>
        </row>
        <row r="121">
          <cell r="A121" t="str">
            <v>Schafwolle zwischen Holzträger</v>
          </cell>
          <cell r="B121" t="str">
            <v>m³</v>
          </cell>
          <cell r="C121">
            <v>12</v>
          </cell>
          <cell r="D121" t="str">
            <v>E2-E-01c2-AW-HO_Schaf</v>
          </cell>
          <cell r="E121">
            <v>1</v>
          </cell>
          <cell r="F121">
            <v>16.230042942052499</v>
          </cell>
          <cell r="G121">
            <v>70</v>
          </cell>
          <cell r="H121">
            <v>76.5</v>
          </cell>
          <cell r="I121">
            <v>0</v>
          </cell>
          <cell r="J121">
            <v>0</v>
          </cell>
          <cell r="K121">
            <v>0</v>
          </cell>
          <cell r="L121">
            <v>0</v>
          </cell>
          <cell r="M121">
            <v>76.5</v>
          </cell>
          <cell r="N121">
            <v>-46.6543240562767</v>
          </cell>
          <cell r="O121">
            <v>-125.18019922534501</v>
          </cell>
          <cell r="P121">
            <v>78.5258751690683</v>
          </cell>
          <cell r="Q121">
            <v>0.22781233368877099</v>
          </cell>
          <cell r="R121">
            <v>898.92357378787199</v>
          </cell>
          <cell r="S121">
            <v>1244.6472149346</v>
          </cell>
          <cell r="T121">
            <v>5.3691898393830498E-2</v>
          </cell>
          <cell r="U121">
            <v>9.8101931007924206E-2</v>
          </cell>
          <cell r="V121">
            <v>5.2978544734645604E-6</v>
          </cell>
          <cell r="W121">
            <v>57.916374286847798</v>
          </cell>
          <cell r="X121">
            <v>0.11113190734091601</v>
          </cell>
          <cell r="Y121">
            <v>533.04449773070405</v>
          </cell>
          <cell r="Z121">
            <v>15.313701163337599</v>
          </cell>
          <cell r="AA121">
            <v>1.9115681815702001E-2</v>
          </cell>
          <cell r="AB121">
            <v>4.5187708100198197E-2</v>
          </cell>
          <cell r="AC121">
            <v>3.51297354570631E-6</v>
          </cell>
          <cell r="AD121">
            <v>0</v>
          </cell>
          <cell r="AE121">
            <v>0</v>
          </cell>
          <cell r="AF121">
            <v>0</v>
          </cell>
          <cell r="AG121">
            <v>0</v>
          </cell>
          <cell r="AH121">
            <v>5.6953083422192803E-2</v>
          </cell>
          <cell r="AI121">
            <v>224.730893446968</v>
          </cell>
          <cell r="AJ121">
            <v>1</v>
          </cell>
          <cell r="AK121">
            <v>290</v>
          </cell>
          <cell r="AL121">
            <v>25</v>
          </cell>
          <cell r="AM121">
            <v>3625</v>
          </cell>
          <cell r="AN121">
            <v>76.5</v>
          </cell>
          <cell r="AO121">
            <v>0</v>
          </cell>
          <cell r="AP121">
            <v>0</v>
          </cell>
          <cell r="AQ121">
            <v>0</v>
          </cell>
          <cell r="AR121">
            <v>0</v>
          </cell>
          <cell r="AS121">
            <v>0</v>
          </cell>
          <cell r="AT121">
            <v>25</v>
          </cell>
          <cell r="AU121">
            <v>0</v>
          </cell>
          <cell r="AV121">
            <v>0</v>
          </cell>
          <cell r="AW121">
            <v>0</v>
          </cell>
          <cell r="AX121">
            <v>0</v>
          </cell>
          <cell r="AY121">
            <v>0</v>
          </cell>
          <cell r="AZ121">
            <v>1</v>
          </cell>
          <cell r="BA121">
            <v>290</v>
          </cell>
          <cell r="BB121">
            <v>25</v>
          </cell>
          <cell r="BC121">
            <v>3624.9</v>
          </cell>
          <cell r="BD121">
            <v>0</v>
          </cell>
          <cell r="BE121">
            <v>1</v>
          </cell>
          <cell r="BF121">
            <v>0</v>
          </cell>
          <cell r="BG121">
            <v>0.1</v>
          </cell>
          <cell r="BH121">
            <v>18</v>
          </cell>
          <cell r="BI121">
            <v>3.8250000000000002</v>
          </cell>
        </row>
        <row r="122">
          <cell r="A122" t="str">
            <v>Zellulose zwischen Holzträger (E2.E.01)</v>
          </cell>
          <cell r="B122" t="str">
            <v>m³</v>
          </cell>
          <cell r="C122">
            <v>13</v>
          </cell>
          <cell r="D122" t="str">
            <v>E2-E-01c2-AW-HO_Zell</v>
          </cell>
          <cell r="E122">
            <v>1</v>
          </cell>
          <cell r="F122">
            <v>8.7189502948604893</v>
          </cell>
          <cell r="G122">
            <v>70</v>
          </cell>
          <cell r="H122">
            <v>2</v>
          </cell>
          <cell r="I122">
            <v>0</v>
          </cell>
          <cell r="J122">
            <v>0</v>
          </cell>
          <cell r="K122">
            <v>0</v>
          </cell>
          <cell r="L122">
            <v>0</v>
          </cell>
          <cell r="M122">
            <v>99</v>
          </cell>
          <cell r="N122">
            <v>-104.954670939873</v>
          </cell>
          <cell r="O122">
            <v>-153.32750372332501</v>
          </cell>
          <cell r="P122">
            <v>48.372832783451599</v>
          </cell>
          <cell r="Q122">
            <v>0.28871728963816901</v>
          </cell>
          <cell r="R122">
            <v>721.47270499250396</v>
          </cell>
          <cell r="S122">
            <v>1299.3984318719199</v>
          </cell>
          <cell r="T122">
            <v>4.8676309093821701E-2</v>
          </cell>
          <cell r="U122">
            <v>0.122826446266193</v>
          </cell>
          <cell r="V122">
            <v>3.8283463631517298E-6</v>
          </cell>
          <cell r="W122">
            <v>27.763331901231101</v>
          </cell>
          <cell r="X122">
            <v>0.17203686329031301</v>
          </cell>
          <cell r="Y122">
            <v>355.59362893533603</v>
          </cell>
          <cell r="Z122">
            <v>70.064918100654396</v>
          </cell>
          <cell r="AA122">
            <v>1.41000925156932E-2</v>
          </cell>
          <cell r="AB122">
            <v>6.9912223358467099E-2</v>
          </cell>
          <cell r="AC122">
            <v>2.0434654353934901E-6</v>
          </cell>
          <cell r="AD122">
            <v>0</v>
          </cell>
          <cell r="AE122">
            <v>0</v>
          </cell>
          <cell r="AF122">
            <v>0</v>
          </cell>
          <cell r="AG122">
            <v>0</v>
          </cell>
          <cell r="AH122">
            <v>7.2179322409542307E-2</v>
          </cell>
          <cell r="AI122">
            <v>180.36817624812599</v>
          </cell>
          <cell r="AJ122">
            <v>1</v>
          </cell>
          <cell r="AK122">
            <v>290</v>
          </cell>
          <cell r="AL122">
            <v>25</v>
          </cell>
          <cell r="AM122">
            <v>3625</v>
          </cell>
          <cell r="AN122">
            <v>2</v>
          </cell>
          <cell r="AO122">
            <v>0</v>
          </cell>
          <cell r="AP122">
            <v>0</v>
          </cell>
          <cell r="AQ122">
            <v>0</v>
          </cell>
          <cell r="AR122">
            <v>0</v>
          </cell>
          <cell r="AS122">
            <v>0</v>
          </cell>
          <cell r="AT122">
            <v>25</v>
          </cell>
          <cell r="AU122">
            <v>0</v>
          </cell>
          <cell r="AV122">
            <v>0</v>
          </cell>
          <cell r="AW122">
            <v>0</v>
          </cell>
          <cell r="AX122">
            <v>0</v>
          </cell>
          <cell r="AY122">
            <v>0</v>
          </cell>
          <cell r="AZ122">
            <v>1</v>
          </cell>
          <cell r="BA122">
            <v>290</v>
          </cell>
          <cell r="BB122">
            <v>25</v>
          </cell>
          <cell r="BC122">
            <v>3624.9</v>
          </cell>
          <cell r="BD122">
            <v>0</v>
          </cell>
          <cell r="BE122">
            <v>1</v>
          </cell>
          <cell r="BF122">
            <v>0</v>
          </cell>
          <cell r="BG122">
            <v>0.1</v>
          </cell>
          <cell r="BH122">
            <v>24.75</v>
          </cell>
          <cell r="BI122">
            <v>4.95</v>
          </cell>
        </row>
        <row r="123">
          <cell r="A123" t="str">
            <v>Glaswolle zwischen Holz-I-Träger</v>
          </cell>
          <cell r="B123" t="str">
            <v>m³</v>
          </cell>
          <cell r="C123">
            <v>14</v>
          </cell>
          <cell r="D123" t="str">
            <v>E2-E-01c2-AW-HOI_Gw</v>
          </cell>
          <cell r="E123">
            <v>1</v>
          </cell>
          <cell r="F123">
            <v>52.179543183858001</v>
          </cell>
          <cell r="G123">
            <v>70</v>
          </cell>
          <cell r="H123">
            <v>18.533000000000001</v>
          </cell>
          <cell r="I123">
            <v>0</v>
          </cell>
          <cell r="J123">
            <v>0</v>
          </cell>
          <cell r="K123">
            <v>0</v>
          </cell>
          <cell r="L123">
            <v>19.46</v>
          </cell>
          <cell r="M123">
            <v>37.993000000000002</v>
          </cell>
          <cell r="N123">
            <v>29.4923796931539</v>
          </cell>
          <cell r="O123">
            <v>-28.5538316741134</v>
          </cell>
          <cell r="P123">
            <v>58.046211367267198</v>
          </cell>
          <cell r="Q123">
            <v>0.35141107230302998</v>
          </cell>
          <cell r="R123">
            <v>1102.28010783785</v>
          </cell>
          <cell r="S123">
            <v>514.91796850390097</v>
          </cell>
          <cell r="T123">
            <v>4.2749727847286402E-2</v>
          </cell>
          <cell r="U123">
            <v>0.15587181429467101</v>
          </cell>
          <cell r="V123">
            <v>5.6773755283863997E-6</v>
          </cell>
          <cell r="W123">
            <v>47.7499708394866</v>
          </cell>
          <cell r="X123">
            <v>0.298072754764794</v>
          </cell>
          <cell r="Y123">
            <v>900.01244512459095</v>
          </cell>
          <cell r="Z123">
            <v>52.985347555338898</v>
          </cell>
          <cell r="AA123">
            <v>3.2478951376172002E-2</v>
          </cell>
          <cell r="AB123">
            <v>0.134440775717349</v>
          </cell>
          <cell r="AC123">
            <v>4.7455543347554904E-6</v>
          </cell>
          <cell r="AD123">
            <v>0</v>
          </cell>
          <cell r="AE123">
            <v>0</v>
          </cell>
          <cell r="AF123">
            <v>0</v>
          </cell>
          <cell r="AG123">
            <v>0</v>
          </cell>
          <cell r="AH123">
            <v>8.7852768075757606E-2</v>
          </cell>
          <cell r="AI123">
            <v>275.57002695946198</v>
          </cell>
          <cell r="AJ123">
            <v>1</v>
          </cell>
          <cell r="AK123">
            <v>300</v>
          </cell>
          <cell r="AL123">
            <v>37.5</v>
          </cell>
          <cell r="AM123">
            <v>3750</v>
          </cell>
          <cell r="AN123">
            <v>18.533000000000001</v>
          </cell>
          <cell r="AO123">
            <v>0</v>
          </cell>
          <cell r="AP123">
            <v>0</v>
          </cell>
          <cell r="AQ123">
            <v>0</v>
          </cell>
          <cell r="AR123">
            <v>19.46</v>
          </cell>
          <cell r="AS123">
            <v>5838</v>
          </cell>
          <cell r="AT123">
            <v>37.5</v>
          </cell>
          <cell r="AU123">
            <v>72974.899999999994</v>
          </cell>
          <cell r="AV123">
            <v>19.46</v>
          </cell>
          <cell r="AW123">
            <v>0</v>
          </cell>
          <cell r="AX123">
            <v>0</v>
          </cell>
          <cell r="AY123">
            <v>0.1</v>
          </cell>
          <cell r="AZ123">
            <v>20.46</v>
          </cell>
          <cell r="BA123">
            <v>6138</v>
          </cell>
          <cell r="BB123">
            <v>37.5</v>
          </cell>
          <cell r="BC123">
            <v>76724.899999999994</v>
          </cell>
          <cell r="BD123">
            <v>20.433</v>
          </cell>
          <cell r="BE123">
            <v>2.7E-2</v>
          </cell>
          <cell r="BF123">
            <v>0</v>
          </cell>
          <cell r="BG123">
            <v>0.1</v>
          </cell>
          <cell r="BH123">
            <v>11.3979</v>
          </cell>
          <cell r="BI123">
            <v>1.8996500000000001</v>
          </cell>
        </row>
        <row r="124">
          <cell r="A124" t="str">
            <v>Mineralwolle</v>
          </cell>
        </row>
        <row r="125">
          <cell r="A125" t="str">
            <v>Eigene Dämmung zwischen Holzträger</v>
          </cell>
          <cell r="B125" t="str">
            <v>m³</v>
          </cell>
        </row>
        <row r="126">
          <cell r="A126" t="str">
            <v>Bitte auswählen</v>
          </cell>
        </row>
        <row r="127">
          <cell r="A127" t="str">
            <v>Beplankung mit Spanplatten + Dampfbremse</v>
          </cell>
          <cell r="B127" t="str">
            <v>m²</v>
          </cell>
          <cell r="D127" t="str">
            <v>E2-E-01c2-AW-HO_Sp-Sp</v>
          </cell>
          <cell r="F127">
            <v>-23.765937657355298</v>
          </cell>
          <cell r="G127">
            <v>50</v>
          </cell>
          <cell r="H127">
            <v>25.84</v>
          </cell>
          <cell r="I127">
            <v>0.2</v>
          </cell>
          <cell r="J127">
            <v>0</v>
          </cell>
          <cell r="K127">
            <v>0</v>
          </cell>
          <cell r="L127">
            <v>0</v>
          </cell>
          <cell r="M127">
            <v>26.04</v>
          </cell>
          <cell r="N127">
            <v>-32.0062024368967</v>
          </cell>
          <cell r="O127">
            <v>-44.970540630773598</v>
          </cell>
          <cell r="P127">
            <v>12.964338193876999</v>
          </cell>
          <cell r="Q127">
            <v>5.0729884862550298E-2</v>
          </cell>
          <cell r="R127">
            <v>334.13334301362198</v>
          </cell>
          <cell r="S127">
            <v>551.99659536912804</v>
          </cell>
          <cell r="T127">
            <v>1.54450309422005E-2</v>
          </cell>
          <cell r="U127">
            <v>2.09218158379187E-2</v>
          </cell>
          <cell r="V127">
            <v>6.7410661920332603E-7</v>
          </cell>
          <cell r="W127">
            <v>12.964338193876999</v>
          </cell>
          <cell r="X127">
            <v>5.0729884862550298E-2</v>
          </cell>
          <cell r="Y127">
            <v>334.13334301362198</v>
          </cell>
          <cell r="Z127">
            <v>551.99659536912804</v>
          </cell>
          <cell r="AA127">
            <v>1.54450309422005E-2</v>
          </cell>
          <cell r="AB127">
            <v>2.09218158379187E-2</v>
          </cell>
          <cell r="AC127">
            <v>6.7410661920332603E-7</v>
          </cell>
          <cell r="AD127">
            <v>0</v>
          </cell>
          <cell r="AE127">
            <v>0</v>
          </cell>
          <cell r="AF127">
            <v>0</v>
          </cell>
          <cell r="AG127">
            <v>0</v>
          </cell>
          <cell r="AH127">
            <v>1.2682471215637601E-2</v>
          </cell>
          <cell r="AI127">
            <v>83.533335753405595</v>
          </cell>
          <cell r="AJ127">
            <v>3.8204081632653097E-2</v>
          </cell>
          <cell r="AK127">
            <v>11.461224489795899</v>
          </cell>
          <cell r="AL127">
            <v>37.5</v>
          </cell>
          <cell r="AM127">
            <v>143.265306122449</v>
          </cell>
          <cell r="AN127">
            <v>25.84</v>
          </cell>
          <cell r="AO127">
            <v>0.2</v>
          </cell>
          <cell r="AP127">
            <v>0</v>
          </cell>
          <cell r="AQ127">
            <v>0</v>
          </cell>
          <cell r="AR127">
            <v>0</v>
          </cell>
          <cell r="AS127">
            <v>0</v>
          </cell>
          <cell r="AT127">
            <v>37.5</v>
          </cell>
          <cell r="AU127">
            <v>0</v>
          </cell>
          <cell r="AV127">
            <v>0</v>
          </cell>
          <cell r="AW127">
            <v>0</v>
          </cell>
          <cell r="AX127">
            <v>0</v>
          </cell>
          <cell r="AY127">
            <v>0</v>
          </cell>
          <cell r="AZ127">
            <v>3.8204081632653097E-2</v>
          </cell>
          <cell r="BA127">
            <v>11.461224489795899</v>
          </cell>
          <cell r="BB127">
            <v>37.5</v>
          </cell>
          <cell r="BC127">
            <v>143.16530612244901</v>
          </cell>
          <cell r="BD127">
            <v>0</v>
          </cell>
          <cell r="BE127">
            <v>3.8204081632653097E-2</v>
          </cell>
          <cell r="BF127">
            <v>0</v>
          </cell>
          <cell r="BG127">
            <v>0.1</v>
          </cell>
          <cell r="BH127">
            <v>7.8120000000000003</v>
          </cell>
          <cell r="BI127">
            <v>1.302</v>
          </cell>
        </row>
        <row r="128">
          <cell r="A128" t="str">
            <v>Beplankung OSB / MDF-Platte + Dampfbremse</v>
          </cell>
          <cell r="B128" t="str">
            <v>m²</v>
          </cell>
          <cell r="D128" t="str">
            <v>E2-E-01c2-AW-HO_MDF-OSB</v>
          </cell>
          <cell r="F128">
            <v>-24.287480126922802</v>
          </cell>
          <cell r="G128">
            <v>50</v>
          </cell>
          <cell r="H128">
            <v>20.686</v>
          </cell>
          <cell r="I128">
            <v>0.2</v>
          </cell>
          <cell r="J128">
            <v>0</v>
          </cell>
          <cell r="K128">
            <v>0</v>
          </cell>
          <cell r="L128">
            <v>0</v>
          </cell>
          <cell r="M128">
            <v>20.885999999999999</v>
          </cell>
          <cell r="N128">
            <v>-22.239959527812001</v>
          </cell>
          <cell r="O128">
            <v>-33.660382961517797</v>
          </cell>
          <cell r="P128">
            <v>11.4204234337058</v>
          </cell>
          <cell r="Q128">
            <v>6.3812950240075605E-2</v>
          </cell>
          <cell r="R128">
            <v>217.323592871073</v>
          </cell>
          <cell r="S128">
            <v>273.88423555631698</v>
          </cell>
          <cell r="T128">
            <v>1.23024495700774E-2</v>
          </cell>
          <cell r="U128">
            <v>1.3109178346661299E-2</v>
          </cell>
          <cell r="V128">
            <v>2.6277367662015799E-6</v>
          </cell>
          <cell r="W128">
            <v>11.4204234337058</v>
          </cell>
          <cell r="X128">
            <v>6.3812950240075605E-2</v>
          </cell>
          <cell r="Y128">
            <v>217.323592871073</v>
          </cell>
          <cell r="Z128">
            <v>273.88423555631698</v>
          </cell>
          <cell r="AA128">
            <v>1.23024495700774E-2</v>
          </cell>
          <cell r="AB128">
            <v>1.3109178346661299E-2</v>
          </cell>
          <cell r="AC128">
            <v>2.6277367662015799E-6</v>
          </cell>
          <cell r="AD128">
            <v>0</v>
          </cell>
          <cell r="AE128">
            <v>0</v>
          </cell>
          <cell r="AF128">
            <v>0</v>
          </cell>
          <cell r="AG128">
            <v>0</v>
          </cell>
          <cell r="AH128">
            <v>1.5953237560018901E-2</v>
          </cell>
          <cell r="AI128">
            <v>54.330898217768301</v>
          </cell>
          <cell r="AJ128">
            <v>3.4204081632653101E-2</v>
          </cell>
          <cell r="AK128">
            <v>10.2612244897959</v>
          </cell>
          <cell r="AL128">
            <v>37.5</v>
          </cell>
          <cell r="AM128">
            <v>128.265306122449</v>
          </cell>
          <cell r="AN128">
            <v>20.686</v>
          </cell>
          <cell r="AO128">
            <v>0.2</v>
          </cell>
          <cell r="AP128">
            <v>0</v>
          </cell>
          <cell r="AQ128">
            <v>0</v>
          </cell>
          <cell r="AR128">
            <v>0</v>
          </cell>
          <cell r="AS128">
            <v>0</v>
          </cell>
          <cell r="AT128">
            <v>37.5</v>
          </cell>
          <cell r="AU128">
            <v>0</v>
          </cell>
          <cell r="AV128">
            <v>0</v>
          </cell>
          <cell r="AW128">
            <v>0</v>
          </cell>
          <cell r="AX128">
            <v>0</v>
          </cell>
          <cell r="AY128">
            <v>0</v>
          </cell>
          <cell r="AZ128">
            <v>3.4204081632653101E-2</v>
          </cell>
          <cell r="BA128">
            <v>10.2612244897959</v>
          </cell>
          <cell r="BB128">
            <v>37.5</v>
          </cell>
          <cell r="BC128">
            <v>128.16530612244901</v>
          </cell>
          <cell r="BD128">
            <v>0</v>
          </cell>
          <cell r="BE128">
            <v>3.4204081632653101E-2</v>
          </cell>
          <cell r="BF128">
            <v>0</v>
          </cell>
          <cell r="BG128">
            <v>0.1</v>
          </cell>
          <cell r="BH128">
            <v>6.2657999999999996</v>
          </cell>
          <cell r="BI128">
            <v>1.0443</v>
          </cell>
        </row>
        <row r="129">
          <cell r="A129" t="str">
            <v>Holzverschalung + Winddichtung + Dampfbremse</v>
          </cell>
          <cell r="B129" t="str">
            <v>m²</v>
          </cell>
          <cell r="D129" t="str">
            <v>E2-E-01c2-AW-HO_Holzverkl</v>
          </cell>
          <cell r="F129">
            <v>-37.097762567292698</v>
          </cell>
          <cell r="G129">
            <v>50</v>
          </cell>
          <cell r="H129">
            <v>21.6</v>
          </cell>
          <cell r="I129">
            <v>0.26</v>
          </cell>
          <cell r="J129">
            <v>0</v>
          </cell>
          <cell r="K129">
            <v>0</v>
          </cell>
          <cell r="L129">
            <v>0</v>
          </cell>
          <cell r="M129">
            <v>21.86</v>
          </cell>
          <cell r="N129">
            <v>-29.627888318899899</v>
          </cell>
          <cell r="O129" t="e">
            <v>#VALUE!</v>
          </cell>
          <cell r="P129">
            <v>3.0571025734885899</v>
          </cell>
          <cell r="Q129">
            <v>1.6124010223716099E-2</v>
          </cell>
          <cell r="R129">
            <v>60.7105236808531</v>
          </cell>
          <cell r="S129">
            <v>369.82648845602802</v>
          </cell>
          <cell r="T129">
            <v>8.9446282100908506E-3</v>
          </cell>
          <cell r="U129">
            <v>5.6747327334537899E-3</v>
          </cell>
          <cell r="V129">
            <v>2.7517583574250298E-7</v>
          </cell>
          <cell r="W129">
            <v>3.0571025734885899</v>
          </cell>
          <cell r="X129">
            <v>1.6124010223716099E-2</v>
          </cell>
          <cell r="Y129">
            <v>60.7105236808531</v>
          </cell>
          <cell r="Z129">
            <v>369.82648845602802</v>
          </cell>
          <cell r="AA129">
            <v>8.9446282100908506E-3</v>
          </cell>
          <cell r="AB129">
            <v>5.6747327334537899E-3</v>
          </cell>
          <cell r="AC129">
            <v>2.7517583574250298E-7</v>
          </cell>
          <cell r="AD129">
            <v>0</v>
          </cell>
          <cell r="AE129">
            <v>0</v>
          </cell>
          <cell r="AF129">
            <v>0</v>
          </cell>
          <cell r="AG129">
            <v>0</v>
          </cell>
          <cell r="AH129">
            <v>4.0310025559290204E-3</v>
          </cell>
          <cell r="AI129">
            <v>15.1776309202133</v>
          </cell>
          <cell r="AJ129">
            <v>4.0264081632653097E-2</v>
          </cell>
          <cell r="AK129">
            <v>8.0792244897959193</v>
          </cell>
          <cell r="AL129">
            <v>50</v>
          </cell>
          <cell r="AM129">
            <v>100.990306122449</v>
          </cell>
          <cell r="AN129">
            <v>21.6</v>
          </cell>
          <cell r="AO129">
            <v>0.26</v>
          </cell>
          <cell r="AP129">
            <v>0</v>
          </cell>
          <cell r="AQ129">
            <v>0</v>
          </cell>
          <cell r="AR129">
            <v>0</v>
          </cell>
          <cell r="AS129">
            <v>0</v>
          </cell>
          <cell r="AT129">
            <v>50</v>
          </cell>
          <cell r="AU129">
            <v>0</v>
          </cell>
          <cell r="AV129">
            <v>0</v>
          </cell>
          <cell r="AW129">
            <v>0</v>
          </cell>
          <cell r="AX129">
            <v>0</v>
          </cell>
          <cell r="AY129">
            <v>0</v>
          </cell>
          <cell r="AZ129">
            <v>4.0264081632653097E-2</v>
          </cell>
          <cell r="BA129">
            <v>8.0792244897959193</v>
          </cell>
          <cell r="BB129">
            <v>50</v>
          </cell>
          <cell r="BC129">
            <v>100.890306122449</v>
          </cell>
          <cell r="BD129">
            <v>0</v>
          </cell>
          <cell r="BE129">
            <v>4.0264081632653097E-2</v>
          </cell>
          <cell r="BF129">
            <v>0</v>
          </cell>
          <cell r="BG129">
            <v>0.1</v>
          </cell>
          <cell r="BH129">
            <v>4.3979999999999997</v>
          </cell>
          <cell r="BI129">
            <v>1.093</v>
          </cell>
        </row>
        <row r="130">
          <cell r="A130" t="str">
            <v>Eigene Beplankung</v>
          </cell>
          <cell r="B130" t="str">
            <v>m²</v>
          </cell>
        </row>
        <row r="131">
          <cell r="A131" t="str">
            <v>Bitte auswählen</v>
          </cell>
        </row>
        <row r="132">
          <cell r="A132" t="str">
            <v>Stahlbetonwand 18 cm (IW)</v>
          </cell>
          <cell r="B132" t="str">
            <v>m²</v>
          </cell>
          <cell r="C132">
            <v>1</v>
          </cell>
          <cell r="D132" t="str">
            <v>E2-E-02a_IW-STB18</v>
          </cell>
          <cell r="E132">
            <v>1</v>
          </cell>
          <cell r="F132">
            <v>18.6316653521882</v>
          </cell>
          <cell r="G132">
            <v>100</v>
          </cell>
          <cell r="H132">
            <v>0</v>
          </cell>
          <cell r="I132">
            <v>0</v>
          </cell>
          <cell r="J132">
            <v>21.06</v>
          </cell>
          <cell r="K132">
            <v>428.22</v>
          </cell>
          <cell r="L132">
            <v>0</v>
          </cell>
          <cell r="M132">
            <v>449.28</v>
          </cell>
          <cell r="N132">
            <v>65.917881854811498</v>
          </cell>
          <cell r="O132">
            <v>-0.110648511322968</v>
          </cell>
          <cell r="P132">
            <v>66.028530366134504</v>
          </cell>
          <cell r="Q132">
            <v>0.16806567761435401</v>
          </cell>
          <cell r="R132">
            <v>647.09784083417298</v>
          </cell>
          <cell r="S132">
            <v>22.719736588283801</v>
          </cell>
          <cell r="T132">
            <v>3.0270717531738999E-2</v>
          </cell>
          <cell r="U132">
            <v>0.103792052893315</v>
          </cell>
          <cell r="V132">
            <v>2.11822227455901E-6</v>
          </cell>
          <cell r="W132">
            <v>0.43804320252159201</v>
          </cell>
          <cell r="X132">
            <v>1.62969763967187E-3</v>
          </cell>
          <cell r="Y132">
            <v>8.2818585760966403</v>
          </cell>
          <cell r="Z132">
            <v>0.57845866782823696</v>
          </cell>
          <cell r="AA132">
            <v>1.4873540662141801E-4</v>
          </cell>
          <cell r="AB132">
            <v>7.3376040980484205E-4</v>
          </cell>
          <cell r="AC132">
            <v>4.5011901461152303E-8</v>
          </cell>
          <cell r="AD132">
            <v>0</v>
          </cell>
          <cell r="AE132">
            <v>0</v>
          </cell>
          <cell r="AF132">
            <v>0</v>
          </cell>
          <cell r="AG132">
            <v>0</v>
          </cell>
          <cell r="AH132">
            <v>4.2016419403588398E-2</v>
          </cell>
          <cell r="AI132">
            <v>161.77446020854299</v>
          </cell>
          <cell r="AJ132">
            <v>0.183</v>
          </cell>
          <cell r="AK132">
            <v>10.574999999999999</v>
          </cell>
          <cell r="AL132">
            <v>37.5</v>
          </cell>
          <cell r="AM132">
            <v>132.08750000000001</v>
          </cell>
          <cell r="AN132">
            <v>0</v>
          </cell>
          <cell r="AO132">
            <v>0</v>
          </cell>
          <cell r="AP132">
            <v>21.06</v>
          </cell>
          <cell r="AQ132">
            <v>0.1</v>
          </cell>
          <cell r="AR132">
            <v>2.9999999999999701E-3</v>
          </cell>
          <cell r="AS132">
            <v>0.89999999999999902</v>
          </cell>
          <cell r="AT132">
            <v>37.5</v>
          </cell>
          <cell r="AU132">
            <v>11.15</v>
          </cell>
          <cell r="AV132">
            <v>2.9999999999999701E-3</v>
          </cell>
          <cell r="AW132">
            <v>0</v>
          </cell>
          <cell r="AX132">
            <v>0</v>
          </cell>
          <cell r="AY132">
            <v>0.1</v>
          </cell>
          <cell r="AZ132">
            <v>0.186</v>
          </cell>
          <cell r="BA132">
            <v>11.475</v>
          </cell>
          <cell r="BB132">
            <v>37.5</v>
          </cell>
          <cell r="BC132">
            <v>143.33750000000001</v>
          </cell>
          <cell r="BD132">
            <v>0.18329999999999999</v>
          </cell>
          <cell r="BE132">
            <v>0</v>
          </cell>
          <cell r="BF132">
            <v>2.7000000000000001E-3</v>
          </cell>
          <cell r="BG132">
            <v>0.1</v>
          </cell>
          <cell r="BH132">
            <v>28.404</v>
          </cell>
          <cell r="BI132">
            <v>22.463999999999999</v>
          </cell>
        </row>
        <row r="133">
          <cell r="A133" t="str">
            <v>Schallschutzfüllziegel</v>
          </cell>
          <cell r="B133" t="str">
            <v>m²</v>
          </cell>
          <cell r="C133">
            <v>2</v>
          </cell>
          <cell r="D133" t="str">
            <v>E2-E-02a_IW-SSZ</v>
          </cell>
          <cell r="E133">
            <v>1</v>
          </cell>
          <cell r="F133">
            <v>13.7052309659479</v>
          </cell>
          <cell r="G133">
            <v>100</v>
          </cell>
          <cell r="H133">
            <v>0</v>
          </cell>
          <cell r="I133">
            <v>0</v>
          </cell>
          <cell r="J133">
            <v>0</v>
          </cell>
          <cell r="K133">
            <v>519.5</v>
          </cell>
          <cell r="L133">
            <v>0</v>
          </cell>
          <cell r="M133">
            <v>519.5</v>
          </cell>
          <cell r="N133">
            <v>63.488633100176301</v>
          </cell>
          <cell r="O133">
            <v>-3.83864485136843E-2</v>
          </cell>
          <cell r="P133">
            <v>63.527019548689999</v>
          </cell>
          <cell r="Q133">
            <v>0.14716680350569999</v>
          </cell>
          <cell r="R133">
            <v>595.04654945475397</v>
          </cell>
          <cell r="S133">
            <v>16.8108145540115</v>
          </cell>
          <cell r="T133">
            <v>1.74760850696772E-2</v>
          </cell>
          <cell r="U133">
            <v>6.7138175297806801E-2</v>
          </cell>
          <cell r="V133">
            <v>3.0406979521272999E-6</v>
          </cell>
          <cell r="W133">
            <v>0</v>
          </cell>
          <cell r="X133">
            <v>0</v>
          </cell>
          <cell r="Y133">
            <v>0</v>
          </cell>
          <cell r="Z133">
            <v>0</v>
          </cell>
          <cell r="AA133">
            <v>0</v>
          </cell>
          <cell r="AB133">
            <v>0</v>
          </cell>
          <cell r="AC133">
            <v>0</v>
          </cell>
          <cell r="AD133">
            <v>0</v>
          </cell>
          <cell r="AE133">
            <v>0</v>
          </cell>
          <cell r="AF133">
            <v>0</v>
          </cell>
          <cell r="AG133">
            <v>0</v>
          </cell>
          <cell r="AH133">
            <v>3.6791700876424999E-2</v>
          </cell>
          <cell r="AI133">
            <v>148.761637363689</v>
          </cell>
          <cell r="AJ133">
            <v>0.40100000000000002</v>
          </cell>
          <cell r="AK133">
            <v>32.6</v>
          </cell>
          <cell r="AL133">
            <v>37.5</v>
          </cell>
          <cell r="AM133">
            <v>407.5</v>
          </cell>
          <cell r="AN133">
            <v>0</v>
          </cell>
          <cell r="AO133">
            <v>0</v>
          </cell>
          <cell r="AP133">
            <v>0</v>
          </cell>
          <cell r="AQ133">
            <v>0</v>
          </cell>
          <cell r="AR133">
            <v>0</v>
          </cell>
          <cell r="AS133">
            <v>0</v>
          </cell>
          <cell r="AT133">
            <v>37.5</v>
          </cell>
          <cell r="AU133">
            <v>0</v>
          </cell>
          <cell r="AV133">
            <v>0</v>
          </cell>
          <cell r="AW133">
            <v>0</v>
          </cell>
          <cell r="AX133">
            <v>0</v>
          </cell>
          <cell r="AY133">
            <v>0</v>
          </cell>
          <cell r="AZ133">
            <v>0.40100000000000002</v>
          </cell>
          <cell r="BA133">
            <v>32.6</v>
          </cell>
          <cell r="BB133">
            <v>37.5</v>
          </cell>
          <cell r="BC133">
            <v>407.4</v>
          </cell>
          <cell r="BD133">
            <v>0.40100000000000002</v>
          </cell>
          <cell r="BE133">
            <v>0</v>
          </cell>
          <cell r="BF133">
            <v>0</v>
          </cell>
          <cell r="BG133">
            <v>0.1</v>
          </cell>
          <cell r="BH133">
            <v>33.950000000000003</v>
          </cell>
          <cell r="BI133">
            <v>25.975000000000001</v>
          </cell>
        </row>
        <row r="134">
          <cell r="A134" t="str">
            <v>Hochlochziegel 12 cm vermörtelt</v>
          </cell>
          <cell r="B134" t="str">
            <v>m²</v>
          </cell>
          <cell r="C134">
            <v>3</v>
          </cell>
          <cell r="D134" t="str">
            <v>E2-E-02a_IW-HLZ12</v>
          </cell>
          <cell r="E134">
            <v>1</v>
          </cell>
          <cell r="F134">
            <v>-18.638775073188199</v>
          </cell>
          <cell r="G134">
            <v>50</v>
          </cell>
          <cell r="H134">
            <v>0</v>
          </cell>
          <cell r="I134">
            <v>0</v>
          </cell>
          <cell r="J134">
            <v>0</v>
          </cell>
          <cell r="K134">
            <v>102</v>
          </cell>
          <cell r="L134">
            <v>0</v>
          </cell>
          <cell r="M134">
            <v>102</v>
          </cell>
          <cell r="N134">
            <v>18.4780349621612</v>
          </cell>
          <cell r="O134">
            <v>-1.4297055913213501E-2</v>
          </cell>
          <cell r="P134">
            <v>18.4923320180744</v>
          </cell>
          <cell r="Q134">
            <v>5.1990504985183698E-2</v>
          </cell>
          <cell r="R134">
            <v>230.48455305281399</v>
          </cell>
          <cell r="S134">
            <v>5.4679905621724103</v>
          </cell>
          <cell r="T134">
            <v>5.2304590860928002E-3</v>
          </cell>
          <cell r="U134">
            <v>1.7518521553471E-2</v>
          </cell>
          <cell r="V134">
            <v>1.4154291014209801E-6</v>
          </cell>
          <cell r="W134">
            <v>18.4923320180744</v>
          </cell>
          <cell r="X134">
            <v>5.1990504985183698E-2</v>
          </cell>
          <cell r="Y134">
            <v>230.48455305281399</v>
          </cell>
          <cell r="Z134">
            <v>5.4679905621724103</v>
          </cell>
          <cell r="AA134">
            <v>5.2304590860928002E-3</v>
          </cell>
          <cell r="AB134">
            <v>1.7518521553471E-2</v>
          </cell>
          <cell r="AC134">
            <v>1.4154291014209801E-6</v>
          </cell>
          <cell r="AD134">
            <v>0</v>
          </cell>
          <cell r="AE134">
            <v>0</v>
          </cell>
          <cell r="AF134">
            <v>0</v>
          </cell>
          <cell r="AG134">
            <v>0</v>
          </cell>
          <cell r="AH134">
            <v>1.29976262462959E-2</v>
          </cell>
          <cell r="AI134">
            <v>57.621138263203598</v>
          </cell>
          <cell r="AJ134">
            <v>0.123333333333333</v>
          </cell>
          <cell r="AK134">
            <v>12.3333333333333</v>
          </cell>
          <cell r="AL134">
            <v>25</v>
          </cell>
          <cell r="AM134">
            <v>154.166666666667</v>
          </cell>
          <cell r="AN134">
            <v>0</v>
          </cell>
          <cell r="AO134">
            <v>0</v>
          </cell>
          <cell r="AP134">
            <v>0</v>
          </cell>
          <cell r="AQ134">
            <v>0</v>
          </cell>
          <cell r="AR134">
            <v>0.123333333333333</v>
          </cell>
          <cell r="AS134">
            <v>12.3333333333333</v>
          </cell>
          <cell r="AT134">
            <v>25</v>
          </cell>
          <cell r="AU134">
            <v>154.066666666667</v>
          </cell>
          <cell r="AV134">
            <v>0.123333333333333</v>
          </cell>
          <cell r="AW134">
            <v>0</v>
          </cell>
          <cell r="AX134">
            <v>0</v>
          </cell>
          <cell r="AY134">
            <v>0.1</v>
          </cell>
          <cell r="AZ134">
            <v>0.24666666666666701</v>
          </cell>
          <cell r="BA134">
            <v>24.6666666666667</v>
          </cell>
          <cell r="BB134">
            <v>25</v>
          </cell>
          <cell r="BC134">
            <v>308.23333333333301</v>
          </cell>
          <cell r="BD134">
            <v>0.24666666666666701</v>
          </cell>
          <cell r="BE134">
            <v>0</v>
          </cell>
          <cell r="BF134">
            <v>0</v>
          </cell>
          <cell r="BG134">
            <v>0.1</v>
          </cell>
          <cell r="BH134">
            <v>10.199999999999999</v>
          </cell>
          <cell r="BI134">
            <v>5.0999999999999996</v>
          </cell>
        </row>
        <row r="135">
          <cell r="A135" t="str">
            <v>Hochlochziegel 25 cm vermörtelt</v>
          </cell>
          <cell r="B135" t="str">
            <v>m²</v>
          </cell>
          <cell r="C135">
            <v>4</v>
          </cell>
          <cell r="D135" t="str">
            <v>E2-E-02a_IW-HLZ25</v>
          </cell>
          <cell r="E135">
            <v>1</v>
          </cell>
          <cell r="F135">
            <v>1.0570786846087401</v>
          </cell>
          <cell r="G135">
            <v>100</v>
          </cell>
          <cell r="H135">
            <v>0</v>
          </cell>
          <cell r="I135">
            <v>0</v>
          </cell>
          <cell r="J135">
            <v>0</v>
          </cell>
          <cell r="K135">
            <v>211.8</v>
          </cell>
          <cell r="L135">
            <v>0</v>
          </cell>
          <cell r="M135">
            <v>211.8</v>
          </cell>
          <cell r="N135">
            <v>39.842718374706003</v>
          </cell>
          <cell r="O135">
            <v>-6.1925852375613898E-2</v>
          </cell>
          <cell r="P135">
            <v>39.904644227081597</v>
          </cell>
          <cell r="Q135">
            <v>0.109199277051286</v>
          </cell>
          <cell r="R135">
            <v>485.70166045958803</v>
          </cell>
          <cell r="S135">
            <v>14.011510160592801</v>
          </cell>
          <cell r="T135">
            <v>1.13556348625842E-2</v>
          </cell>
          <cell r="U135">
            <v>3.7395069426740903E-2</v>
          </cell>
          <cell r="V135">
            <v>3.0284203415846502E-6</v>
          </cell>
          <cell r="W135">
            <v>0</v>
          </cell>
          <cell r="X135">
            <v>0</v>
          </cell>
          <cell r="Y135">
            <v>0</v>
          </cell>
          <cell r="Z135">
            <v>0</v>
          </cell>
          <cell r="AA135">
            <v>0</v>
          </cell>
          <cell r="AB135">
            <v>0</v>
          </cell>
          <cell r="AC135">
            <v>0</v>
          </cell>
          <cell r="AD135">
            <v>0</v>
          </cell>
          <cell r="AE135">
            <v>0</v>
          </cell>
          <cell r="AF135">
            <v>0</v>
          </cell>
          <cell r="AG135">
            <v>0</v>
          </cell>
          <cell r="AH135">
            <v>2.72998192628215E-2</v>
          </cell>
          <cell r="AI135">
            <v>121.42541511489701</v>
          </cell>
          <cell r="AJ135">
            <v>0.25590000000000002</v>
          </cell>
          <cell r="AK135">
            <v>25.59</v>
          </cell>
          <cell r="AL135">
            <v>25</v>
          </cell>
          <cell r="AM135">
            <v>319.875</v>
          </cell>
          <cell r="AN135">
            <v>0</v>
          </cell>
          <cell r="AO135">
            <v>0</v>
          </cell>
          <cell r="AP135">
            <v>0</v>
          </cell>
          <cell r="AQ135">
            <v>0</v>
          </cell>
          <cell r="AR135">
            <v>0</v>
          </cell>
          <cell r="AS135">
            <v>0</v>
          </cell>
          <cell r="AT135">
            <v>25</v>
          </cell>
          <cell r="AU135">
            <v>0</v>
          </cell>
          <cell r="AV135">
            <v>0</v>
          </cell>
          <cell r="AW135">
            <v>0</v>
          </cell>
          <cell r="AX135">
            <v>0</v>
          </cell>
          <cell r="AY135">
            <v>0</v>
          </cell>
          <cell r="AZ135">
            <v>0.25590000000000002</v>
          </cell>
          <cell r="BA135">
            <v>25.59</v>
          </cell>
          <cell r="BB135">
            <v>25</v>
          </cell>
          <cell r="BC135">
            <v>319.77499999999998</v>
          </cell>
          <cell r="BD135">
            <v>0.25590000000000002</v>
          </cell>
          <cell r="BE135">
            <v>0</v>
          </cell>
          <cell r="BF135">
            <v>0</v>
          </cell>
          <cell r="BG135">
            <v>0.1</v>
          </cell>
          <cell r="BH135">
            <v>21.18</v>
          </cell>
          <cell r="BI135">
            <v>10.59</v>
          </cell>
        </row>
        <row r="136">
          <cell r="A136" t="str">
            <v>Eigene massive Innenwand</v>
          </cell>
          <cell r="B136" t="str">
            <v>m²</v>
          </cell>
        </row>
        <row r="137">
          <cell r="A137" t="str">
            <v>Holzmassivwand 12 cm (IW)</v>
          </cell>
          <cell r="B137" t="str">
            <v>m²</v>
          </cell>
          <cell r="C137">
            <v>5</v>
          </cell>
          <cell r="D137" t="str">
            <v>E2-E-02a_IWl-HM</v>
          </cell>
          <cell r="E137">
            <v>1</v>
          </cell>
          <cell r="F137">
            <v>-16.975952300543501</v>
          </cell>
          <cell r="G137">
            <v>50</v>
          </cell>
          <cell r="H137">
            <v>52.8</v>
          </cell>
          <cell r="I137">
            <v>0</v>
          </cell>
          <cell r="J137">
            <v>0</v>
          </cell>
          <cell r="K137">
            <v>0</v>
          </cell>
          <cell r="L137">
            <v>0</v>
          </cell>
          <cell r="M137">
            <v>52.8</v>
          </cell>
          <cell r="N137">
            <v>-58.259893532131599</v>
          </cell>
          <cell r="O137">
            <v>-81.262812045728495</v>
          </cell>
          <cell r="P137">
            <v>23.002918513597098</v>
          </cell>
          <cell r="Q137">
            <v>0.119485171071394</v>
          </cell>
          <cell r="R137">
            <v>394.08021435877799</v>
          </cell>
          <cell r="S137">
            <v>930.69989090473302</v>
          </cell>
          <cell r="T137">
            <v>3.9981613271880899E-2</v>
          </cell>
          <cell r="U137">
            <v>4.8344699917079702E-2</v>
          </cell>
          <cell r="V137">
            <v>1.9333391161281101E-6</v>
          </cell>
          <cell r="W137">
            <v>0</v>
          </cell>
          <cell r="X137">
            <v>0</v>
          </cell>
          <cell r="Y137">
            <v>0</v>
          </cell>
          <cell r="Z137">
            <v>0</v>
          </cell>
          <cell r="AA137">
            <v>0</v>
          </cell>
          <cell r="AB137">
            <v>0</v>
          </cell>
          <cell r="AC137">
            <v>0</v>
          </cell>
          <cell r="AD137">
            <v>0</v>
          </cell>
          <cell r="AE137">
            <v>0</v>
          </cell>
          <cell r="AF137">
            <v>0</v>
          </cell>
          <cell r="AG137">
            <v>0</v>
          </cell>
          <cell r="AH137">
            <v>2.98712927678484E-2</v>
          </cell>
          <cell r="AI137">
            <v>98.520053589694598</v>
          </cell>
          <cell r="AJ137">
            <v>0.12</v>
          </cell>
          <cell r="AK137">
            <v>24</v>
          </cell>
          <cell r="AL137">
            <v>12.5</v>
          </cell>
          <cell r="AM137">
            <v>299.89999999999998</v>
          </cell>
          <cell r="AN137">
            <v>52.8</v>
          </cell>
          <cell r="AO137">
            <v>0</v>
          </cell>
          <cell r="AP137">
            <v>0</v>
          </cell>
          <cell r="AQ137">
            <v>0.1</v>
          </cell>
          <cell r="AR137">
            <v>0</v>
          </cell>
          <cell r="AS137">
            <v>0</v>
          </cell>
          <cell r="AT137">
            <v>12.5</v>
          </cell>
          <cell r="AU137">
            <v>0</v>
          </cell>
          <cell r="AV137">
            <v>0</v>
          </cell>
          <cell r="AW137">
            <v>0</v>
          </cell>
          <cell r="AX137">
            <v>0</v>
          </cell>
          <cell r="AY137">
            <v>0</v>
          </cell>
          <cell r="AZ137">
            <v>0.12</v>
          </cell>
          <cell r="BA137">
            <v>24</v>
          </cell>
          <cell r="BB137">
            <v>12.5</v>
          </cell>
          <cell r="BC137">
            <v>300</v>
          </cell>
          <cell r="BD137">
            <v>0</v>
          </cell>
          <cell r="BE137">
            <v>0</v>
          </cell>
          <cell r="BF137">
            <v>0</v>
          </cell>
          <cell r="BG137">
            <v>0</v>
          </cell>
          <cell r="BH137">
            <v>10.56</v>
          </cell>
          <cell r="BI137">
            <v>2.64</v>
          </cell>
        </row>
        <row r="138">
          <cell r="A138" t="str">
            <v>GK-Metallständer-Trennwand, Glaswolle</v>
          </cell>
          <cell r="B138" t="str">
            <v>m²</v>
          </cell>
          <cell r="C138">
            <v>6</v>
          </cell>
          <cell r="D138" t="str">
            <v>E2-E-02a_IWl-Met_Gw</v>
          </cell>
          <cell r="E138">
            <v>1</v>
          </cell>
          <cell r="F138">
            <v>4.99025740155838</v>
          </cell>
          <cell r="G138">
            <v>50</v>
          </cell>
          <cell r="H138">
            <v>0</v>
          </cell>
          <cell r="I138">
            <v>0</v>
          </cell>
          <cell r="J138">
            <v>3.65</v>
          </cell>
          <cell r="K138">
            <v>0</v>
          </cell>
          <cell r="L138">
            <v>57.305</v>
          </cell>
          <cell r="M138">
            <v>60.954999999999998</v>
          </cell>
          <cell r="N138">
            <v>28.0662923936443</v>
          </cell>
          <cell r="O138">
            <v>-2.2408405326974901</v>
          </cell>
          <cell r="P138">
            <v>30.307132926341701</v>
          </cell>
          <cell r="Q138">
            <v>0.14044467141472999</v>
          </cell>
          <cell r="R138">
            <v>537.59757441960903</v>
          </cell>
          <cell r="S138">
            <v>95.1339479026351</v>
          </cell>
          <cell r="T138">
            <v>1.7226970973077099E-2</v>
          </cell>
          <cell r="U138">
            <v>6.36323704498718E-2</v>
          </cell>
          <cell r="V138">
            <v>2.8714374754581799E-6</v>
          </cell>
          <cell r="W138">
            <v>23.0297599582182</v>
          </cell>
          <cell r="X138">
            <v>0.104346245232499</v>
          </cell>
          <cell r="Y138">
            <v>431.37590167184698</v>
          </cell>
          <cell r="Z138">
            <v>90.454877996093302</v>
          </cell>
          <cell r="AA138">
            <v>1.13377995979758E-2</v>
          </cell>
          <cell r="AB138">
            <v>4.5985945765881102E-2</v>
          </cell>
          <cell r="AC138">
            <v>2.4647538428459701E-6</v>
          </cell>
          <cell r="AD138">
            <v>0</v>
          </cell>
          <cell r="AE138">
            <v>0</v>
          </cell>
          <cell r="AF138">
            <v>0</v>
          </cell>
          <cell r="AG138">
            <v>0</v>
          </cell>
          <cell r="AH138">
            <v>3.5111167853682602E-2</v>
          </cell>
          <cell r="AI138">
            <v>134.399393604902</v>
          </cell>
          <cell r="AJ138">
            <v>0.23296794871794901</v>
          </cell>
          <cell r="AK138">
            <v>69.890384615384605</v>
          </cell>
          <cell r="AL138">
            <v>137.5</v>
          </cell>
          <cell r="AM138">
            <v>873.52980769230805</v>
          </cell>
          <cell r="AN138">
            <v>0</v>
          </cell>
          <cell r="AO138">
            <v>0</v>
          </cell>
          <cell r="AP138">
            <v>3.4</v>
          </cell>
          <cell r="AQ138">
            <v>0.1</v>
          </cell>
          <cell r="AR138">
            <v>0.23253205128205101</v>
          </cell>
          <cell r="AS138">
            <v>69.759615384615401</v>
          </cell>
          <cell r="AT138">
            <v>137.5</v>
          </cell>
          <cell r="AU138">
            <v>871.89519230769201</v>
          </cell>
          <cell r="AV138">
            <v>0.23250000000000001</v>
          </cell>
          <cell r="AW138">
            <v>0</v>
          </cell>
          <cell r="AX138">
            <v>3.2051282051281997E-5</v>
          </cell>
          <cell r="AY138">
            <v>0.1</v>
          </cell>
          <cell r="AZ138">
            <v>0.46550000000000002</v>
          </cell>
          <cell r="BA138">
            <v>139.65</v>
          </cell>
          <cell r="BB138">
            <v>137.5</v>
          </cell>
          <cell r="BC138">
            <v>1745.5250000000001</v>
          </cell>
          <cell r="BD138">
            <v>0.46500000000000002</v>
          </cell>
          <cell r="BE138">
            <v>0</v>
          </cell>
          <cell r="BF138">
            <v>5.0000000000000001E-4</v>
          </cell>
          <cell r="BG138">
            <v>0.1</v>
          </cell>
          <cell r="BH138">
            <v>7.5869999999999997</v>
          </cell>
          <cell r="BI138">
            <v>1.2645</v>
          </cell>
        </row>
        <row r="139">
          <cell r="A139" t="str">
            <v>GK-Holzständer-Trennwand, Glaswolle</v>
          </cell>
          <cell r="B139" t="str">
            <v>m²</v>
          </cell>
          <cell r="C139">
            <v>6</v>
          </cell>
          <cell r="D139" t="str">
            <v>E2-E-02a_IWl-HO_Gw</v>
          </cell>
          <cell r="E139">
            <v>1</v>
          </cell>
          <cell r="F139">
            <v>8.3054372699464398</v>
          </cell>
          <cell r="G139">
            <v>50</v>
          </cell>
          <cell r="H139">
            <v>9.6</v>
          </cell>
          <cell r="I139">
            <v>0</v>
          </cell>
          <cell r="J139">
            <v>0.25</v>
          </cell>
          <cell r="K139">
            <v>0</v>
          </cell>
          <cell r="L139">
            <v>90.078432051281993</v>
          </cell>
          <cell r="M139">
            <v>99.928399999999996</v>
          </cell>
          <cell r="N139">
            <v>15.3294997492671</v>
          </cell>
          <cell r="O139">
            <v>-19.411867817898798</v>
          </cell>
          <cell r="P139">
            <v>34.741367567165902</v>
          </cell>
          <cell r="Q139">
            <v>0.15381940093545701</v>
          </cell>
          <cell r="R139">
            <v>647.23801561022901</v>
          </cell>
          <cell r="S139">
            <v>343.63034052625</v>
          </cell>
          <cell r="T139">
            <v>2.0186426937901601E-2</v>
          </cell>
          <cell r="U139">
            <v>6.7540861033516295E-2</v>
          </cell>
          <cell r="V139">
            <v>3.7094365842139399E-6</v>
          </cell>
          <cell r="W139">
            <v>32.693371221468702</v>
          </cell>
          <cell r="X139">
            <v>0.141505481902999</v>
          </cell>
          <cell r="Y139">
            <v>612.79349568362795</v>
          </cell>
          <cell r="Z139">
            <v>140.17666181618699</v>
          </cell>
          <cell r="AA139">
            <v>1.53054810134473E-2</v>
          </cell>
          <cell r="AB139">
            <v>6.1981965044589298E-2</v>
          </cell>
          <cell r="AC139">
            <v>3.5414305013687101E-6</v>
          </cell>
          <cell r="AD139">
            <v>0</v>
          </cell>
          <cell r="AE139">
            <v>0</v>
          </cell>
          <cell r="AF139">
            <v>0</v>
          </cell>
          <cell r="AG139">
            <v>0</v>
          </cell>
          <cell r="AH139">
            <v>3.8454850233864302E-2</v>
          </cell>
          <cell r="AI139">
            <v>161.809503902557</v>
          </cell>
          <cell r="AJ139">
            <v>0.340032051282051</v>
          </cell>
          <cell r="AK139">
            <v>100.089615384615</v>
          </cell>
          <cell r="AL139">
            <v>150</v>
          </cell>
          <cell r="AM139">
            <v>1251.02019230769</v>
          </cell>
          <cell r="AN139">
            <v>9.6</v>
          </cell>
          <cell r="AO139">
            <v>0</v>
          </cell>
          <cell r="AP139">
            <v>0</v>
          </cell>
          <cell r="AQ139">
            <v>0.1</v>
          </cell>
          <cell r="AR139">
            <v>0.320832051282051</v>
          </cell>
          <cell r="AS139">
            <v>96.249615384615396</v>
          </cell>
          <cell r="AT139">
            <v>150</v>
          </cell>
          <cell r="AU139">
            <v>1203.02019230769</v>
          </cell>
          <cell r="AV139">
            <v>0.32079999999999997</v>
          </cell>
          <cell r="AW139">
            <v>0</v>
          </cell>
          <cell r="AX139">
            <v>3.2051282051282099E-5</v>
          </cell>
          <cell r="AY139">
            <v>0.1</v>
          </cell>
          <cell r="AZ139">
            <v>0.660864102564103</v>
          </cell>
          <cell r="BA139">
            <v>196.33923076923099</v>
          </cell>
          <cell r="BB139">
            <v>150</v>
          </cell>
          <cell r="BC139">
            <v>2454.1403846153798</v>
          </cell>
          <cell r="BD139">
            <v>0.64159999999999995</v>
          </cell>
          <cell r="BE139">
            <v>1.9199999999999998E-2</v>
          </cell>
          <cell r="BF139">
            <v>6.4102564102564103E-5</v>
          </cell>
          <cell r="BG139">
            <v>0.1</v>
          </cell>
          <cell r="BH139">
            <v>14.33376</v>
          </cell>
          <cell r="BI139">
            <v>2.46896</v>
          </cell>
        </row>
        <row r="140">
          <cell r="A140" t="str">
            <v>GK-Holzständer-Trennwand, Hanffaser</v>
          </cell>
          <cell r="B140" t="str">
            <v>m²</v>
          </cell>
          <cell r="C140">
            <v>7</v>
          </cell>
          <cell r="D140" t="str">
            <v>E2-E-02a_IWl-HO_Hanf</v>
          </cell>
          <cell r="E140">
            <v>1</v>
          </cell>
          <cell r="F140">
            <v>18.076287795576501</v>
          </cell>
          <cell r="G140">
            <v>50</v>
          </cell>
          <cell r="H140">
            <v>28.367999999999999</v>
          </cell>
          <cell r="I140">
            <v>0</v>
          </cell>
          <cell r="J140">
            <v>0.25</v>
          </cell>
          <cell r="K140">
            <v>0</v>
          </cell>
          <cell r="L140">
            <v>85.000032051282005</v>
          </cell>
          <cell r="M140">
            <v>113.61799999999999</v>
          </cell>
          <cell r="N140">
            <v>4.3201445597976402</v>
          </cell>
          <cell r="O140">
            <v>-44.722576361506498</v>
          </cell>
          <cell r="P140">
            <v>49.042720921304102</v>
          </cell>
          <cell r="Q140">
            <v>0.165019119987732</v>
          </cell>
          <cell r="R140">
            <v>950.61143111737897</v>
          </cell>
          <cell r="S140">
            <v>626.48741864182102</v>
          </cell>
          <cell r="T140">
            <v>2.2552172700144799E-2</v>
          </cell>
          <cell r="U140">
            <v>6.7924200523458003E-2</v>
          </cell>
          <cell r="V140">
            <v>4.6988097206063802E-6</v>
          </cell>
          <cell r="W140">
            <v>46.994724575606902</v>
          </cell>
          <cell r="X140">
            <v>0.15270520095527301</v>
          </cell>
          <cell r="Y140">
            <v>916.16691119077802</v>
          </cell>
          <cell r="Z140">
            <v>423.03373993175802</v>
          </cell>
          <cell r="AA140">
            <v>1.76712267756905E-2</v>
          </cell>
          <cell r="AB140">
            <v>6.2365304534530999E-2</v>
          </cell>
          <cell r="AC140">
            <v>4.5308036377611398E-6</v>
          </cell>
          <cell r="AD140">
            <v>0</v>
          </cell>
          <cell r="AE140">
            <v>0</v>
          </cell>
          <cell r="AF140">
            <v>0</v>
          </cell>
          <cell r="AG140">
            <v>0</v>
          </cell>
          <cell r="AH140">
            <v>4.1254779996933E-2</v>
          </cell>
          <cell r="AI140">
            <v>237.652857779345</v>
          </cell>
          <cell r="AJ140">
            <v>0.340032051282051</v>
          </cell>
          <cell r="AK140">
            <v>100.089615384615</v>
          </cell>
          <cell r="AL140">
            <v>150</v>
          </cell>
          <cell r="AM140">
            <v>1251.02019230769</v>
          </cell>
          <cell r="AN140">
            <v>28.367999999999999</v>
          </cell>
          <cell r="AO140">
            <v>0</v>
          </cell>
          <cell r="AP140">
            <v>0</v>
          </cell>
          <cell r="AQ140">
            <v>0.1</v>
          </cell>
          <cell r="AR140">
            <v>0.320832051282051</v>
          </cell>
          <cell r="AS140">
            <v>96.249615384615396</v>
          </cell>
          <cell r="AT140">
            <v>150</v>
          </cell>
          <cell r="AU140">
            <v>1203.1201923076901</v>
          </cell>
          <cell r="AV140">
            <v>0.1</v>
          </cell>
          <cell r="AW140">
            <v>0.2208</v>
          </cell>
          <cell r="AX140">
            <v>3.2051282051282099E-5</v>
          </cell>
          <cell r="AY140">
            <v>0</v>
          </cell>
          <cell r="AZ140">
            <v>0.660864102564103</v>
          </cell>
          <cell r="BA140">
            <v>196.33923076923099</v>
          </cell>
          <cell r="BB140">
            <v>150</v>
          </cell>
          <cell r="BC140">
            <v>2454.2403846153802</v>
          </cell>
          <cell r="BD140">
            <v>0.2</v>
          </cell>
          <cell r="BE140">
            <v>0.46079999999999999</v>
          </cell>
          <cell r="BF140">
            <v>6.4102564102564103E-5</v>
          </cell>
          <cell r="BG140">
            <v>0</v>
          </cell>
          <cell r="BH140">
            <v>16.0152</v>
          </cell>
          <cell r="BI140">
            <v>2.7492000000000001</v>
          </cell>
        </row>
        <row r="141">
          <cell r="A141" t="str">
            <v>GK-Holzständer-Trennwand, Schafwolle</v>
          </cell>
          <cell r="B141" t="str">
            <v>m²</v>
          </cell>
          <cell r="C141">
            <v>8</v>
          </cell>
          <cell r="D141" t="str">
            <v>E2-E-02a_IWl-HO_Schafw</v>
          </cell>
          <cell r="E141">
            <v>1</v>
          </cell>
          <cell r="F141">
            <v>-3.3847506336692601</v>
          </cell>
          <cell r="G141">
            <v>50</v>
          </cell>
          <cell r="H141">
            <v>16.224</v>
          </cell>
          <cell r="I141">
            <v>0</v>
          </cell>
          <cell r="J141">
            <v>0.25</v>
          </cell>
          <cell r="K141">
            <v>0</v>
          </cell>
          <cell r="L141">
            <v>85.000032051282005</v>
          </cell>
          <cell r="M141">
            <v>101.474</v>
          </cell>
          <cell r="N141">
            <v>6.42621505760322</v>
          </cell>
          <cell r="O141">
            <v>-30.062846753688898</v>
          </cell>
          <cell r="P141">
            <v>36.489061811292103</v>
          </cell>
          <cell r="Q141">
            <v>0.103296882562934</v>
          </cell>
          <cell r="R141">
            <v>543.13887545016905</v>
          </cell>
          <cell r="S141">
            <v>333.55992320283201</v>
          </cell>
          <cell r="T141">
            <v>1.6400236114675299E-2</v>
          </cell>
          <cell r="U141">
            <v>4.3542429281522597E-2</v>
          </cell>
          <cell r="V141">
            <v>3.33285736163642E-6</v>
          </cell>
          <cell r="W141">
            <v>34.441065465594903</v>
          </cell>
          <cell r="X141">
            <v>9.0982963530475594E-2</v>
          </cell>
          <cell r="Y141">
            <v>508.69435552356902</v>
          </cell>
          <cell r="Z141">
            <v>130.10624449276901</v>
          </cell>
          <cell r="AA141">
            <v>1.1519290190221E-2</v>
          </cell>
          <cell r="AB141">
            <v>3.7983533292595698E-2</v>
          </cell>
          <cell r="AC141">
            <v>3.1648512787911898E-6</v>
          </cell>
          <cell r="AD141">
            <v>0</v>
          </cell>
          <cell r="AE141">
            <v>0</v>
          </cell>
          <cell r="AF141">
            <v>0</v>
          </cell>
          <cell r="AG141">
            <v>0</v>
          </cell>
          <cell r="AH141">
            <v>2.58242206407336E-2</v>
          </cell>
          <cell r="AI141">
            <v>135.78471886254201</v>
          </cell>
          <cell r="AJ141">
            <v>0.340032051282051</v>
          </cell>
          <cell r="AK141">
            <v>100.089615384615</v>
          </cell>
          <cell r="AL141">
            <v>150</v>
          </cell>
          <cell r="AM141">
            <v>1251.02019230769</v>
          </cell>
          <cell r="AN141">
            <v>16.224</v>
          </cell>
          <cell r="AO141">
            <v>0</v>
          </cell>
          <cell r="AP141">
            <v>0</v>
          </cell>
          <cell r="AQ141">
            <v>0.1</v>
          </cell>
          <cell r="AR141">
            <v>0.320832051282051</v>
          </cell>
          <cell r="AS141">
            <v>96.249615384615396</v>
          </cell>
          <cell r="AT141">
            <v>150</v>
          </cell>
          <cell r="AU141">
            <v>1203.1201923076901</v>
          </cell>
          <cell r="AV141">
            <v>0.1</v>
          </cell>
          <cell r="AW141">
            <v>0.2208</v>
          </cell>
          <cell r="AX141">
            <v>3.2051282051282099E-5</v>
          </cell>
          <cell r="AY141">
            <v>0</v>
          </cell>
          <cell r="AZ141">
            <v>0.660864102564103</v>
          </cell>
          <cell r="BA141">
            <v>196.33923076923099</v>
          </cell>
          <cell r="BB141">
            <v>150</v>
          </cell>
          <cell r="BC141">
            <v>2454.2403846153802</v>
          </cell>
          <cell r="BD141">
            <v>0.2</v>
          </cell>
          <cell r="BE141">
            <v>0.46079999999999999</v>
          </cell>
          <cell r="BF141">
            <v>6.4102564102564103E-5</v>
          </cell>
          <cell r="BG141">
            <v>0</v>
          </cell>
          <cell r="BH141">
            <v>14.5236</v>
          </cell>
          <cell r="BI141">
            <v>2.5005999999999999</v>
          </cell>
        </row>
        <row r="142">
          <cell r="A142" t="str">
            <v>GK-Holzständer-Trennwand, Zellulose</v>
          </cell>
          <cell r="B142" t="str">
            <v>m²</v>
          </cell>
          <cell r="C142">
            <v>9</v>
          </cell>
          <cell r="D142" t="str">
            <v>E2-E-02a_IWl-HO_Zell</v>
          </cell>
          <cell r="E142">
            <v>1</v>
          </cell>
          <cell r="F142">
            <v>-5.2274720297803601</v>
          </cell>
          <cell r="G142">
            <v>50</v>
          </cell>
          <cell r="H142">
            <v>21.744</v>
          </cell>
          <cell r="I142">
            <v>0</v>
          </cell>
          <cell r="J142">
            <v>0.25</v>
          </cell>
          <cell r="K142">
            <v>0</v>
          </cell>
          <cell r="L142">
            <v>85.000032051282005</v>
          </cell>
          <cell r="M142">
            <v>106.994</v>
          </cell>
          <cell r="N142">
            <v>-7.8768033778391304</v>
          </cell>
          <cell r="O142">
            <v>-36.968318790526503</v>
          </cell>
          <cell r="P142">
            <v>29.0915154126874</v>
          </cell>
          <cell r="Q142">
            <v>0.11823889842252</v>
          </cell>
          <cell r="R142">
            <v>499.60426230570499</v>
          </cell>
          <cell r="S142">
            <v>346.99222175812002</v>
          </cell>
          <cell r="T142">
            <v>1.5169744873073101E-2</v>
          </cell>
          <cell r="U142">
            <v>4.9608177024884598E-2</v>
          </cell>
          <cell r="V142">
            <v>2.9723380385730102E-6</v>
          </cell>
          <cell r="W142">
            <v>27.043519066990299</v>
          </cell>
          <cell r="X142">
            <v>0.105924979390061</v>
          </cell>
          <cell r="Y142">
            <v>465.15974237910501</v>
          </cell>
          <cell r="Z142">
            <v>143.53854304805799</v>
          </cell>
          <cell r="AA142">
            <v>1.02887989486188E-2</v>
          </cell>
          <cell r="AB142">
            <v>4.4049281035957601E-2</v>
          </cell>
          <cell r="AC142">
            <v>2.80433195572778E-6</v>
          </cell>
          <cell r="AD142">
            <v>0</v>
          </cell>
          <cell r="AE142">
            <v>0</v>
          </cell>
          <cell r="AF142">
            <v>0</v>
          </cell>
          <cell r="AG142">
            <v>0</v>
          </cell>
          <cell r="AH142">
            <v>2.955972460563E-2</v>
          </cell>
          <cell r="AI142">
            <v>124.90106557642601</v>
          </cell>
          <cell r="AJ142">
            <v>0.340032051282051</v>
          </cell>
          <cell r="AK142">
            <v>100.089615384615</v>
          </cell>
          <cell r="AL142">
            <v>150</v>
          </cell>
          <cell r="AM142">
            <v>1251.02019230769</v>
          </cell>
          <cell r="AN142">
            <v>21.744</v>
          </cell>
          <cell r="AO142">
            <v>0</v>
          </cell>
          <cell r="AP142">
            <v>0</v>
          </cell>
          <cell r="AQ142">
            <v>0.1</v>
          </cell>
          <cell r="AR142">
            <v>0.320832051282051</v>
          </cell>
          <cell r="AS142">
            <v>96.249615384615396</v>
          </cell>
          <cell r="AT142">
            <v>150</v>
          </cell>
          <cell r="AU142">
            <v>1203.1201923076901</v>
          </cell>
          <cell r="AV142">
            <v>0.1</v>
          </cell>
          <cell r="AW142">
            <v>0.2208</v>
          </cell>
          <cell r="AX142">
            <v>3.2051282051282099E-5</v>
          </cell>
          <cell r="AY142">
            <v>0</v>
          </cell>
          <cell r="AZ142">
            <v>0.660864102564103</v>
          </cell>
          <cell r="BA142">
            <v>196.33923076923099</v>
          </cell>
          <cell r="BB142">
            <v>150</v>
          </cell>
          <cell r="BC142">
            <v>2454.2403846153802</v>
          </cell>
          <cell r="BD142">
            <v>0.2</v>
          </cell>
          <cell r="BE142">
            <v>0.46079999999999999</v>
          </cell>
          <cell r="BF142">
            <v>6.4102564102564103E-5</v>
          </cell>
          <cell r="BG142">
            <v>0</v>
          </cell>
          <cell r="BH142">
            <v>15.201599999999999</v>
          </cell>
          <cell r="BI142">
            <v>2.6135999999999999</v>
          </cell>
        </row>
        <row r="143">
          <cell r="A143" t="str">
            <v>Holzträger mit Glaswolle + GK-Verkleidung</v>
          </cell>
          <cell r="B143" t="str">
            <v>m²</v>
          </cell>
          <cell r="C143">
            <v>10</v>
          </cell>
          <cell r="D143" t="str">
            <v>E2-E-02a_IWl-HO16_Gw</v>
          </cell>
          <cell r="E143">
            <v>1</v>
          </cell>
          <cell r="F143">
            <v>-7.8915023494453997</v>
          </cell>
          <cell r="G143">
            <v>60</v>
          </cell>
          <cell r="H143">
            <v>11.88</v>
          </cell>
          <cell r="I143">
            <v>0</v>
          </cell>
          <cell r="J143">
            <v>0</v>
          </cell>
          <cell r="K143">
            <v>0</v>
          </cell>
          <cell r="L143">
            <v>45.628</v>
          </cell>
          <cell r="M143">
            <v>57.508000000000003</v>
          </cell>
          <cell r="N143">
            <v>1.16672589768846</v>
          </cell>
          <cell r="O143">
            <v>-21.400433585719401</v>
          </cell>
          <cell r="P143">
            <v>22.567159483407899</v>
          </cell>
          <cell r="Q143">
            <v>0.10711319375243</v>
          </cell>
          <cell r="R143">
            <v>418.96852501847701</v>
          </cell>
          <cell r="S143">
            <v>366.59108833834199</v>
          </cell>
          <cell r="T143">
            <v>1.6809947364651599E-2</v>
          </cell>
          <cell r="U143">
            <v>4.73619007943323E-2</v>
          </cell>
          <cell r="V143">
            <v>2.3346264572522199E-6</v>
          </cell>
          <cell r="W143">
            <v>17.620879271675001</v>
          </cell>
          <cell r="X143">
            <v>7.9109891428944298E-2</v>
          </cell>
          <cell r="Y143">
            <v>331.157546764757</v>
          </cell>
          <cell r="Z143">
            <v>71.551045033239404</v>
          </cell>
          <cell r="AA143">
            <v>8.5116553859008095E-3</v>
          </cell>
          <cell r="AB143">
            <v>3.4662487296478001E-2</v>
          </cell>
          <cell r="AC143">
            <v>1.9062550345902401E-6</v>
          </cell>
          <cell r="AD143">
            <v>0</v>
          </cell>
          <cell r="AE143">
            <v>0</v>
          </cell>
          <cell r="AF143">
            <v>0</v>
          </cell>
          <cell r="AG143">
            <v>0</v>
          </cell>
          <cell r="AH143">
            <v>2.67782984381074E-2</v>
          </cell>
          <cell r="AI143">
            <v>104.742131254619</v>
          </cell>
          <cell r="AJ143">
            <v>0.21</v>
          </cell>
          <cell r="AK143">
            <v>60.6</v>
          </cell>
          <cell r="AL143">
            <v>50</v>
          </cell>
          <cell r="AM143">
            <v>757.4</v>
          </cell>
          <cell r="AN143">
            <v>11.88</v>
          </cell>
          <cell r="AO143">
            <v>0</v>
          </cell>
          <cell r="AP143">
            <v>0</v>
          </cell>
          <cell r="AQ143">
            <v>0.1</v>
          </cell>
          <cell r="AR143">
            <v>0.186</v>
          </cell>
          <cell r="AS143">
            <v>55.8</v>
          </cell>
          <cell r="AT143">
            <v>50</v>
          </cell>
          <cell r="AU143">
            <v>697.4</v>
          </cell>
          <cell r="AV143">
            <v>0.186</v>
          </cell>
          <cell r="AW143">
            <v>0</v>
          </cell>
          <cell r="AX143">
            <v>0</v>
          </cell>
          <cell r="AY143">
            <v>0.1</v>
          </cell>
          <cell r="AZ143">
            <v>0.39600000000000002</v>
          </cell>
          <cell r="BA143">
            <v>116.4</v>
          </cell>
          <cell r="BB143">
            <v>50</v>
          </cell>
          <cell r="BC143">
            <v>1455</v>
          </cell>
          <cell r="BD143">
            <v>0.372</v>
          </cell>
          <cell r="BE143">
            <v>2.4E-2</v>
          </cell>
          <cell r="BF143">
            <v>0</v>
          </cell>
          <cell r="BG143">
            <v>0</v>
          </cell>
          <cell r="BH143">
            <v>16.064399999999999</v>
          </cell>
          <cell r="BI143">
            <v>2.8754</v>
          </cell>
        </row>
        <row r="144">
          <cell r="A144" t="str">
            <v>Holzträger mit Hanffaser + GK-Verkleidung</v>
          </cell>
          <cell r="B144" t="str">
            <v>m²</v>
          </cell>
          <cell r="C144">
            <v>11</v>
          </cell>
          <cell r="D144" t="str">
            <v>E2-E-02a_IWl-HO16_Hanf</v>
          </cell>
          <cell r="E144">
            <v>1</v>
          </cell>
          <cell r="F144">
            <v>-1.8732248517747001</v>
          </cell>
          <cell r="G144">
            <v>60</v>
          </cell>
          <cell r="H144">
            <v>23.44</v>
          </cell>
          <cell r="I144">
            <v>0</v>
          </cell>
          <cell r="J144">
            <v>0</v>
          </cell>
          <cell r="K144">
            <v>0</v>
          </cell>
          <cell r="L144">
            <v>42.5</v>
          </cell>
          <cell r="M144">
            <v>65.94</v>
          </cell>
          <cell r="N144">
            <v>-5.6143986755354804</v>
          </cell>
          <cell r="O144">
            <v>-36.990362761130001</v>
          </cell>
          <cell r="P144">
            <v>31.3759640855945</v>
          </cell>
          <cell r="Q144">
            <v>0.11401157142955599</v>
          </cell>
          <cell r="R144">
            <v>605.82896210621402</v>
          </cell>
          <cell r="S144">
            <v>540.81465094575901</v>
          </cell>
          <cell r="T144">
            <v>1.82671096095115E-2</v>
          </cell>
          <cell r="U144">
            <v>4.75980156975572E-2</v>
          </cell>
          <cell r="V144">
            <v>2.94402295430553E-6</v>
          </cell>
          <cell r="W144">
            <v>26.429683873861599</v>
          </cell>
          <cell r="X144">
            <v>8.6008269106070206E-2</v>
          </cell>
          <cell r="Y144">
            <v>518.01798385249401</v>
          </cell>
          <cell r="Z144">
            <v>245.774607640656</v>
          </cell>
          <cell r="AA144">
            <v>9.9688176307607106E-3</v>
          </cell>
          <cell r="AB144">
            <v>3.4898602199702998E-2</v>
          </cell>
          <cell r="AC144">
            <v>2.5156515316435502E-6</v>
          </cell>
          <cell r="AD144">
            <v>0</v>
          </cell>
          <cell r="AE144">
            <v>0</v>
          </cell>
          <cell r="AF144">
            <v>0</v>
          </cell>
          <cell r="AG144">
            <v>0</v>
          </cell>
          <cell r="AH144">
            <v>2.8502892857388901E-2</v>
          </cell>
          <cell r="AI144">
            <v>151.45724052655399</v>
          </cell>
          <cell r="AJ144">
            <v>0.21</v>
          </cell>
          <cell r="AK144">
            <v>60.6</v>
          </cell>
          <cell r="AL144">
            <v>50</v>
          </cell>
          <cell r="AM144">
            <v>757.4</v>
          </cell>
          <cell r="AN144">
            <v>23.44</v>
          </cell>
          <cell r="AO144">
            <v>0</v>
          </cell>
          <cell r="AP144">
            <v>0</v>
          </cell>
          <cell r="AQ144">
            <v>0.1</v>
          </cell>
          <cell r="AR144">
            <v>0.186</v>
          </cell>
          <cell r="AS144">
            <v>55.8</v>
          </cell>
          <cell r="AT144">
            <v>50</v>
          </cell>
          <cell r="AU144">
            <v>697.5</v>
          </cell>
          <cell r="AV144">
            <v>0.05</v>
          </cell>
          <cell r="AW144">
            <v>0.13600000000000001</v>
          </cell>
          <cell r="AX144">
            <v>0</v>
          </cell>
          <cell r="AY144">
            <v>0</v>
          </cell>
          <cell r="AZ144">
            <v>0.39600000000000002</v>
          </cell>
          <cell r="BA144">
            <v>116.4</v>
          </cell>
          <cell r="BB144">
            <v>50</v>
          </cell>
          <cell r="BC144">
            <v>1455</v>
          </cell>
          <cell r="BD144">
            <v>0.1</v>
          </cell>
          <cell r="BE144">
            <v>0.29599999999999999</v>
          </cell>
          <cell r="BF144">
            <v>0</v>
          </cell>
          <cell r="BG144">
            <v>0</v>
          </cell>
          <cell r="BH144">
            <v>18.594000000000001</v>
          </cell>
          <cell r="BI144">
            <v>3.2970000000000002</v>
          </cell>
        </row>
        <row r="145">
          <cell r="A145" t="str">
            <v>Holzträger mit Schafwolle + GK-Verkleidung</v>
          </cell>
          <cell r="B145" t="str">
            <v>m²</v>
          </cell>
          <cell r="C145">
            <v>12</v>
          </cell>
          <cell r="D145" t="str">
            <v>E2-E-02a_IWl-HO16_Schafw</v>
          </cell>
          <cell r="E145">
            <v>1</v>
          </cell>
          <cell r="F145">
            <v>-15.0919804060203</v>
          </cell>
          <cell r="G145">
            <v>60</v>
          </cell>
          <cell r="H145">
            <v>15.96</v>
          </cell>
          <cell r="I145">
            <v>0</v>
          </cell>
          <cell r="J145">
            <v>0</v>
          </cell>
          <cell r="K145">
            <v>0</v>
          </cell>
          <cell r="L145">
            <v>42.5</v>
          </cell>
          <cell r="M145">
            <v>58.46</v>
          </cell>
          <cell r="N145">
            <v>-4.3171813399305901</v>
          </cell>
          <cell r="O145">
            <v>-27.9608191621119</v>
          </cell>
          <cell r="P145">
            <v>23.643637822181301</v>
          </cell>
          <cell r="Q145">
            <v>7.5994251276600394E-2</v>
          </cell>
          <cell r="R145">
            <v>354.84948941264298</v>
          </cell>
          <cell r="S145">
            <v>360.38829505942499</v>
          </cell>
          <cell r="T145">
            <v>1.4477873306867299E-2</v>
          </cell>
          <cell r="U145">
            <v>3.2580258048539097E-2</v>
          </cell>
          <cell r="V145">
            <v>2.1026754868240398E-6</v>
          </cell>
          <cell r="W145">
            <v>18.6973576104483</v>
          </cell>
          <cell r="X145">
            <v>4.7990948953115099E-2</v>
          </cell>
          <cell r="Y145">
            <v>267.03851115892297</v>
          </cell>
          <cell r="Z145">
            <v>65.348251754322703</v>
          </cell>
          <cell r="AA145">
            <v>6.1795813281164697E-3</v>
          </cell>
          <cell r="AB145">
            <v>1.9880844550684899E-2</v>
          </cell>
          <cell r="AC145">
            <v>1.67430406416206E-6</v>
          </cell>
          <cell r="AD145">
            <v>0</v>
          </cell>
          <cell r="AE145">
            <v>0</v>
          </cell>
          <cell r="AF145">
            <v>0</v>
          </cell>
          <cell r="AG145">
            <v>0</v>
          </cell>
          <cell r="AH145">
            <v>1.8998562819150099E-2</v>
          </cell>
          <cell r="AI145">
            <v>88.712372353160703</v>
          </cell>
          <cell r="AJ145">
            <v>0.21</v>
          </cell>
          <cell r="AK145">
            <v>60.6</v>
          </cell>
          <cell r="AL145">
            <v>50</v>
          </cell>
          <cell r="AM145">
            <v>757.4</v>
          </cell>
          <cell r="AN145">
            <v>15.96</v>
          </cell>
          <cell r="AO145">
            <v>0</v>
          </cell>
          <cell r="AP145">
            <v>0</v>
          </cell>
          <cell r="AQ145">
            <v>0.1</v>
          </cell>
          <cell r="AR145">
            <v>0.186</v>
          </cell>
          <cell r="AS145">
            <v>55.8</v>
          </cell>
          <cell r="AT145">
            <v>50</v>
          </cell>
          <cell r="AU145">
            <v>697.5</v>
          </cell>
          <cell r="AV145">
            <v>0.05</v>
          </cell>
          <cell r="AW145">
            <v>0.13600000000000001</v>
          </cell>
          <cell r="AX145">
            <v>0</v>
          </cell>
          <cell r="AY145">
            <v>0</v>
          </cell>
          <cell r="AZ145">
            <v>0.39600000000000002</v>
          </cell>
          <cell r="BA145">
            <v>116.4</v>
          </cell>
          <cell r="BB145">
            <v>50</v>
          </cell>
          <cell r="BC145">
            <v>1455</v>
          </cell>
          <cell r="BD145">
            <v>0.1</v>
          </cell>
          <cell r="BE145">
            <v>0.29599999999999999</v>
          </cell>
          <cell r="BF145">
            <v>0</v>
          </cell>
          <cell r="BG145">
            <v>0</v>
          </cell>
          <cell r="BH145">
            <v>16.350000000000001</v>
          </cell>
          <cell r="BI145">
            <v>2.923</v>
          </cell>
        </row>
        <row r="146">
          <cell r="A146" t="str">
            <v>Holzträger mit Zellulose + GK-Verkleidung</v>
          </cell>
          <cell r="B146" t="str">
            <v>m²</v>
          </cell>
          <cell r="C146">
            <v>13</v>
          </cell>
          <cell r="D146" t="str">
            <v>E2-E-02a_IWl-HO16_Zell</v>
          </cell>
          <cell r="E146">
            <v>1</v>
          </cell>
          <cell r="F146">
            <v>-16.226989961596001</v>
          </cell>
          <cell r="G146">
            <v>60</v>
          </cell>
          <cell r="H146">
            <v>19.36</v>
          </cell>
          <cell r="I146">
            <v>0</v>
          </cell>
          <cell r="J146">
            <v>0</v>
          </cell>
          <cell r="K146">
            <v>0</v>
          </cell>
          <cell r="L146">
            <v>42.5</v>
          </cell>
          <cell r="M146">
            <v>61.86</v>
          </cell>
          <cell r="N146">
            <v>-13.1270115356741</v>
          </cell>
          <cell r="O146">
            <v>-32.214189619584303</v>
          </cell>
          <cell r="P146">
            <v>19.087178083910299</v>
          </cell>
          <cell r="Q146">
            <v>8.5197666842287204E-2</v>
          </cell>
          <cell r="R146">
            <v>328.03469146134302</v>
          </cell>
          <cell r="S146">
            <v>368.66181228550897</v>
          </cell>
          <cell r="T146">
            <v>1.3719962034865999E-2</v>
          </cell>
          <cell r="U146">
            <v>3.6316407020899701E-2</v>
          </cell>
          <cell r="V146">
            <v>1.88061648348788E-6</v>
          </cell>
          <cell r="W146">
            <v>14.140897872177399</v>
          </cell>
          <cell r="X146">
            <v>5.7194364518801798E-2</v>
          </cell>
          <cell r="Y146">
            <v>240.22371320762301</v>
          </cell>
          <cell r="Z146">
            <v>73.621768980406102</v>
          </cell>
          <cell r="AA146">
            <v>5.4216700561151403E-3</v>
          </cell>
          <cell r="AB146">
            <v>2.3616993523045499E-2</v>
          </cell>
          <cell r="AC146">
            <v>1.4522450608258999E-6</v>
          </cell>
          <cell r="AD146">
            <v>0</v>
          </cell>
          <cell r="AE146">
            <v>0</v>
          </cell>
          <cell r="AF146">
            <v>0</v>
          </cell>
          <cell r="AG146">
            <v>0</v>
          </cell>
          <cell r="AH146">
            <v>2.1299416710571801E-2</v>
          </cell>
          <cell r="AI146">
            <v>82.008672865335697</v>
          </cell>
          <cell r="AJ146">
            <v>0.21</v>
          </cell>
          <cell r="AK146">
            <v>60.6</v>
          </cell>
          <cell r="AL146">
            <v>50</v>
          </cell>
          <cell r="AM146">
            <v>757.4</v>
          </cell>
          <cell r="AN146">
            <v>19.36</v>
          </cell>
          <cell r="AO146">
            <v>0</v>
          </cell>
          <cell r="AP146">
            <v>0</v>
          </cell>
          <cell r="AQ146">
            <v>0.1</v>
          </cell>
          <cell r="AR146">
            <v>0.186</v>
          </cell>
          <cell r="AS146">
            <v>55.8</v>
          </cell>
          <cell r="AT146">
            <v>50</v>
          </cell>
          <cell r="AU146">
            <v>697.5</v>
          </cell>
          <cell r="AV146">
            <v>0.05</v>
          </cell>
          <cell r="AW146">
            <v>0.13600000000000001</v>
          </cell>
          <cell r="AX146">
            <v>0</v>
          </cell>
          <cell r="AY146">
            <v>0</v>
          </cell>
          <cell r="AZ146">
            <v>0.39600000000000002</v>
          </cell>
          <cell r="BA146">
            <v>116.4</v>
          </cell>
          <cell r="BB146">
            <v>50</v>
          </cell>
          <cell r="BC146">
            <v>1455</v>
          </cell>
          <cell r="BD146">
            <v>0.1</v>
          </cell>
          <cell r="BE146">
            <v>0.29599999999999999</v>
          </cell>
          <cell r="BF146">
            <v>0</v>
          </cell>
          <cell r="BG146">
            <v>0</v>
          </cell>
          <cell r="BH146">
            <v>17.37</v>
          </cell>
          <cell r="BI146">
            <v>3.093</v>
          </cell>
        </row>
        <row r="147">
          <cell r="A147" t="str">
            <v>Eigene leichte Innenwand</v>
          </cell>
          <cell r="B147" t="str">
            <v>m²</v>
          </cell>
        </row>
        <row r="148">
          <cell r="A148" t="str">
            <v>Bitte auswählen</v>
          </cell>
        </row>
        <row r="149">
          <cell r="A149" t="str">
            <v>Stütze Stahlbeton</v>
          </cell>
          <cell r="B149" t="str">
            <v>m²</v>
          </cell>
          <cell r="C149">
            <v>1</v>
          </cell>
          <cell r="D149" t="str">
            <v>E2-E-03-Stuetze_STB</v>
          </cell>
          <cell r="E149">
            <v>1</v>
          </cell>
          <cell r="F149">
            <v>34.497267526076598</v>
          </cell>
          <cell r="G149">
            <v>100</v>
          </cell>
          <cell r="H149">
            <v>0</v>
          </cell>
          <cell r="I149">
            <v>0</v>
          </cell>
          <cell r="J149">
            <v>31.2</v>
          </cell>
          <cell r="K149">
            <v>470.4</v>
          </cell>
          <cell r="L149">
            <v>0</v>
          </cell>
          <cell r="M149">
            <v>501.6</v>
          </cell>
          <cell r="N149">
            <v>81.9456361288821</v>
          </cell>
          <cell r="O149">
            <v>0</v>
          </cell>
          <cell r="P149">
            <v>81.9456361288821</v>
          </cell>
          <cell r="Q149">
            <v>0.217626679341278</v>
          </cell>
          <cell r="R149">
            <v>844.68312777277401</v>
          </cell>
          <cell r="S149">
            <v>29.005089995492199</v>
          </cell>
          <cell r="T149">
            <v>4.0552498010033897E-2</v>
          </cell>
          <cell r="U149">
            <v>0.134832199730575</v>
          </cell>
          <cell r="V149">
            <v>2.73538191385571E-6</v>
          </cell>
          <cell r="W149">
            <v>0</v>
          </cell>
          <cell r="X149">
            <v>0</v>
          </cell>
          <cell r="Y149">
            <v>0</v>
          </cell>
          <cell r="Z149">
            <v>0</v>
          </cell>
          <cell r="AA149">
            <v>0</v>
          </cell>
          <cell r="AB149">
            <v>0</v>
          </cell>
          <cell r="AC149">
            <v>0</v>
          </cell>
          <cell r="AD149">
            <v>0</v>
          </cell>
          <cell r="AE149">
            <v>0</v>
          </cell>
          <cell r="AF149">
            <v>0</v>
          </cell>
          <cell r="AG149">
            <v>0</v>
          </cell>
          <cell r="AH149">
            <v>5.4406669835319603E-2</v>
          </cell>
          <cell r="AI149">
            <v>211.17078194319299</v>
          </cell>
          <cell r="AJ149">
            <v>0.2</v>
          </cell>
          <cell r="AK149">
            <v>11</v>
          </cell>
          <cell r="AL149">
            <v>25</v>
          </cell>
          <cell r="AM149">
            <v>-332.9</v>
          </cell>
          <cell r="AN149">
            <v>0</v>
          </cell>
          <cell r="AO149">
            <v>0</v>
          </cell>
          <cell r="AP149">
            <v>31.2</v>
          </cell>
          <cell r="AQ149">
            <v>470.4</v>
          </cell>
          <cell r="AR149">
            <v>0</v>
          </cell>
          <cell r="AS149">
            <v>0</v>
          </cell>
          <cell r="AT149">
            <v>25</v>
          </cell>
          <cell r="AU149">
            <v>0</v>
          </cell>
          <cell r="AV149">
            <v>0</v>
          </cell>
          <cell r="AW149">
            <v>0</v>
          </cell>
          <cell r="AX149">
            <v>0</v>
          </cell>
          <cell r="AY149">
            <v>0</v>
          </cell>
          <cell r="AZ149">
            <v>0.2</v>
          </cell>
          <cell r="BA149">
            <v>11</v>
          </cell>
          <cell r="BB149">
            <v>25</v>
          </cell>
          <cell r="BC149">
            <v>137.4</v>
          </cell>
          <cell r="BD149">
            <v>0.19600000000000001</v>
          </cell>
          <cell r="BE149">
            <v>0</v>
          </cell>
          <cell r="BF149">
            <v>4.0000000000000001E-3</v>
          </cell>
          <cell r="BG149">
            <v>0.1</v>
          </cell>
          <cell r="BH149">
            <v>32.880000000000003</v>
          </cell>
          <cell r="BI149">
            <v>25.08</v>
          </cell>
        </row>
        <row r="150">
          <cell r="A150" t="str">
            <v>Stütze Brettschichtholz</v>
          </cell>
          <cell r="B150" t="str">
            <v>m²</v>
          </cell>
          <cell r="C150">
            <v>2</v>
          </cell>
          <cell r="D150" t="str">
            <v>E2-E-03_Stuetze_BSH</v>
          </cell>
          <cell r="E150">
            <v>1</v>
          </cell>
          <cell r="F150">
            <v>139.272957101592</v>
          </cell>
          <cell r="G150">
            <v>100</v>
          </cell>
          <cell r="H150">
            <v>495</v>
          </cell>
          <cell r="I150">
            <v>0</v>
          </cell>
          <cell r="J150">
            <v>0</v>
          </cell>
          <cell r="K150">
            <v>0</v>
          </cell>
          <cell r="L150">
            <v>0</v>
          </cell>
          <cell r="M150">
            <v>495</v>
          </cell>
          <cell r="N150">
            <v>-611.56382028762698</v>
          </cell>
          <cell r="O150">
            <v>-817.65882910983203</v>
          </cell>
          <cell r="P150">
            <v>206.09500882220499</v>
          </cell>
          <cell r="Q150">
            <v>1.16680426347856</v>
          </cell>
          <cell r="R150">
            <v>3658.79076057168</v>
          </cell>
          <cell r="S150">
            <v>12293.3351377126</v>
          </cell>
          <cell r="T150">
            <v>0.34576216578128499</v>
          </cell>
          <cell r="U150">
            <v>0.52914222907726005</v>
          </cell>
          <cell r="V150">
            <v>1.7848809277582501E-5</v>
          </cell>
          <cell r="W150">
            <v>0</v>
          </cell>
          <cell r="X150">
            <v>0</v>
          </cell>
          <cell r="Y150">
            <v>0</v>
          </cell>
          <cell r="Z150">
            <v>0</v>
          </cell>
          <cell r="AA150">
            <v>0</v>
          </cell>
          <cell r="AB150">
            <v>0</v>
          </cell>
          <cell r="AC150">
            <v>0</v>
          </cell>
          <cell r="AD150">
            <v>0</v>
          </cell>
          <cell r="AE150">
            <v>0</v>
          </cell>
          <cell r="AF150">
            <v>0</v>
          </cell>
          <cell r="AG150">
            <v>0</v>
          </cell>
          <cell r="AH150">
            <v>0.29170106586963901</v>
          </cell>
          <cell r="AI150">
            <v>914.69769014291899</v>
          </cell>
          <cell r="AJ150">
            <v>1</v>
          </cell>
          <cell r="AK150">
            <v>200</v>
          </cell>
          <cell r="AL150">
            <v>12.5</v>
          </cell>
          <cell r="AM150">
            <v>2500</v>
          </cell>
          <cell r="AN150">
            <v>495</v>
          </cell>
          <cell r="AO150">
            <v>0</v>
          </cell>
          <cell r="AP150">
            <v>0</v>
          </cell>
          <cell r="AQ150">
            <v>0</v>
          </cell>
          <cell r="AR150">
            <v>0</v>
          </cell>
          <cell r="AS150">
            <v>0</v>
          </cell>
          <cell r="AT150">
            <v>12.5</v>
          </cell>
          <cell r="AU150">
            <v>0</v>
          </cell>
          <cell r="AV150">
            <v>0</v>
          </cell>
          <cell r="AW150">
            <v>0</v>
          </cell>
          <cell r="AX150">
            <v>0</v>
          </cell>
          <cell r="AY150">
            <v>0</v>
          </cell>
          <cell r="AZ150">
            <v>1</v>
          </cell>
          <cell r="BA150">
            <v>200</v>
          </cell>
          <cell r="BB150">
            <v>12.5</v>
          </cell>
          <cell r="BC150">
            <v>2499.9</v>
          </cell>
          <cell r="BD150">
            <v>0</v>
          </cell>
          <cell r="BE150">
            <v>1</v>
          </cell>
          <cell r="BF150">
            <v>0</v>
          </cell>
          <cell r="BG150">
            <v>0.1</v>
          </cell>
          <cell r="BH150">
            <v>99</v>
          </cell>
          <cell r="BI150">
            <v>24.75</v>
          </cell>
        </row>
        <row r="151">
          <cell r="A151" t="str">
            <v>Stütze Stahlblech</v>
          </cell>
          <cell r="B151" t="str">
            <v>m²</v>
          </cell>
          <cell r="C151">
            <v>3</v>
          </cell>
          <cell r="D151" t="str">
            <v>E2-E-03_Stuetze_Stahl</v>
          </cell>
          <cell r="E151">
            <v>1</v>
          </cell>
          <cell r="F151">
            <v>21910.8969615194</v>
          </cell>
          <cell r="G151">
            <v>100</v>
          </cell>
          <cell r="H151">
            <v>0</v>
          </cell>
          <cell r="I151">
            <v>0</v>
          </cell>
          <cell r="J151">
            <v>7800</v>
          </cell>
          <cell r="K151">
            <v>0</v>
          </cell>
          <cell r="L151">
            <v>0</v>
          </cell>
          <cell r="M151">
            <v>7800</v>
          </cell>
          <cell r="N151">
            <v>16695.1497504012</v>
          </cell>
          <cell r="O151">
            <v>0</v>
          </cell>
          <cell r="P151">
            <v>16695.1497504012</v>
          </cell>
          <cell r="Q151">
            <v>82.814036535707899</v>
          </cell>
          <cell r="R151">
            <v>243685.013950747</v>
          </cell>
          <cell r="S151">
            <v>10734.3368444193</v>
          </cell>
          <cell r="T151">
            <v>13.510451978173601</v>
          </cell>
          <cell r="U151">
            <v>40.482974275037598</v>
          </cell>
          <cell r="V151">
            <v>9.3298009834567202E-4</v>
          </cell>
          <cell r="W151">
            <v>0</v>
          </cell>
          <cell r="X151">
            <v>0</v>
          </cell>
          <cell r="Y151">
            <v>0</v>
          </cell>
          <cell r="Z151">
            <v>0</v>
          </cell>
          <cell r="AA151">
            <v>0</v>
          </cell>
          <cell r="AB151">
            <v>0</v>
          </cell>
          <cell r="AC151">
            <v>0</v>
          </cell>
          <cell r="AD151">
            <v>0</v>
          </cell>
          <cell r="AE151">
            <v>0</v>
          </cell>
          <cell r="AF151">
            <v>0</v>
          </cell>
          <cell r="AG151">
            <v>0</v>
          </cell>
          <cell r="AH151">
            <v>20.703509133927</v>
          </cell>
          <cell r="AI151">
            <v>60921.253487686801</v>
          </cell>
          <cell r="AJ151">
            <v>1</v>
          </cell>
          <cell r="AK151">
            <v>300</v>
          </cell>
          <cell r="AL151">
            <v>12.5</v>
          </cell>
          <cell r="AM151">
            <v>3750</v>
          </cell>
          <cell r="AN151">
            <v>0</v>
          </cell>
          <cell r="AO151">
            <v>0</v>
          </cell>
          <cell r="AP151">
            <v>7800</v>
          </cell>
          <cell r="AQ151">
            <v>0</v>
          </cell>
          <cell r="AR151">
            <v>0</v>
          </cell>
          <cell r="AS151">
            <v>0</v>
          </cell>
          <cell r="AT151">
            <v>12.5</v>
          </cell>
          <cell r="AU151">
            <v>0</v>
          </cell>
          <cell r="AV151">
            <v>0</v>
          </cell>
          <cell r="AW151">
            <v>0</v>
          </cell>
          <cell r="AX151">
            <v>0</v>
          </cell>
          <cell r="AY151">
            <v>0</v>
          </cell>
          <cell r="AZ151">
            <v>1</v>
          </cell>
          <cell r="BA151">
            <v>300</v>
          </cell>
          <cell r="BB151">
            <v>12.5</v>
          </cell>
          <cell r="BC151">
            <v>3749.9</v>
          </cell>
          <cell r="BD151">
            <v>0</v>
          </cell>
          <cell r="BE151">
            <v>0</v>
          </cell>
          <cell r="BF151">
            <v>1</v>
          </cell>
          <cell r="BG151">
            <v>0.1</v>
          </cell>
          <cell r="BH151">
            <v>2340</v>
          </cell>
          <cell r="BI151">
            <v>390</v>
          </cell>
        </row>
        <row r="152">
          <cell r="A152" t="str">
            <v>Stütze Edelstahl</v>
          </cell>
          <cell r="B152" t="str">
            <v>m²</v>
          </cell>
          <cell r="C152">
            <v>4</v>
          </cell>
          <cell r="D152" t="str">
            <v>E2-E-03_Stuetze_Edelstahl</v>
          </cell>
          <cell r="E152">
            <v>1</v>
          </cell>
          <cell r="F152">
            <v>45250.119792441998</v>
          </cell>
          <cell r="G152">
            <v>100</v>
          </cell>
          <cell r="H152">
            <v>0</v>
          </cell>
          <cell r="I152">
            <v>0</v>
          </cell>
          <cell r="J152">
            <v>7800</v>
          </cell>
          <cell r="K152">
            <v>0</v>
          </cell>
          <cell r="L152">
            <v>0</v>
          </cell>
          <cell r="M152">
            <v>7800</v>
          </cell>
          <cell r="N152">
            <v>34092.955948338</v>
          </cell>
          <cell r="O152">
            <v>0</v>
          </cell>
          <cell r="P152">
            <v>34092.955948338</v>
          </cell>
          <cell r="Q152">
            <v>181.70394452949299</v>
          </cell>
          <cell r="R152">
            <v>461313.0359136</v>
          </cell>
          <cell r="S152">
            <v>84614.448906000005</v>
          </cell>
          <cell r="T152">
            <v>16.318956352133</v>
          </cell>
          <cell r="U152">
            <v>66.775425151190007</v>
          </cell>
          <cell r="V152">
            <v>1.69497123618342E-3</v>
          </cell>
          <cell r="W152">
            <v>0</v>
          </cell>
          <cell r="X152">
            <v>0</v>
          </cell>
          <cell r="Y152">
            <v>0</v>
          </cell>
          <cell r="Z152">
            <v>0</v>
          </cell>
          <cell r="AA152">
            <v>0</v>
          </cell>
          <cell r="AB152">
            <v>0</v>
          </cell>
          <cell r="AC152">
            <v>0</v>
          </cell>
          <cell r="AD152">
            <v>0</v>
          </cell>
          <cell r="AE152">
            <v>0</v>
          </cell>
          <cell r="AF152">
            <v>0</v>
          </cell>
          <cell r="AG152">
            <v>0</v>
          </cell>
          <cell r="AH152">
            <v>45.425986132373097</v>
          </cell>
          <cell r="AI152">
            <v>115328.2589784</v>
          </cell>
          <cell r="AJ152">
            <v>1</v>
          </cell>
          <cell r="AK152">
            <v>300</v>
          </cell>
          <cell r="AL152">
            <v>12.5</v>
          </cell>
          <cell r="AM152">
            <v>3750</v>
          </cell>
          <cell r="AN152">
            <v>0</v>
          </cell>
          <cell r="AO152">
            <v>0</v>
          </cell>
          <cell r="AP152">
            <v>7800</v>
          </cell>
          <cell r="AQ152">
            <v>0</v>
          </cell>
          <cell r="AR152">
            <v>0</v>
          </cell>
          <cell r="AS152">
            <v>0</v>
          </cell>
          <cell r="AT152">
            <v>12.5</v>
          </cell>
          <cell r="AU152">
            <v>0</v>
          </cell>
          <cell r="AV152">
            <v>0</v>
          </cell>
          <cell r="AW152">
            <v>0</v>
          </cell>
          <cell r="AX152">
            <v>0</v>
          </cell>
          <cell r="AY152">
            <v>0</v>
          </cell>
          <cell r="AZ152">
            <v>1</v>
          </cell>
          <cell r="BA152">
            <v>300</v>
          </cell>
          <cell r="BB152">
            <v>12.5</v>
          </cell>
          <cell r="BC152">
            <v>3749.9</v>
          </cell>
          <cell r="BD152">
            <v>0</v>
          </cell>
          <cell r="BE152">
            <v>0</v>
          </cell>
          <cell r="BF152">
            <v>1</v>
          </cell>
          <cell r="BG152">
            <v>0.1</v>
          </cell>
          <cell r="BH152">
            <v>2340</v>
          </cell>
          <cell r="BI152">
            <v>390</v>
          </cell>
        </row>
        <row r="153">
          <cell r="A153" t="str">
            <v>Eigenes Stützenelement</v>
          </cell>
          <cell r="B153" t="str">
            <v>m²</v>
          </cell>
        </row>
        <row r="154">
          <cell r="A154" t="str">
            <v>Bitte auswählen</v>
          </cell>
        </row>
        <row r="155">
          <cell r="A155" t="str">
            <v xml:space="preserve">Thermischer Kollektor auf Dach montiert </v>
          </cell>
          <cell r="B155" t="str">
            <v>m²</v>
          </cell>
        </row>
        <row r="156">
          <cell r="A156" t="str">
            <v xml:space="preserve">Thermischer Kollektor am Flachdach aufgeständert </v>
          </cell>
          <cell r="B156" t="str">
            <v>m²</v>
          </cell>
        </row>
        <row r="157">
          <cell r="A157" t="str">
            <v>Eigene Wärmeerzeugungsanlage</v>
          </cell>
          <cell r="B157" t="str">
            <v>m²</v>
          </cell>
        </row>
        <row r="158">
          <cell r="A158" t="str">
            <v>Thermischer Kollektor Indach-Lösung</v>
          </cell>
          <cell r="B158" t="str">
            <v>m²</v>
          </cell>
        </row>
        <row r="159">
          <cell r="A159" t="str">
            <v>Eigene Solaranlage Dach</v>
          </cell>
          <cell r="B159" t="str">
            <v>m²</v>
          </cell>
        </row>
        <row r="160">
          <cell r="A160" t="str">
            <v>Bitte auswählen</v>
          </cell>
        </row>
        <row r="161">
          <cell r="A161" t="str">
            <v>Thermischer Kollektor (Fassadenkollektor)</v>
          </cell>
          <cell r="B161" t="str">
            <v>m²</v>
          </cell>
        </row>
        <row r="162">
          <cell r="A162" t="str">
            <v>Eigener Fassadenkollektor</v>
          </cell>
          <cell r="B162" t="str">
            <v>m²</v>
          </cell>
        </row>
        <row r="163">
          <cell r="A163" t="str">
            <v>Bitte auswählen</v>
          </cell>
        </row>
        <row r="164">
          <cell r="A164" t="str">
            <v xml:space="preserve">PV auf Dach montiert </v>
          </cell>
          <cell r="B164" t="str">
            <v>m²</v>
          </cell>
        </row>
        <row r="165">
          <cell r="A165" t="str">
            <v xml:space="preserve">PV am Flachdach aufgeständert </v>
          </cell>
          <cell r="B165" t="str">
            <v>m²</v>
          </cell>
        </row>
        <row r="166">
          <cell r="A166" t="str">
            <v>Eigene PV Dach nicht integriert</v>
          </cell>
          <cell r="B166" t="str">
            <v>m²</v>
          </cell>
        </row>
        <row r="167">
          <cell r="A167" t="str">
            <v>Photovoltaikmodul  Indach-Lösung</v>
          </cell>
          <cell r="B167" t="str">
            <v>m²</v>
          </cell>
        </row>
        <row r="168">
          <cell r="A168" t="str">
            <v>Eigene PV Steildach</v>
          </cell>
          <cell r="B168" t="str">
            <v>m²</v>
          </cell>
        </row>
        <row r="169">
          <cell r="A169" t="str">
            <v>Photovoltaik Dachplane für Flachdächer</v>
          </cell>
          <cell r="B169" t="str">
            <v>m²</v>
          </cell>
        </row>
        <row r="170">
          <cell r="A170" t="str">
            <v>Eigene PV Flachdach</v>
          </cell>
          <cell r="B170" t="str">
            <v>m²</v>
          </cell>
        </row>
        <row r="171">
          <cell r="A171" t="str">
            <v>Bitte auswählen</v>
          </cell>
        </row>
        <row r="172">
          <cell r="A172" t="str">
            <v>Photovoltaik-Fassade</v>
          </cell>
          <cell r="B172" t="str">
            <v>m²</v>
          </cell>
        </row>
        <row r="173">
          <cell r="A173" t="str">
            <v>Eigene Photovoltaik-Fassade</v>
          </cell>
          <cell r="B173" t="str">
            <v>m²</v>
          </cell>
        </row>
        <row r="174">
          <cell r="A174" t="str">
            <v>Bitte auswählen</v>
          </cell>
        </row>
        <row r="175">
          <cell r="A175" t="str">
            <v>Dachziegel inkl. Lattung</v>
          </cell>
          <cell r="B175" t="str">
            <v>m²</v>
          </cell>
          <cell r="C175">
            <v>1</v>
          </cell>
          <cell r="D175" t="str">
            <v>E4-B-DD-Ziegel</v>
          </cell>
          <cell r="E175">
            <v>1</v>
          </cell>
          <cell r="F175">
            <v>-24.037225891265599</v>
          </cell>
          <cell r="G175">
            <v>25</v>
          </cell>
          <cell r="H175">
            <v>5.13</v>
          </cell>
          <cell r="I175">
            <v>0</v>
          </cell>
          <cell r="J175">
            <v>0</v>
          </cell>
          <cell r="K175">
            <v>0</v>
          </cell>
          <cell r="L175">
            <v>45</v>
          </cell>
          <cell r="M175">
            <v>50.13</v>
          </cell>
          <cell r="N175">
            <v>4.4150606190564696</v>
          </cell>
          <cell r="O175">
            <v>-7.7694674680162201</v>
          </cell>
          <cell r="P175">
            <v>12.1845280870727</v>
          </cell>
          <cell r="Q175">
            <v>3.44140441022339E-2</v>
          </cell>
          <cell r="R175">
            <v>209.15174375781299</v>
          </cell>
          <cell r="S175">
            <v>92.132715193125406</v>
          </cell>
          <cell r="T175">
            <v>5.1563076787715699E-3</v>
          </cell>
          <cell r="U175">
            <v>1.8077388226748901E-2</v>
          </cell>
          <cell r="V175">
            <v>1.25859160801192E-6</v>
          </cell>
          <cell r="W175">
            <v>35.445688353859097</v>
          </cell>
          <cell r="X175">
            <v>9.6796950181181299E-2</v>
          </cell>
          <cell r="Y175">
            <v>609.64764403882498</v>
          </cell>
          <cell r="Z175">
            <v>100.99430462432601</v>
          </cell>
          <cell r="AA175">
            <v>1.1578732028055899E-2</v>
          </cell>
          <cell r="AB175">
            <v>5.1792914197439303E-2</v>
          </cell>
          <cell r="AC175">
            <v>3.66290274861041E-6</v>
          </cell>
          <cell r="AD175">
            <v>0</v>
          </cell>
          <cell r="AE175">
            <v>0</v>
          </cell>
          <cell r="AF175">
            <v>0</v>
          </cell>
          <cell r="AG175">
            <v>0</v>
          </cell>
          <cell r="AH175">
            <v>8.6035110255584697E-3</v>
          </cell>
          <cell r="AI175">
            <v>52.287935939453298</v>
          </cell>
          <cell r="AJ175">
            <v>3.4500000000000003E-2</v>
          </cell>
          <cell r="AK175">
            <v>9.4</v>
          </cell>
          <cell r="AL175">
            <v>37.5</v>
          </cell>
          <cell r="AM175">
            <v>117.4</v>
          </cell>
          <cell r="AN175">
            <v>5.13</v>
          </cell>
          <cell r="AO175">
            <v>0</v>
          </cell>
          <cell r="AP175">
            <v>0</v>
          </cell>
          <cell r="AQ175">
            <v>0.1</v>
          </cell>
          <cell r="AR175">
            <v>8.4500000000000006E-2</v>
          </cell>
          <cell r="AS175">
            <v>24.4</v>
          </cell>
          <cell r="AT175">
            <v>37.5</v>
          </cell>
          <cell r="AU175">
            <v>305</v>
          </cell>
          <cell r="AV175">
            <v>7.4999999999999997E-2</v>
          </cell>
          <cell r="AW175">
            <v>9.4999999999999998E-3</v>
          </cell>
          <cell r="AX175">
            <v>0</v>
          </cell>
          <cell r="AY175">
            <v>0</v>
          </cell>
          <cell r="AZ175">
            <v>0.11899999999999999</v>
          </cell>
          <cell r="BA175">
            <v>33.799999999999997</v>
          </cell>
          <cell r="BB175">
            <v>37.5</v>
          </cell>
          <cell r="BC175">
            <v>422.5</v>
          </cell>
          <cell r="BD175">
            <v>0.1</v>
          </cell>
          <cell r="BE175">
            <v>1.9E-2</v>
          </cell>
          <cell r="BF175">
            <v>0</v>
          </cell>
          <cell r="BG175">
            <v>0</v>
          </cell>
          <cell r="BH175">
            <v>14.526</v>
          </cell>
          <cell r="BI175">
            <v>2.5065</v>
          </cell>
        </row>
        <row r="176">
          <cell r="A176" t="str">
            <v>Aludach auf Lattung</v>
          </cell>
          <cell r="B176" t="str">
            <v>m²</v>
          </cell>
          <cell r="C176">
            <v>2</v>
          </cell>
          <cell r="D176" t="str">
            <v>E4-B-DD-Alublech</v>
          </cell>
          <cell r="E176">
            <v>1</v>
          </cell>
          <cell r="F176">
            <v>-18.728472717619901</v>
          </cell>
          <cell r="G176">
            <v>25</v>
          </cell>
          <cell r="H176">
            <v>5.94</v>
          </cell>
          <cell r="I176">
            <v>0</v>
          </cell>
          <cell r="J176">
            <v>2.2999999999999998</v>
          </cell>
          <cell r="K176">
            <v>0</v>
          </cell>
          <cell r="L176">
            <v>0</v>
          </cell>
          <cell r="M176">
            <v>8.24</v>
          </cell>
          <cell r="N176">
            <v>6.7183004083898901</v>
          </cell>
          <cell r="O176">
            <v>-9.0013308520871806</v>
          </cell>
          <cell r="P176">
            <v>15.719631260477099</v>
          </cell>
          <cell r="Q176">
            <v>7.0608031227452794E-2</v>
          </cell>
          <cell r="R176">
            <v>212.122191519643</v>
          </cell>
          <cell r="S176">
            <v>137.58237181285401</v>
          </cell>
          <cell r="T176">
            <v>9.5666124680367608E-3</v>
          </cell>
          <cell r="U176">
            <v>2.8230699431551001E-2</v>
          </cell>
          <cell r="V176">
            <v>1.08499683837291E-6</v>
          </cell>
          <cell r="W176">
            <v>45.876066941331302</v>
          </cell>
          <cell r="X176">
            <v>0.20436125122123</v>
          </cell>
          <cell r="Y176">
            <v>615.74726302411204</v>
          </cell>
          <cell r="Z176">
            <v>209.64793117481901</v>
          </cell>
          <cell r="AA176">
            <v>2.41954057103369E-2</v>
          </cell>
          <cell r="AB176">
            <v>8.1867702998770803E-2</v>
          </cell>
          <cell r="AC176">
            <v>3.1242965330472499E-6</v>
          </cell>
          <cell r="AD176">
            <v>0</v>
          </cell>
          <cell r="AE176">
            <v>0</v>
          </cell>
          <cell r="AF176">
            <v>0</v>
          </cell>
          <cell r="AG176">
            <v>0</v>
          </cell>
          <cell r="AH176">
            <v>1.7652007806863199E-2</v>
          </cell>
          <cell r="AI176">
            <v>53.030547879910699</v>
          </cell>
          <cell r="AJ176">
            <v>1.1821428571428601E-2</v>
          </cell>
          <cell r="AK176">
            <v>2.4464285714285698</v>
          </cell>
          <cell r="AL176">
            <v>37.5</v>
          </cell>
          <cell r="AM176">
            <v>30.5803571428571</v>
          </cell>
          <cell r="AN176">
            <v>5.94</v>
          </cell>
          <cell r="AO176">
            <v>0</v>
          </cell>
          <cell r="AP176">
            <v>2.2999999999999998</v>
          </cell>
          <cell r="AQ176">
            <v>0</v>
          </cell>
          <cell r="AR176">
            <v>1.3464285714285699E-2</v>
          </cell>
          <cell r="AS176">
            <v>2.9392857142857101</v>
          </cell>
          <cell r="AT176">
            <v>37.5</v>
          </cell>
          <cell r="AU176">
            <v>36.741071428571402</v>
          </cell>
          <cell r="AV176">
            <v>0</v>
          </cell>
          <cell r="AW176">
            <v>1.0999999999999999E-2</v>
          </cell>
          <cell r="AX176">
            <v>2.4642857142857101E-3</v>
          </cell>
          <cell r="AY176">
            <v>0</v>
          </cell>
          <cell r="AZ176">
            <v>2.52857142857143E-2</v>
          </cell>
          <cell r="BA176">
            <v>5.3857142857142897</v>
          </cell>
          <cell r="BB176">
            <v>37.5</v>
          </cell>
          <cell r="BC176">
            <v>67.321428571428598</v>
          </cell>
          <cell r="BD176">
            <v>0</v>
          </cell>
          <cell r="BE176">
            <v>2.1999999999999999E-2</v>
          </cell>
          <cell r="BF176">
            <v>3.2857142857142898E-3</v>
          </cell>
          <cell r="BG176">
            <v>0</v>
          </cell>
          <cell r="BH176">
            <v>1.8779999999999999</v>
          </cell>
          <cell r="BI176">
            <v>0.41199999999999998</v>
          </cell>
        </row>
        <row r="177">
          <cell r="A177" t="str">
            <v>Eigene Dachverkleidung</v>
          </cell>
          <cell r="B177" t="str">
            <v>m²</v>
          </cell>
        </row>
        <row r="178">
          <cell r="A178" t="str">
            <v>Kiesdach</v>
          </cell>
          <cell r="B178" t="str">
            <v>m²</v>
          </cell>
          <cell r="C178">
            <v>3</v>
          </cell>
          <cell r="D178" t="str">
            <v>E4-B-DD-Kies</v>
          </cell>
          <cell r="E178">
            <v>1</v>
          </cell>
          <cell r="F178">
            <v>-35.014419694052798</v>
          </cell>
          <cell r="G178">
            <v>25</v>
          </cell>
          <cell r="H178">
            <v>0</v>
          </cell>
          <cell r="I178">
            <v>0.14000000000000001</v>
          </cell>
          <cell r="J178">
            <v>0</v>
          </cell>
          <cell r="K178">
            <v>0</v>
          </cell>
          <cell r="L178">
            <v>108</v>
          </cell>
          <cell r="M178">
            <v>108.14</v>
          </cell>
          <cell r="N178">
            <v>0.87512037512676599</v>
          </cell>
          <cell r="O178">
            <v>-2.96271451000004E-3</v>
          </cell>
          <cell r="P178">
            <v>0.87808308963676596</v>
          </cell>
          <cell r="Q178">
            <v>3.85767234528799E-3</v>
          </cell>
          <cell r="R178">
            <v>19.761117921631101</v>
          </cell>
          <cell r="S178">
            <v>0.59301730322242596</v>
          </cell>
          <cell r="T178">
            <v>5.93775792721851E-4</v>
          </cell>
          <cell r="U178">
            <v>1.4403907348656999E-3</v>
          </cell>
          <cell r="V178">
            <v>4.2367089978595901E-8</v>
          </cell>
          <cell r="W178">
            <v>2.6342492689102999</v>
          </cell>
          <cell r="X178">
            <v>1.1573017035864001E-2</v>
          </cell>
          <cell r="Y178">
            <v>59.283353764893199</v>
          </cell>
          <cell r="Z178">
            <v>1.7790519096672801</v>
          </cell>
          <cell r="AA178">
            <v>1.78132737816555E-3</v>
          </cell>
          <cell r="AB178">
            <v>4.3211722045971099E-3</v>
          </cell>
          <cell r="AC178">
            <v>1.2710126993578799E-7</v>
          </cell>
          <cell r="AD178">
            <v>0</v>
          </cell>
          <cell r="AE178">
            <v>0</v>
          </cell>
          <cell r="AF178">
            <v>0</v>
          </cell>
          <cell r="AG178">
            <v>0</v>
          </cell>
          <cell r="AH178">
            <v>9.6441808632199803E-4</v>
          </cell>
          <cell r="AI178">
            <v>4.9402794804077699</v>
          </cell>
          <cell r="AJ178">
            <v>6.0233333333333298E-2</v>
          </cell>
          <cell r="AK178">
            <v>3.07</v>
          </cell>
          <cell r="AL178">
            <v>25</v>
          </cell>
          <cell r="AM178">
            <v>38.274999999999999</v>
          </cell>
          <cell r="AN178">
            <v>0</v>
          </cell>
          <cell r="AO178">
            <v>0.14000000000000001</v>
          </cell>
          <cell r="AP178">
            <v>0</v>
          </cell>
          <cell r="AQ178">
            <v>0.1</v>
          </cell>
          <cell r="AR178">
            <v>0.1807</v>
          </cell>
          <cell r="AS178">
            <v>9.2100000000000009</v>
          </cell>
          <cell r="AT178">
            <v>25</v>
          </cell>
          <cell r="AU178">
            <v>115.02500000000001</v>
          </cell>
          <cell r="AV178">
            <v>0.18</v>
          </cell>
          <cell r="AW178">
            <v>6.9999999999999999E-4</v>
          </cell>
          <cell r="AX178">
            <v>0</v>
          </cell>
          <cell r="AY178">
            <v>0.1</v>
          </cell>
          <cell r="AZ178">
            <v>0.240933333333333</v>
          </cell>
          <cell r="BA178">
            <v>12.28</v>
          </cell>
          <cell r="BB178">
            <v>25</v>
          </cell>
          <cell r="BC178">
            <v>153.4</v>
          </cell>
          <cell r="BD178">
            <v>0.24</v>
          </cell>
          <cell r="BE178">
            <v>9.33333333333333E-4</v>
          </cell>
          <cell r="BF178">
            <v>0</v>
          </cell>
          <cell r="BG178">
            <v>0.1</v>
          </cell>
          <cell r="BH178">
            <v>5.4420000000000002</v>
          </cell>
          <cell r="BI178">
            <v>5.407</v>
          </cell>
        </row>
        <row r="179">
          <cell r="A179" t="str">
            <v>Kiesdach mit UKD 8cm</v>
          </cell>
          <cell r="B179" t="str">
            <v>m²</v>
          </cell>
          <cell r="C179">
            <v>4</v>
          </cell>
          <cell r="D179" t="str">
            <v>E4-B-DD-Kies-UKD</v>
          </cell>
          <cell r="E179">
            <v>1</v>
          </cell>
          <cell r="F179">
            <v>-17.727054021589598</v>
          </cell>
          <cell r="G179">
            <v>25</v>
          </cell>
          <cell r="H179">
            <v>0</v>
          </cell>
          <cell r="I179">
            <v>3.04</v>
          </cell>
          <cell r="J179">
            <v>0</v>
          </cell>
          <cell r="K179">
            <v>0</v>
          </cell>
          <cell r="L179">
            <v>108</v>
          </cell>
          <cell r="M179">
            <v>111.04</v>
          </cell>
          <cell r="N179">
            <v>13.261558387403801</v>
          </cell>
          <cell r="O179">
            <v>0</v>
          </cell>
          <cell r="P179">
            <v>13.261558387403801</v>
          </cell>
          <cell r="Q179">
            <v>4.9930425474666897E-2</v>
          </cell>
          <cell r="R179">
            <v>292.15888551662499</v>
          </cell>
          <cell r="S179">
            <v>3.1910490796266702</v>
          </cell>
          <cell r="T179">
            <v>2.5062987359207499E-2</v>
          </cell>
          <cell r="U179">
            <v>9.0039688079216005E-3</v>
          </cell>
          <cell r="V179">
            <v>2.1880730686625899E-7</v>
          </cell>
          <cell r="W179">
            <v>39.7846751622114</v>
          </cell>
          <cell r="X179">
            <v>0.149791276424001</v>
          </cell>
          <cell r="Y179">
            <v>876.476656549876</v>
          </cell>
          <cell r="Z179">
            <v>9.5731472388800007</v>
          </cell>
          <cell r="AA179">
            <v>7.5188962077622407E-2</v>
          </cell>
          <cell r="AB179">
            <v>2.70119064237648E-2</v>
          </cell>
          <cell r="AC179">
            <v>6.5642192059877805E-7</v>
          </cell>
          <cell r="AD179">
            <v>0</v>
          </cell>
          <cell r="AE179">
            <v>0</v>
          </cell>
          <cell r="AF179">
            <v>0</v>
          </cell>
          <cell r="AG179">
            <v>0</v>
          </cell>
          <cell r="AH179">
            <v>1.24826063686667E-2</v>
          </cell>
          <cell r="AI179">
            <v>73.039721379156404</v>
          </cell>
          <cell r="AJ179">
            <v>0.14000000000000001</v>
          </cell>
          <cell r="AK179">
            <v>27</v>
          </cell>
          <cell r="AL179">
            <v>25</v>
          </cell>
          <cell r="AM179">
            <v>337.4</v>
          </cell>
          <cell r="AN179">
            <v>0</v>
          </cell>
          <cell r="AO179">
            <v>3.04</v>
          </cell>
          <cell r="AP179">
            <v>0</v>
          </cell>
          <cell r="AQ179">
            <v>0.1</v>
          </cell>
          <cell r="AR179">
            <v>0.42</v>
          </cell>
          <cell r="AS179">
            <v>81</v>
          </cell>
          <cell r="AT179">
            <v>25</v>
          </cell>
          <cell r="AU179">
            <v>1012.5</v>
          </cell>
          <cell r="AV179">
            <v>0.18</v>
          </cell>
          <cell r="AW179">
            <v>0.24</v>
          </cell>
          <cell r="AX179">
            <v>0</v>
          </cell>
          <cell r="AY179">
            <v>0</v>
          </cell>
          <cell r="AZ179">
            <v>0.56000000000000005</v>
          </cell>
          <cell r="BA179">
            <v>108</v>
          </cell>
          <cell r="BB179">
            <v>25</v>
          </cell>
          <cell r="BC179">
            <v>1350</v>
          </cell>
          <cell r="BD179">
            <v>0.24</v>
          </cell>
          <cell r="BE179">
            <v>0.32</v>
          </cell>
          <cell r="BF179">
            <v>0</v>
          </cell>
          <cell r="BG179">
            <v>0</v>
          </cell>
          <cell r="BH179">
            <v>6.3120000000000003</v>
          </cell>
          <cell r="BI179">
            <v>5.5519999999999996</v>
          </cell>
        </row>
        <row r="180">
          <cell r="A180" t="str">
            <v>Terrasse-Betonplatten</v>
          </cell>
          <cell r="B180" t="str">
            <v>m²</v>
          </cell>
          <cell r="C180">
            <v>5</v>
          </cell>
          <cell r="D180" t="str">
            <v>E4-B-DD-Kies-Terr</v>
          </cell>
          <cell r="E180">
            <v>1</v>
          </cell>
          <cell r="F180">
            <v>-28.9510925128154</v>
          </cell>
          <cell r="G180">
            <v>25</v>
          </cell>
          <cell r="H180">
            <v>0</v>
          </cell>
          <cell r="I180">
            <v>0</v>
          </cell>
          <cell r="J180">
            <v>0</v>
          </cell>
          <cell r="K180">
            <v>115</v>
          </cell>
          <cell r="L180">
            <v>54</v>
          </cell>
          <cell r="M180">
            <v>169</v>
          </cell>
          <cell r="N180">
            <v>11.179720729861801</v>
          </cell>
          <cell r="O180">
            <v>-3.3574590059949599E-3</v>
          </cell>
          <cell r="P180">
            <v>11.1830781888678</v>
          </cell>
          <cell r="Q180">
            <v>2.21506316186066E-2</v>
          </cell>
          <cell r="R180">
            <v>76.966094491801897</v>
          </cell>
          <cell r="S180">
            <v>2.9251396448901099</v>
          </cell>
          <cell r="T180">
            <v>3.0506143889804898E-3</v>
          </cell>
          <cell r="U180">
            <v>1.34352903796699E-2</v>
          </cell>
          <cell r="V180">
            <v>2.6027398606978598E-7</v>
          </cell>
          <cell r="W180">
            <v>33.549234566603403</v>
          </cell>
          <cell r="X180">
            <v>6.6451894855819704E-2</v>
          </cell>
          <cell r="Y180">
            <v>230.898283475406</v>
          </cell>
          <cell r="Z180">
            <v>8.7754189346703306</v>
          </cell>
          <cell r="AA180">
            <v>9.1518431669414604E-3</v>
          </cell>
          <cell r="AB180">
            <v>4.0305871139009797E-2</v>
          </cell>
          <cell r="AC180">
            <v>7.8082195820935704E-7</v>
          </cell>
          <cell r="AD180">
            <v>0</v>
          </cell>
          <cell r="AE180">
            <v>0</v>
          </cell>
          <cell r="AF180">
            <v>0</v>
          </cell>
          <cell r="AG180">
            <v>0</v>
          </cell>
          <cell r="AH180">
            <v>5.5376579046516397E-3</v>
          </cell>
          <cell r="AI180">
            <v>19.241523622950499</v>
          </cell>
          <cell r="AJ180">
            <v>0.08</v>
          </cell>
          <cell r="AK180">
            <v>4</v>
          </cell>
          <cell r="AL180">
            <v>25</v>
          </cell>
          <cell r="AM180">
            <v>50</v>
          </cell>
          <cell r="AN180">
            <v>0</v>
          </cell>
          <cell r="AO180">
            <v>0</v>
          </cell>
          <cell r="AP180">
            <v>0</v>
          </cell>
          <cell r="AQ180">
            <v>0</v>
          </cell>
          <cell r="AR180">
            <v>0.24</v>
          </cell>
          <cell r="AS180">
            <v>12</v>
          </cell>
          <cell r="AT180">
            <v>25</v>
          </cell>
          <cell r="AU180">
            <v>149.9</v>
          </cell>
          <cell r="AV180">
            <v>0.24</v>
          </cell>
          <cell r="AW180">
            <v>0</v>
          </cell>
          <cell r="AX180">
            <v>0</v>
          </cell>
          <cell r="AY180">
            <v>0.1</v>
          </cell>
          <cell r="AZ180">
            <v>0.32</v>
          </cell>
          <cell r="BA180">
            <v>16</v>
          </cell>
          <cell r="BB180">
            <v>25</v>
          </cell>
          <cell r="BC180">
            <v>199.9</v>
          </cell>
          <cell r="BD180">
            <v>0.32</v>
          </cell>
          <cell r="BE180">
            <v>0</v>
          </cell>
          <cell r="BF180">
            <v>0</v>
          </cell>
          <cell r="BG180">
            <v>0.1</v>
          </cell>
          <cell r="BH180">
            <v>8.4499999999999993</v>
          </cell>
          <cell r="BI180">
            <v>8.4499999999999993</v>
          </cell>
        </row>
        <row r="181">
          <cell r="A181" t="str">
            <v>Eigene Flachdachbelegung</v>
          </cell>
          <cell r="B181" t="str">
            <v>m²</v>
          </cell>
        </row>
        <row r="182">
          <cell r="A182" t="str">
            <v>Bitte auswählen</v>
          </cell>
        </row>
        <row r="183">
          <cell r="A183" t="str">
            <v>Zweifachverglasung Argon</v>
          </cell>
          <cell r="B183" t="str">
            <v>m²</v>
          </cell>
          <cell r="C183">
            <v>1</v>
          </cell>
          <cell r="D183" t="str">
            <v>Zweifachverglasung_Argon</v>
          </cell>
          <cell r="E183">
            <v>1</v>
          </cell>
          <cell r="F183">
            <v>3.9609502462821502</v>
          </cell>
          <cell r="G183">
            <v>84.5495174055131</v>
          </cell>
          <cell r="H183">
            <v>0</v>
          </cell>
          <cell r="I183">
            <v>0</v>
          </cell>
          <cell r="J183">
            <v>0</v>
          </cell>
          <cell r="K183">
            <v>0</v>
          </cell>
          <cell r="L183">
            <v>20.2</v>
          </cell>
          <cell r="M183">
            <v>20.2</v>
          </cell>
          <cell r="N183">
            <v>24.952774223544498</v>
          </cell>
          <cell r="O183">
            <v>0</v>
          </cell>
          <cell r="P183">
            <v>24.952774223544498</v>
          </cell>
          <cell r="Q183">
            <v>0.19259316308212299</v>
          </cell>
          <cell r="R183">
            <v>313.69198394224998</v>
          </cell>
          <cell r="S183">
            <v>22.2538322270408</v>
          </cell>
          <cell r="T183">
            <v>1.06594757740286E-2</v>
          </cell>
          <cell r="U183">
            <v>3.0370569896016799E-2</v>
          </cell>
          <cell r="V183">
            <v>1.9681984231794701E-6</v>
          </cell>
          <cell r="W183">
            <v>49.905548447088997</v>
          </cell>
          <cell r="X183">
            <v>0.38518632616424597</v>
          </cell>
          <cell r="Y183">
            <v>627.38396788449995</v>
          </cell>
          <cell r="Z183">
            <v>44.507664454081599</v>
          </cell>
          <cell r="AA183">
            <v>2.1318951548057199E-2</v>
          </cell>
          <cell r="AB183">
            <v>6.0741139792033598E-2</v>
          </cell>
          <cell r="AC183">
            <v>3.9363968463589403E-6</v>
          </cell>
          <cell r="AD183">
            <v>0</v>
          </cell>
          <cell r="AE183">
            <v>0</v>
          </cell>
          <cell r="AF183">
            <v>0</v>
          </cell>
          <cell r="AG183">
            <v>24.952774223544498</v>
          </cell>
          <cell r="AH183">
            <v>0.19259316308212299</v>
          </cell>
          <cell r="AI183">
            <v>313.69198394224998</v>
          </cell>
          <cell r="AJ183">
            <v>1</v>
          </cell>
          <cell r="AK183">
            <v>0</v>
          </cell>
          <cell r="AL183">
            <v>0</v>
          </cell>
          <cell r="AM183">
            <v>0</v>
          </cell>
          <cell r="AN183">
            <v>0</v>
          </cell>
          <cell r="AO183">
            <v>0</v>
          </cell>
          <cell r="AP183">
            <v>0</v>
          </cell>
          <cell r="AQ183">
            <v>0</v>
          </cell>
          <cell r="AR183">
            <v>1.8571428571428601</v>
          </cell>
          <cell r="AS183">
            <v>0</v>
          </cell>
          <cell r="AT183">
            <v>0</v>
          </cell>
          <cell r="AU183">
            <v>0</v>
          </cell>
          <cell r="AV183">
            <v>0</v>
          </cell>
          <cell r="AW183">
            <v>0</v>
          </cell>
          <cell r="AX183">
            <v>0</v>
          </cell>
          <cell r="AY183">
            <v>0</v>
          </cell>
          <cell r="AZ183">
            <v>2.8571428571428599</v>
          </cell>
          <cell r="BA183">
            <v>0</v>
          </cell>
          <cell r="BB183">
            <v>0</v>
          </cell>
          <cell r="BC183">
            <v>0</v>
          </cell>
          <cell r="BD183">
            <v>0</v>
          </cell>
          <cell r="BE183">
            <v>0</v>
          </cell>
          <cell r="BF183">
            <v>0</v>
          </cell>
          <cell r="BG183">
            <v>0</v>
          </cell>
        </row>
        <row r="184">
          <cell r="A184" t="str">
            <v>Zweifachverglasung Krypton</v>
          </cell>
          <cell r="B184" t="str">
            <v>m²</v>
          </cell>
          <cell r="C184">
            <v>2</v>
          </cell>
          <cell r="D184" t="str">
            <v>ZweifachG_Kr</v>
          </cell>
          <cell r="E184">
            <v>1</v>
          </cell>
          <cell r="F184">
            <v>11.7994162030979</v>
          </cell>
          <cell r="G184">
            <v>108.06491527596</v>
          </cell>
          <cell r="H184">
            <v>0</v>
          </cell>
          <cell r="I184">
            <v>0</v>
          </cell>
          <cell r="J184">
            <v>0</v>
          </cell>
          <cell r="K184">
            <v>0</v>
          </cell>
          <cell r="L184">
            <v>20.2</v>
          </cell>
          <cell r="M184">
            <v>20.2</v>
          </cell>
          <cell r="N184">
            <v>30.473469387070299</v>
          </cell>
          <cell r="O184">
            <v>0</v>
          </cell>
          <cell r="P184">
            <v>30.473469387070299</v>
          </cell>
          <cell r="Q184">
            <v>0.21875957410698799</v>
          </cell>
          <cell r="R184">
            <v>416.57684272963297</v>
          </cell>
          <cell r="S184">
            <v>29.560647451613701</v>
          </cell>
          <cell r="T184">
            <v>1.1898000311177199E-2</v>
          </cell>
          <cell r="U184">
            <v>4.9318287113030899E-2</v>
          </cell>
          <cell r="V184">
            <v>2.21205768549442E-6</v>
          </cell>
          <cell r="W184">
            <v>60.946938774140598</v>
          </cell>
          <cell r="X184">
            <v>0.43751914821397597</v>
          </cell>
          <cell r="Y184">
            <v>833.15368545926594</v>
          </cell>
          <cell r="Z184">
            <v>59.121294903227401</v>
          </cell>
          <cell r="AA184">
            <v>2.3796000622354398E-2</v>
          </cell>
          <cell r="AB184">
            <v>9.8636574226061799E-2</v>
          </cell>
          <cell r="AC184">
            <v>4.42411537098884E-6</v>
          </cell>
          <cell r="AD184">
            <v>0</v>
          </cell>
          <cell r="AE184">
            <v>0</v>
          </cell>
          <cell r="AF184">
            <v>0</v>
          </cell>
          <cell r="AG184">
            <v>30.473469387070299</v>
          </cell>
          <cell r="AH184">
            <v>0.21875957410698799</v>
          </cell>
          <cell r="AI184">
            <v>416.57684272963297</v>
          </cell>
          <cell r="AJ184">
            <v>1</v>
          </cell>
          <cell r="AK184">
            <v>0</v>
          </cell>
          <cell r="AL184">
            <v>0</v>
          </cell>
          <cell r="AM184">
            <v>0</v>
          </cell>
          <cell r="AN184">
            <v>0</v>
          </cell>
          <cell r="AO184">
            <v>0</v>
          </cell>
          <cell r="AP184">
            <v>0</v>
          </cell>
          <cell r="AQ184">
            <v>0</v>
          </cell>
          <cell r="AR184">
            <v>1.8571428571428601</v>
          </cell>
          <cell r="AS184">
            <v>0</v>
          </cell>
          <cell r="AT184">
            <v>0</v>
          </cell>
          <cell r="AU184">
            <v>0</v>
          </cell>
          <cell r="AV184">
            <v>0</v>
          </cell>
          <cell r="AW184">
            <v>0</v>
          </cell>
          <cell r="AX184">
            <v>0</v>
          </cell>
          <cell r="AY184">
            <v>0</v>
          </cell>
          <cell r="AZ184">
            <v>2.8571428571428599</v>
          </cell>
          <cell r="BA184">
            <v>0</v>
          </cell>
          <cell r="BB184">
            <v>0</v>
          </cell>
          <cell r="BC184">
            <v>0</v>
          </cell>
          <cell r="BD184">
            <v>0</v>
          </cell>
          <cell r="BE184">
            <v>0</v>
          </cell>
          <cell r="BF184">
            <v>0</v>
          </cell>
          <cell r="BG184">
            <v>0</v>
          </cell>
        </row>
        <row r="185">
          <cell r="A185" t="str">
            <v>Dreifachverglasung Argon</v>
          </cell>
          <cell r="B185" t="str">
            <v>m²</v>
          </cell>
          <cell r="C185">
            <v>3</v>
          </cell>
          <cell r="D185" t="str">
            <v>Dreifachverglasung_Argon</v>
          </cell>
          <cell r="E185">
            <v>1</v>
          </cell>
          <cell r="F185">
            <v>29.7522683309762</v>
          </cell>
          <cell r="G185">
            <v>161.92347165959501</v>
          </cell>
          <cell r="H185">
            <v>0</v>
          </cell>
          <cell r="I185">
            <v>0</v>
          </cell>
          <cell r="J185">
            <v>0</v>
          </cell>
          <cell r="K185">
            <v>0</v>
          </cell>
          <cell r="L185">
            <v>30.6</v>
          </cell>
          <cell r="M185">
            <v>30.6</v>
          </cell>
          <cell r="N185">
            <v>40.772555730393599</v>
          </cell>
          <cell r="O185">
            <v>0</v>
          </cell>
          <cell r="P185">
            <v>40.772555730393599</v>
          </cell>
          <cell r="Q185">
            <v>0.311184401451232</v>
          </cell>
          <cell r="R185">
            <v>533.96766547238894</v>
          </cell>
          <cell r="S185">
            <v>25.711302901137</v>
          </cell>
          <cell r="T185">
            <v>1.7324512720109798E-2</v>
          </cell>
          <cell r="U185">
            <v>5.7258193078632599E-2</v>
          </cell>
          <cell r="V185">
            <v>2.9988942006988199E-6</v>
          </cell>
          <cell r="W185">
            <v>81.545111460787197</v>
          </cell>
          <cell r="X185">
            <v>0.62236880290246399</v>
          </cell>
          <cell r="Y185">
            <v>1067.9353309447799</v>
          </cell>
          <cell r="Z185">
            <v>51.422605802273999</v>
          </cell>
          <cell r="AA185">
            <v>3.4649025440219597E-2</v>
          </cell>
          <cell r="AB185">
            <v>0.114516386157265</v>
          </cell>
          <cell r="AC185">
            <v>5.9977884013976398E-6</v>
          </cell>
          <cell r="AD185">
            <v>0</v>
          </cell>
          <cell r="AE185">
            <v>0</v>
          </cell>
          <cell r="AF185">
            <v>0</v>
          </cell>
          <cell r="AG185">
            <v>40.772555730393599</v>
          </cell>
          <cell r="AH185">
            <v>0.311184401451232</v>
          </cell>
          <cell r="AI185">
            <v>533.96766547238894</v>
          </cell>
          <cell r="AJ185">
            <v>1</v>
          </cell>
          <cell r="AK185">
            <v>0</v>
          </cell>
          <cell r="AL185">
            <v>0</v>
          </cell>
          <cell r="AM185">
            <v>0</v>
          </cell>
          <cell r="AN185">
            <v>0</v>
          </cell>
          <cell r="AO185">
            <v>0</v>
          </cell>
          <cell r="AP185">
            <v>0</v>
          </cell>
          <cell r="AQ185">
            <v>0</v>
          </cell>
          <cell r="AR185">
            <v>1.8571428571428601</v>
          </cell>
          <cell r="AS185">
            <v>0</v>
          </cell>
          <cell r="AT185">
            <v>0</v>
          </cell>
          <cell r="AU185">
            <v>0</v>
          </cell>
          <cell r="AV185">
            <v>0</v>
          </cell>
          <cell r="AW185">
            <v>0</v>
          </cell>
          <cell r="AX185">
            <v>0</v>
          </cell>
          <cell r="AY185">
            <v>0</v>
          </cell>
          <cell r="AZ185">
            <v>2.8571428571428599</v>
          </cell>
          <cell r="BA185">
            <v>0</v>
          </cell>
          <cell r="BB185">
            <v>0</v>
          </cell>
          <cell r="BC185">
            <v>0</v>
          </cell>
          <cell r="BD185">
            <v>0</v>
          </cell>
          <cell r="BE185">
            <v>0</v>
          </cell>
          <cell r="BF185">
            <v>0</v>
          </cell>
          <cell r="BG185">
            <v>0</v>
          </cell>
        </row>
        <row r="186">
          <cell r="A186" t="str">
            <v>Dreifachverglasung Krypton</v>
          </cell>
          <cell r="B186" t="str">
            <v>m²</v>
          </cell>
          <cell r="C186">
            <v>4</v>
          </cell>
          <cell r="D186" t="str">
            <v>Dreifachverglasung_Krypton</v>
          </cell>
          <cell r="E186">
            <v>1</v>
          </cell>
          <cell r="F186">
            <v>48.8660252362113</v>
          </cell>
          <cell r="G186">
            <v>219.26474237530101</v>
          </cell>
          <cell r="H186">
            <v>0</v>
          </cell>
          <cell r="I186">
            <v>0</v>
          </cell>
          <cell r="J186">
            <v>0</v>
          </cell>
          <cell r="K186">
            <v>0</v>
          </cell>
          <cell r="L186">
            <v>30.700000850390001</v>
          </cell>
          <cell r="M186">
            <v>30.700000850390001</v>
          </cell>
          <cell r="N186">
            <v>54.276780772415002</v>
          </cell>
          <cell r="O186">
            <v>0</v>
          </cell>
          <cell r="P186">
            <v>54.276780772415002</v>
          </cell>
          <cell r="Q186">
            <v>0.37492460978056902</v>
          </cell>
          <cell r="R186">
            <v>784.89841410198903</v>
          </cell>
          <cell r="S186">
            <v>43.645973298896998</v>
          </cell>
          <cell r="T186">
            <v>2.0612524894722799E-2</v>
          </cell>
          <cell r="U186">
            <v>0.10228878616382001</v>
          </cell>
          <cell r="V186">
            <v>3.5951631403430501E-6</v>
          </cell>
          <cell r="W186">
            <v>108.55356154483</v>
          </cell>
          <cell r="X186">
            <v>0.74984921956113804</v>
          </cell>
          <cell r="Y186">
            <v>1569.7968282039801</v>
          </cell>
          <cell r="Z186">
            <v>87.291946597793995</v>
          </cell>
          <cell r="AA186">
            <v>4.1225049789445599E-2</v>
          </cell>
          <cell r="AB186">
            <v>0.20457757232764001</v>
          </cell>
          <cell r="AC186">
            <v>7.1903262806861001E-6</v>
          </cell>
          <cell r="AD186">
            <v>0</v>
          </cell>
          <cell r="AE186">
            <v>0</v>
          </cell>
          <cell r="AF186">
            <v>0</v>
          </cell>
          <cell r="AG186">
            <v>0</v>
          </cell>
          <cell r="AH186">
            <v>9.3731152445142296E-2</v>
          </cell>
          <cell r="AI186">
            <v>196.224603525497</v>
          </cell>
          <cell r="AJ186">
            <v>1</v>
          </cell>
          <cell r="AK186">
            <v>0</v>
          </cell>
          <cell r="AL186">
            <v>0</v>
          </cell>
          <cell r="AM186">
            <v>0</v>
          </cell>
          <cell r="AN186">
            <v>0</v>
          </cell>
          <cell r="AO186">
            <v>0</v>
          </cell>
          <cell r="AP186">
            <v>0</v>
          </cell>
          <cell r="AQ186">
            <v>0</v>
          </cell>
          <cell r="AR186">
            <v>1.8571428571428601</v>
          </cell>
          <cell r="AS186">
            <v>0</v>
          </cell>
          <cell r="AT186">
            <v>0</v>
          </cell>
          <cell r="AU186">
            <v>0</v>
          </cell>
          <cell r="AV186">
            <v>0</v>
          </cell>
          <cell r="AW186">
            <v>0</v>
          </cell>
          <cell r="AX186">
            <v>0</v>
          </cell>
          <cell r="AY186">
            <v>0</v>
          </cell>
          <cell r="AZ186">
            <v>2.8571428571428599</v>
          </cell>
          <cell r="BA186">
            <v>0</v>
          </cell>
          <cell r="BB186">
            <v>0</v>
          </cell>
          <cell r="BC186">
            <v>0</v>
          </cell>
          <cell r="BD186">
            <v>0</v>
          </cell>
          <cell r="BE186">
            <v>0</v>
          </cell>
          <cell r="BF186">
            <v>0</v>
          </cell>
          <cell r="BG186">
            <v>0</v>
          </cell>
        </row>
        <row r="187">
          <cell r="A187" t="str">
            <v>Eigene Verglasung</v>
          </cell>
          <cell r="B187" t="str">
            <v>m²</v>
          </cell>
        </row>
        <row r="188">
          <cell r="A188" t="str">
            <v>Bitte auswählen</v>
          </cell>
        </row>
        <row r="189">
          <cell r="A189" t="str">
            <v>Alurahmen</v>
          </cell>
          <cell r="B189" t="str">
            <v>m²</v>
          </cell>
          <cell r="C189">
            <v>5</v>
          </cell>
          <cell r="D189" t="str">
            <v>Alu-Rahmen</v>
          </cell>
          <cell r="E189">
            <v>1</v>
          </cell>
          <cell r="F189">
            <v>281.83029427414698</v>
          </cell>
          <cell r="G189">
            <v>918.15754948910603</v>
          </cell>
          <cell r="H189">
            <v>0</v>
          </cell>
          <cell r="I189">
            <v>0</v>
          </cell>
          <cell r="J189">
            <v>35.120539999999998</v>
          </cell>
          <cell r="K189">
            <v>0</v>
          </cell>
          <cell r="L189">
            <v>0</v>
          </cell>
          <cell r="M189">
            <v>35.120539999999998</v>
          </cell>
          <cell r="N189">
            <v>256.15424934590101</v>
          </cell>
          <cell r="O189">
            <v>0</v>
          </cell>
          <cell r="P189">
            <v>256.15424934590101</v>
          </cell>
          <cell r="Q189">
            <v>1.12072611462148</v>
          </cell>
          <cell r="R189">
            <v>3781.2331230089699</v>
          </cell>
          <cell r="S189">
            <v>486.65699937041398</v>
          </cell>
          <cell r="T189">
            <v>0.114999383682287</v>
          </cell>
          <cell r="U189">
            <v>0.46458931218788002</v>
          </cell>
          <cell r="V189">
            <v>1.7705026677700699E-5</v>
          </cell>
          <cell r="W189">
            <v>512.30849869180201</v>
          </cell>
          <cell r="X189">
            <v>2.2414522292429599</v>
          </cell>
          <cell r="Y189">
            <v>7562.4662460179397</v>
          </cell>
          <cell r="Z189">
            <v>973.31399874082797</v>
          </cell>
          <cell r="AA189">
            <v>0.229998767364574</v>
          </cell>
          <cell r="AB189">
            <v>0.92917862437576004</v>
          </cell>
          <cell r="AC189">
            <v>3.5410053355401397E-5</v>
          </cell>
          <cell r="AD189">
            <v>0</v>
          </cell>
          <cell r="AE189">
            <v>0</v>
          </cell>
          <cell r="AF189">
            <v>0</v>
          </cell>
          <cell r="AG189">
            <v>256.15424934590101</v>
          </cell>
          <cell r="AH189">
            <v>1.12072611462148</v>
          </cell>
          <cell r="AI189">
            <v>3781.2331230089699</v>
          </cell>
          <cell r="AJ189">
            <v>1</v>
          </cell>
          <cell r="AK189">
            <v>0</v>
          </cell>
          <cell r="AL189">
            <v>0</v>
          </cell>
          <cell r="AM189">
            <v>0</v>
          </cell>
          <cell r="AN189">
            <v>0</v>
          </cell>
          <cell r="AO189">
            <v>0</v>
          </cell>
          <cell r="AP189">
            <v>0</v>
          </cell>
          <cell r="AQ189">
            <v>0</v>
          </cell>
          <cell r="AR189">
            <v>1.8571428571428601</v>
          </cell>
          <cell r="AS189">
            <v>0</v>
          </cell>
          <cell r="AT189">
            <v>0</v>
          </cell>
          <cell r="AU189">
            <v>0</v>
          </cell>
          <cell r="AV189">
            <v>0</v>
          </cell>
          <cell r="AW189">
            <v>0</v>
          </cell>
          <cell r="AX189">
            <v>0</v>
          </cell>
          <cell r="AY189">
            <v>0</v>
          </cell>
          <cell r="AZ189">
            <v>2.8571428571428599</v>
          </cell>
          <cell r="BA189">
            <v>0</v>
          </cell>
          <cell r="BB189">
            <v>0</v>
          </cell>
          <cell r="BC189">
            <v>0</v>
          </cell>
          <cell r="BD189">
            <v>0</v>
          </cell>
          <cell r="BE189">
            <v>0</v>
          </cell>
          <cell r="BF189">
            <v>0</v>
          </cell>
          <cell r="BG189">
            <v>0</v>
          </cell>
        </row>
        <row r="190">
          <cell r="A190" t="str">
            <v>Holzrahmen 110 mm</v>
          </cell>
          <cell r="B190" t="str">
            <v>m²</v>
          </cell>
          <cell r="C190">
            <v>6</v>
          </cell>
          <cell r="D190" t="str">
            <v>Holz-Rahmen_110mm</v>
          </cell>
          <cell r="E190">
            <v>1</v>
          </cell>
          <cell r="F190">
            <v>31.445301124308699</v>
          </cell>
          <cell r="G190">
            <v>224.58155500499899</v>
          </cell>
          <cell r="H190">
            <v>111.7244566</v>
          </cell>
          <cell r="I190">
            <v>0</v>
          </cell>
          <cell r="J190">
            <v>0</v>
          </cell>
          <cell r="K190">
            <v>0</v>
          </cell>
          <cell r="L190">
            <v>0</v>
          </cell>
          <cell r="M190">
            <v>111.7244566</v>
          </cell>
          <cell r="N190">
            <v>-105.309486535766</v>
          </cell>
          <cell r="O190">
            <v>-172.73695489622</v>
          </cell>
          <cell r="P190">
            <v>67.427468360454199</v>
          </cell>
          <cell r="Q190">
            <v>0.33813262078996498</v>
          </cell>
          <cell r="R190">
            <v>1207.3759832482301</v>
          </cell>
          <cell r="S190">
            <v>2228.4486813940298</v>
          </cell>
          <cell r="T190">
            <v>5.3443990739161097E-2</v>
          </cell>
          <cell r="U190">
            <v>0.17919995481696599</v>
          </cell>
          <cell r="V190">
            <v>4.4981573630736402E-6</v>
          </cell>
          <cell r="W190">
            <v>134.854936720908</v>
          </cell>
          <cell r="X190">
            <v>0.67626524157992995</v>
          </cell>
          <cell r="Y190">
            <v>2414.7519664964602</v>
          </cell>
          <cell r="Z190">
            <v>4456.8973627880596</v>
          </cell>
          <cell r="AA190">
            <v>0.106887981478322</v>
          </cell>
          <cell r="AB190">
            <v>0.35839990963393198</v>
          </cell>
          <cell r="AC190">
            <v>8.9963147261472804E-6</v>
          </cell>
          <cell r="AD190">
            <v>0</v>
          </cell>
          <cell r="AE190">
            <v>0</v>
          </cell>
          <cell r="AF190">
            <v>0</v>
          </cell>
          <cell r="AG190">
            <v>-105.309486535766</v>
          </cell>
          <cell r="AH190">
            <v>0.33813262078996498</v>
          </cell>
          <cell r="AI190">
            <v>1207.3759832482301</v>
          </cell>
          <cell r="AJ190">
            <v>1</v>
          </cell>
          <cell r="AK190">
            <v>0</v>
          </cell>
          <cell r="AL190">
            <v>0</v>
          </cell>
          <cell r="AM190">
            <v>0</v>
          </cell>
          <cell r="AN190">
            <v>0</v>
          </cell>
          <cell r="AO190">
            <v>0</v>
          </cell>
          <cell r="AP190">
            <v>0</v>
          </cell>
          <cell r="AQ190">
            <v>0</v>
          </cell>
          <cell r="AR190">
            <v>1.8571428571428601</v>
          </cell>
          <cell r="AS190">
            <v>0</v>
          </cell>
          <cell r="AT190">
            <v>0</v>
          </cell>
          <cell r="AU190">
            <v>0</v>
          </cell>
          <cell r="AV190">
            <v>0</v>
          </cell>
          <cell r="AW190">
            <v>0</v>
          </cell>
          <cell r="AX190">
            <v>0</v>
          </cell>
          <cell r="AY190">
            <v>0</v>
          </cell>
          <cell r="AZ190">
            <v>2.8571428571428599</v>
          </cell>
          <cell r="BA190">
            <v>0</v>
          </cell>
          <cell r="BB190">
            <v>0</v>
          </cell>
          <cell r="BC190">
            <v>0</v>
          </cell>
          <cell r="BD190">
            <v>0</v>
          </cell>
          <cell r="BE190">
            <v>0</v>
          </cell>
          <cell r="BF190">
            <v>0</v>
          </cell>
          <cell r="BG190">
            <v>0</v>
          </cell>
        </row>
        <row r="191">
          <cell r="A191" t="str">
            <v>Holzrahmen 90 mm</v>
          </cell>
          <cell r="B191" t="str">
            <v>m²</v>
          </cell>
          <cell r="C191">
            <v>7</v>
          </cell>
          <cell r="D191" t="str">
            <v>Holz-Rahmen_90mm</v>
          </cell>
          <cell r="E191">
            <v>1</v>
          </cell>
          <cell r="F191">
            <v>30.421907174627901</v>
          </cell>
          <cell r="G191">
            <v>209.63739141689601</v>
          </cell>
          <cell r="H191">
            <v>89.758793600000004</v>
          </cell>
          <cell r="I191">
            <v>0</v>
          </cell>
          <cell r="J191">
            <v>0</v>
          </cell>
          <cell r="K191">
            <v>0</v>
          </cell>
          <cell r="L191">
            <v>0</v>
          </cell>
          <cell r="M191">
            <v>89.758793600000004</v>
          </cell>
          <cell r="N191">
            <v>-74.266932486601902</v>
          </cell>
          <cell r="O191">
            <v>-137.115009679038</v>
          </cell>
          <cell r="P191">
            <v>62.848077192435703</v>
          </cell>
          <cell r="Q191">
            <v>0.31232172226156402</v>
          </cell>
          <cell r="R191">
            <v>1124.70498862559</v>
          </cell>
          <cell r="S191">
            <v>1782.3107571436699</v>
          </cell>
          <cell r="T191">
            <v>4.5769686919459901E-2</v>
          </cell>
          <cell r="U191">
            <v>0.16744394792626899</v>
          </cell>
          <cell r="V191">
            <v>4.0554361841538196E-6</v>
          </cell>
          <cell r="W191">
            <v>125.69615438487099</v>
          </cell>
          <cell r="X191">
            <v>0.62464344452312803</v>
          </cell>
          <cell r="Y191">
            <v>2249.40997725118</v>
          </cell>
          <cell r="Z191">
            <v>3564.6215142873398</v>
          </cell>
          <cell r="AA191">
            <v>9.1539373838919802E-2</v>
          </cell>
          <cell r="AB191">
            <v>0.33488789585253798</v>
          </cell>
          <cell r="AC191">
            <v>8.1108723683076393E-6</v>
          </cell>
          <cell r="AD191">
            <v>0</v>
          </cell>
          <cell r="AE191">
            <v>0</v>
          </cell>
          <cell r="AF191">
            <v>0</v>
          </cell>
          <cell r="AG191">
            <v>-74.266932486601902</v>
          </cell>
          <cell r="AH191">
            <v>0.31232172226156402</v>
          </cell>
          <cell r="AI191">
            <v>1124.70498862559</v>
          </cell>
          <cell r="AJ191">
            <v>1</v>
          </cell>
          <cell r="AK191">
            <v>0</v>
          </cell>
          <cell r="AL191">
            <v>0</v>
          </cell>
          <cell r="AM191">
            <v>0</v>
          </cell>
          <cell r="AN191">
            <v>0</v>
          </cell>
          <cell r="AO191">
            <v>0</v>
          </cell>
          <cell r="AP191">
            <v>0</v>
          </cell>
          <cell r="AQ191">
            <v>0</v>
          </cell>
          <cell r="AR191">
            <v>1.8571428571428601</v>
          </cell>
          <cell r="AS191">
            <v>0</v>
          </cell>
          <cell r="AT191">
            <v>0</v>
          </cell>
          <cell r="AU191">
            <v>0</v>
          </cell>
          <cell r="AV191">
            <v>0</v>
          </cell>
          <cell r="AW191">
            <v>0</v>
          </cell>
          <cell r="AX191">
            <v>0</v>
          </cell>
          <cell r="AY191">
            <v>0</v>
          </cell>
          <cell r="AZ191">
            <v>2.8571428571428599</v>
          </cell>
          <cell r="BA191">
            <v>0</v>
          </cell>
          <cell r="BB191">
            <v>0</v>
          </cell>
          <cell r="BC191">
            <v>0</v>
          </cell>
          <cell r="BD191">
            <v>0</v>
          </cell>
          <cell r="BE191">
            <v>0</v>
          </cell>
          <cell r="BF191">
            <v>0</v>
          </cell>
          <cell r="BG191">
            <v>0</v>
          </cell>
        </row>
        <row r="192">
          <cell r="A192" t="str">
            <v>Holz-Alu-Rahmen 110 mm</v>
          </cell>
          <cell r="B192" t="str">
            <v>m²</v>
          </cell>
          <cell r="C192">
            <v>8</v>
          </cell>
          <cell r="D192" t="str">
            <v>Holz-Alu-Rahmen_110m</v>
          </cell>
          <cell r="E192">
            <v>1</v>
          </cell>
          <cell r="F192">
            <v>89.761394992836799</v>
          </cell>
          <cell r="G192">
            <v>381.761839651353</v>
          </cell>
          <cell r="H192">
            <v>42.748376999999998</v>
          </cell>
          <cell r="I192">
            <v>0</v>
          </cell>
          <cell r="J192">
            <v>42.748376999999998</v>
          </cell>
          <cell r="K192">
            <v>0</v>
          </cell>
          <cell r="L192">
            <v>0</v>
          </cell>
          <cell r="M192">
            <v>85.496753999999996</v>
          </cell>
          <cell r="N192">
            <v>-9.8912570653298193</v>
          </cell>
          <cell r="O192">
            <v>-119.43296401852901</v>
          </cell>
          <cell r="P192">
            <v>109.541706953199</v>
          </cell>
          <cell r="Q192">
            <v>0.52260753514576297</v>
          </cell>
          <cell r="R192">
            <v>1741.8679945286999</v>
          </cell>
          <cell r="S192">
            <v>1707.3421496451001</v>
          </cell>
          <cell r="T192">
            <v>7.7086042739127295E-2</v>
          </cell>
          <cell r="U192">
            <v>0.250831128575141</v>
          </cell>
          <cell r="V192">
            <v>7.1785985725562902E-6</v>
          </cell>
          <cell r="W192">
            <v>219.08341390639799</v>
          </cell>
          <cell r="X192">
            <v>1.0452150702915299</v>
          </cell>
          <cell r="Y192">
            <v>3483.7359890573998</v>
          </cell>
          <cell r="Z192">
            <v>3414.6842992902002</v>
          </cell>
          <cell r="AA192">
            <v>0.15417208547825501</v>
          </cell>
          <cell r="AB192">
            <v>0.50166225715028201</v>
          </cell>
          <cell r="AC192">
            <v>1.4357197145112601E-5</v>
          </cell>
          <cell r="AD192">
            <v>0</v>
          </cell>
          <cell r="AE192">
            <v>0</v>
          </cell>
          <cell r="AF192">
            <v>0</v>
          </cell>
          <cell r="AG192">
            <v>-9.8912570653298193</v>
          </cell>
          <cell r="AH192">
            <v>0.52260753514576297</v>
          </cell>
          <cell r="AI192">
            <v>1741.8679945286999</v>
          </cell>
          <cell r="AJ192">
            <v>1</v>
          </cell>
          <cell r="AK192">
            <v>0</v>
          </cell>
          <cell r="AL192">
            <v>0</v>
          </cell>
          <cell r="AM192">
            <v>0</v>
          </cell>
          <cell r="AN192">
            <v>0</v>
          </cell>
          <cell r="AO192">
            <v>0</v>
          </cell>
          <cell r="AP192">
            <v>0</v>
          </cell>
          <cell r="AQ192">
            <v>0</v>
          </cell>
          <cell r="AR192">
            <v>1.8571428571428601</v>
          </cell>
          <cell r="AS192">
            <v>0</v>
          </cell>
          <cell r="AT192">
            <v>0</v>
          </cell>
          <cell r="AU192">
            <v>0</v>
          </cell>
          <cell r="AV192">
            <v>0</v>
          </cell>
          <cell r="AW192">
            <v>0</v>
          </cell>
          <cell r="AX192">
            <v>0</v>
          </cell>
          <cell r="AY192">
            <v>0</v>
          </cell>
          <cell r="AZ192">
            <v>2.8571428571428599</v>
          </cell>
          <cell r="BA192">
            <v>0</v>
          </cell>
          <cell r="BB192">
            <v>0</v>
          </cell>
          <cell r="BC192">
            <v>0</v>
          </cell>
          <cell r="BD192">
            <v>0</v>
          </cell>
          <cell r="BE192">
            <v>0</v>
          </cell>
          <cell r="BF192">
            <v>0</v>
          </cell>
          <cell r="BG192">
            <v>0</v>
          </cell>
        </row>
        <row r="193">
          <cell r="A193" t="str">
            <v>Holz-Alu-Rahmen 90 mm</v>
          </cell>
          <cell r="B193" t="str">
            <v>m²</v>
          </cell>
          <cell r="C193">
            <v>9</v>
          </cell>
          <cell r="D193" t="str">
            <v>Holz-Alu-Rahmen_90mm</v>
          </cell>
          <cell r="E193">
            <v>1</v>
          </cell>
          <cell r="F193">
            <v>88.691233146427805</v>
          </cell>
          <cell r="G193">
            <v>370.726867639624</v>
          </cell>
          <cell r="H193">
            <v>35.643097500000003</v>
          </cell>
          <cell r="I193">
            <v>0</v>
          </cell>
          <cell r="J193">
            <v>35.643097500000003</v>
          </cell>
          <cell r="K193">
            <v>0</v>
          </cell>
          <cell r="L193">
            <v>0</v>
          </cell>
          <cell r="M193">
            <v>71.286195000000006</v>
          </cell>
          <cell r="N193">
            <v>10.287540338594701</v>
          </cell>
          <cell r="O193">
            <v>-95.959504601021294</v>
          </cell>
          <cell r="P193">
            <v>106.247044939616</v>
          </cell>
          <cell r="Q193">
            <v>0.50311065608531003</v>
          </cell>
          <cell r="R193">
            <v>1686.85666835862</v>
          </cell>
          <cell r="S193">
            <v>1406.1252819747999</v>
          </cell>
          <cell r="T193">
            <v>6.9712065874924706E-2</v>
          </cell>
          <cell r="U193">
            <v>0.24227245517312801</v>
          </cell>
          <cell r="V193">
            <v>6.8886380563305499E-6</v>
          </cell>
          <cell r="W193">
            <v>212.49408987923201</v>
          </cell>
          <cell r="X193">
            <v>1.0062213121706201</v>
          </cell>
          <cell r="Y193">
            <v>3373.7133367172401</v>
          </cell>
          <cell r="Z193">
            <v>2812.2505639495998</v>
          </cell>
          <cell r="AA193">
            <v>0.139424131749849</v>
          </cell>
          <cell r="AB193">
            <v>0.48454491034625602</v>
          </cell>
          <cell r="AC193">
            <v>1.37772761126611E-5</v>
          </cell>
          <cell r="AD193">
            <v>0</v>
          </cell>
          <cell r="AE193">
            <v>0</v>
          </cell>
          <cell r="AF193">
            <v>0</v>
          </cell>
          <cell r="AG193">
            <v>10.287540338594701</v>
          </cell>
          <cell r="AH193">
            <v>0.50311065608531003</v>
          </cell>
          <cell r="AI193">
            <v>1686.85666835862</v>
          </cell>
          <cell r="AJ193">
            <v>1</v>
          </cell>
          <cell r="AK193">
            <v>0</v>
          </cell>
          <cell r="AL193">
            <v>0</v>
          </cell>
          <cell r="AM193">
            <v>0</v>
          </cell>
          <cell r="AN193">
            <v>0</v>
          </cell>
          <cell r="AO193">
            <v>0</v>
          </cell>
          <cell r="AP193">
            <v>0</v>
          </cell>
          <cell r="AQ193">
            <v>0</v>
          </cell>
          <cell r="AR193">
            <v>1.8571428571428601</v>
          </cell>
          <cell r="AS193">
            <v>0</v>
          </cell>
          <cell r="AT193">
            <v>0</v>
          </cell>
          <cell r="AU193">
            <v>0</v>
          </cell>
          <cell r="AV193">
            <v>0</v>
          </cell>
          <cell r="AW193">
            <v>0</v>
          </cell>
          <cell r="AX193">
            <v>0</v>
          </cell>
          <cell r="AY193">
            <v>0</v>
          </cell>
          <cell r="AZ193">
            <v>2.8571428571428599</v>
          </cell>
          <cell r="BA193">
            <v>0</v>
          </cell>
          <cell r="BB193">
            <v>0</v>
          </cell>
          <cell r="BC193">
            <v>0</v>
          </cell>
          <cell r="BD193">
            <v>0</v>
          </cell>
          <cell r="BE193">
            <v>0</v>
          </cell>
          <cell r="BF193">
            <v>0</v>
          </cell>
          <cell r="BG193">
            <v>0</v>
          </cell>
        </row>
        <row r="194">
          <cell r="A194" t="str">
            <v>PVC-Rahmen 3-Kammer</v>
          </cell>
          <cell r="B194" t="str">
            <v>m²</v>
          </cell>
          <cell r="C194">
            <v>10</v>
          </cell>
          <cell r="D194" t="str">
            <v>PVC-Rahmen_3Kammer</v>
          </cell>
          <cell r="E194">
            <v>1</v>
          </cell>
          <cell r="F194">
            <v>222.44743682735</v>
          </cell>
          <cell r="G194">
            <v>740.00897714871701</v>
          </cell>
          <cell r="H194">
            <v>0</v>
          </cell>
          <cell r="I194">
            <v>94.111079219999993</v>
          </cell>
          <cell r="J194">
            <v>0</v>
          </cell>
          <cell r="K194">
            <v>0</v>
          </cell>
          <cell r="L194">
            <v>0</v>
          </cell>
          <cell r="M194">
            <v>94.111079219999993</v>
          </cell>
          <cell r="N194">
            <v>191.33817628834001</v>
          </cell>
          <cell r="O194">
            <v>0</v>
          </cell>
          <cell r="P194">
            <v>191.33817628834001</v>
          </cell>
          <cell r="Q194">
            <v>0.74251967007900899</v>
          </cell>
          <cell r="R194">
            <v>3836.65354306277</v>
          </cell>
          <cell r="S194">
            <v>254.954889991589</v>
          </cell>
          <cell r="T194">
            <v>0.14109133507452001</v>
          </cell>
          <cell r="U194">
            <v>0.31533552467244402</v>
          </cell>
          <cell r="V194">
            <v>8.1919448811755196E-6</v>
          </cell>
          <cell r="W194">
            <v>382.67635257668002</v>
          </cell>
          <cell r="X194">
            <v>1.48503934015802</v>
          </cell>
          <cell r="Y194">
            <v>7673.3070861255401</v>
          </cell>
          <cell r="Z194">
            <v>509.909779983178</v>
          </cell>
          <cell r="AA194">
            <v>0.28218267014904003</v>
          </cell>
          <cell r="AB194">
            <v>0.63067104934488805</v>
          </cell>
          <cell r="AC194">
            <v>1.6383889762350998E-5</v>
          </cell>
          <cell r="AD194">
            <v>0</v>
          </cell>
          <cell r="AE194">
            <v>0</v>
          </cell>
          <cell r="AF194">
            <v>0</v>
          </cell>
          <cell r="AG194">
            <v>191.33817628834001</v>
          </cell>
          <cell r="AH194">
            <v>0.74251967007900899</v>
          </cell>
          <cell r="AI194">
            <v>3836.65354306277</v>
          </cell>
          <cell r="AJ194">
            <v>1</v>
          </cell>
          <cell r="AK194">
            <v>0</v>
          </cell>
          <cell r="AL194">
            <v>0</v>
          </cell>
          <cell r="AM194">
            <v>0</v>
          </cell>
          <cell r="AN194">
            <v>0</v>
          </cell>
          <cell r="AO194">
            <v>0</v>
          </cell>
          <cell r="AP194">
            <v>0</v>
          </cell>
          <cell r="AQ194">
            <v>0</v>
          </cell>
          <cell r="AR194">
            <v>1.8571428571428601</v>
          </cell>
          <cell r="AS194">
            <v>0</v>
          </cell>
          <cell r="AT194">
            <v>0</v>
          </cell>
          <cell r="AU194">
            <v>0</v>
          </cell>
          <cell r="AV194">
            <v>0</v>
          </cell>
          <cell r="AW194">
            <v>0</v>
          </cell>
          <cell r="AX194">
            <v>0</v>
          </cell>
          <cell r="AY194">
            <v>0</v>
          </cell>
          <cell r="AZ194">
            <v>2.8571428571428599</v>
          </cell>
          <cell r="BA194">
            <v>0</v>
          </cell>
          <cell r="BB194">
            <v>0</v>
          </cell>
          <cell r="BC194">
            <v>0</v>
          </cell>
          <cell r="BD194">
            <v>0</v>
          </cell>
          <cell r="BE194">
            <v>0</v>
          </cell>
          <cell r="BF194">
            <v>0</v>
          </cell>
          <cell r="BG194">
            <v>0</v>
          </cell>
        </row>
        <row r="195">
          <cell r="A195" t="str">
            <v>PVC-Rahmen 5-Kammer</v>
          </cell>
          <cell r="B195" t="str">
            <v>m²</v>
          </cell>
          <cell r="C195">
            <v>11</v>
          </cell>
          <cell r="D195" t="str">
            <v>PVC-Rahmen_5Kammer</v>
          </cell>
          <cell r="E195">
            <v>1</v>
          </cell>
          <cell r="F195">
            <v>177.16705718631101</v>
          </cell>
          <cell r="G195">
            <v>604.16783822560001</v>
          </cell>
          <cell r="H195">
            <v>0</v>
          </cell>
          <cell r="I195">
            <v>93.727676520000003</v>
          </cell>
          <cell r="J195">
            <v>0</v>
          </cell>
          <cell r="K195">
            <v>0</v>
          </cell>
          <cell r="L195">
            <v>0</v>
          </cell>
          <cell r="M195">
            <v>93.727676520000003</v>
          </cell>
          <cell r="N195">
            <v>152.69777621040501</v>
          </cell>
          <cell r="O195">
            <v>0</v>
          </cell>
          <cell r="P195">
            <v>152.69777621040501</v>
          </cell>
          <cell r="Q195">
            <v>0.55946144311986301</v>
          </cell>
          <cell r="R195">
            <v>3403.67706205786</v>
          </cell>
          <cell r="S195">
            <v>150.89624623878501</v>
          </cell>
          <cell r="T195">
            <v>0.12716777988823599</v>
          </cell>
          <cell r="U195">
            <v>0.238289843871618</v>
          </cell>
          <cell r="V195">
            <v>4.7722968108028899E-6</v>
          </cell>
          <cell r="W195">
            <v>305.39555242081002</v>
          </cell>
          <cell r="X195">
            <v>1.11892288623973</v>
          </cell>
          <cell r="Y195">
            <v>6807.35412411572</v>
          </cell>
          <cell r="Z195">
            <v>301.79249247757002</v>
          </cell>
          <cell r="AA195">
            <v>0.25433555977647199</v>
          </cell>
          <cell r="AB195">
            <v>0.476579687743236</v>
          </cell>
          <cell r="AC195">
            <v>9.5445936216057799E-6</v>
          </cell>
          <cell r="AD195">
            <v>0</v>
          </cell>
          <cell r="AE195">
            <v>0</v>
          </cell>
          <cell r="AF195">
            <v>0</v>
          </cell>
          <cell r="AG195">
            <v>152.69777621040501</v>
          </cell>
          <cell r="AH195">
            <v>0.55946144311986301</v>
          </cell>
          <cell r="AI195">
            <v>3403.67706205786</v>
          </cell>
          <cell r="AJ195">
            <v>1</v>
          </cell>
          <cell r="AK195">
            <v>0</v>
          </cell>
          <cell r="AL195">
            <v>0</v>
          </cell>
          <cell r="AM195">
            <v>0</v>
          </cell>
          <cell r="AN195">
            <v>0</v>
          </cell>
          <cell r="AO195">
            <v>0</v>
          </cell>
          <cell r="AP195">
            <v>0</v>
          </cell>
          <cell r="AQ195">
            <v>0</v>
          </cell>
          <cell r="AR195">
            <v>1.8571428571428601</v>
          </cell>
          <cell r="AS195">
            <v>0</v>
          </cell>
          <cell r="AT195">
            <v>0</v>
          </cell>
          <cell r="AU195">
            <v>0</v>
          </cell>
          <cell r="AV195">
            <v>0</v>
          </cell>
          <cell r="AW195">
            <v>0</v>
          </cell>
          <cell r="AX195">
            <v>0</v>
          </cell>
          <cell r="AY195">
            <v>0</v>
          </cell>
          <cell r="AZ195">
            <v>2.8571428571428599</v>
          </cell>
          <cell r="BA195">
            <v>0</v>
          </cell>
          <cell r="BB195">
            <v>0</v>
          </cell>
          <cell r="BC195">
            <v>0</v>
          </cell>
          <cell r="BD195">
            <v>0</v>
          </cell>
          <cell r="BE195">
            <v>0</v>
          </cell>
          <cell r="BF195">
            <v>0</v>
          </cell>
          <cell r="BG195">
            <v>0</v>
          </cell>
        </row>
        <row r="196">
          <cell r="A196" t="str">
            <v>Eigener Fensterrahmen</v>
          </cell>
          <cell r="B196" t="str">
            <v>m²</v>
          </cell>
        </row>
        <row r="197">
          <cell r="A197" t="str">
            <v>Bitte auswählen</v>
          </cell>
        </row>
        <row r="198">
          <cell r="A198" t="str">
            <v>WDVS-EPS 38 cm</v>
          </cell>
          <cell r="B198" t="str">
            <v>m³</v>
          </cell>
          <cell r="C198">
            <v>1</v>
          </cell>
          <cell r="D198" t="str">
            <v>E4-C-01a-Putzf_WDV-EPS</v>
          </cell>
          <cell r="E198">
            <v>3.3333333333333299</v>
          </cell>
          <cell r="F198">
            <v>5.9341273465524402</v>
          </cell>
          <cell r="G198">
            <v>35</v>
          </cell>
          <cell r="H198">
            <v>0</v>
          </cell>
          <cell r="I198">
            <v>18</v>
          </cell>
          <cell r="J198">
            <v>0</v>
          </cell>
          <cell r="K198">
            <v>0</v>
          </cell>
          <cell r="L198">
            <v>78.033333333333303</v>
          </cell>
          <cell r="M198">
            <v>96.033333333333303</v>
          </cell>
          <cell r="N198">
            <v>103.27826387315601</v>
          </cell>
          <cell r="O198">
            <v>-2.3896402807614001E-2</v>
          </cell>
          <cell r="P198">
            <v>103.302160275964</v>
          </cell>
          <cell r="Q198">
            <v>0.37646453349784398</v>
          </cell>
          <cell r="R198">
            <v>2204.49661463142</v>
          </cell>
          <cell r="S198">
            <v>33.674187594690302</v>
          </cell>
          <cell r="T198">
            <v>0.17791983086454299</v>
          </cell>
          <cell r="U198">
            <v>9.1731103670730396E-2</v>
          </cell>
          <cell r="V198">
            <v>3.8620164159174201E-6</v>
          </cell>
          <cell r="W198">
            <v>116.079191001255</v>
          </cell>
          <cell r="X198">
            <v>0.443189154728652</v>
          </cell>
          <cell r="Y198">
            <v>2477.01059771668</v>
          </cell>
          <cell r="Z198">
            <v>40.705461289564802</v>
          </cell>
          <cell r="AA198">
            <v>0.18679689889749401</v>
          </cell>
          <cell r="AB198">
            <v>0.10940108803835399</v>
          </cell>
          <cell r="AC198">
            <v>5.2340504528379704E-6</v>
          </cell>
          <cell r="AD198">
            <v>0</v>
          </cell>
          <cell r="AE198">
            <v>0</v>
          </cell>
          <cell r="AF198">
            <v>0</v>
          </cell>
          <cell r="AG198">
            <v>0</v>
          </cell>
          <cell r="AH198">
            <v>9.4116133374460897E-2</v>
          </cell>
          <cell r="AI198">
            <v>551.12415365785603</v>
          </cell>
          <cell r="AJ198">
            <v>24.374144444444401</v>
          </cell>
          <cell r="AK198">
            <v>2193.2841111111102</v>
          </cell>
          <cell r="AL198">
            <v>87.5</v>
          </cell>
          <cell r="AM198">
            <v>91386.504629629606</v>
          </cell>
          <cell r="AN198">
            <v>0</v>
          </cell>
          <cell r="AO198">
            <v>18</v>
          </cell>
          <cell r="AP198">
            <v>0</v>
          </cell>
          <cell r="AQ198">
            <v>0.1</v>
          </cell>
          <cell r="AR198">
            <v>24.388033333333301</v>
          </cell>
          <cell r="AS198">
            <v>2193.7563333333301</v>
          </cell>
          <cell r="AT198">
            <v>87.5</v>
          </cell>
          <cell r="AU198">
            <v>91406.180555555606</v>
          </cell>
          <cell r="AV198">
            <v>5.4699999999999999E-2</v>
          </cell>
          <cell r="AW198">
            <v>24.3333333333333</v>
          </cell>
          <cell r="AX198">
            <v>0</v>
          </cell>
          <cell r="AY198">
            <v>0.1</v>
          </cell>
          <cell r="AZ198">
            <v>48.762177777777801</v>
          </cell>
          <cell r="BA198">
            <v>4387.0404444444403</v>
          </cell>
          <cell r="BB198">
            <v>87.5</v>
          </cell>
          <cell r="BC198">
            <v>182793.01851851901</v>
          </cell>
          <cell r="BD198">
            <v>9.5511111111111102E-2</v>
          </cell>
          <cell r="BE198">
            <v>48.6666666666667</v>
          </cell>
          <cell r="BF198">
            <v>0</v>
          </cell>
          <cell r="BG198">
            <v>0.1</v>
          </cell>
          <cell r="BH198">
            <v>16.5766666666667</v>
          </cell>
          <cell r="BI198">
            <v>3.1516666666666699</v>
          </cell>
        </row>
        <row r="199">
          <cell r="A199" t="str">
            <v>WDVS-Mineralschaum 38 cm</v>
          </cell>
          <cell r="B199" t="str">
            <v>m³</v>
          </cell>
          <cell r="C199">
            <v>2</v>
          </cell>
          <cell r="D199" t="str">
            <v>E4-C-01a-Putzf_WDV-MinS</v>
          </cell>
          <cell r="E199">
            <v>3.3333333333333299</v>
          </cell>
          <cell r="F199">
            <v>3.4639171507664699</v>
          </cell>
          <cell r="G199">
            <v>35</v>
          </cell>
          <cell r="H199">
            <v>0</v>
          </cell>
          <cell r="I199">
            <v>0</v>
          </cell>
          <cell r="J199">
            <v>0</v>
          </cell>
          <cell r="K199">
            <v>0</v>
          </cell>
          <cell r="L199">
            <v>193.03333333333299</v>
          </cell>
          <cell r="M199">
            <v>193.03333333333299</v>
          </cell>
          <cell r="N199">
            <v>143.92480715731801</v>
          </cell>
          <cell r="O199">
            <v>-2.3896402807614001E-2</v>
          </cell>
          <cell r="P199">
            <v>143.94870356012601</v>
          </cell>
          <cell r="Q199">
            <v>0.354041279861255</v>
          </cell>
          <cell r="R199">
            <v>1843.93589317837</v>
          </cell>
          <cell r="S199">
            <v>109.16253080983201</v>
          </cell>
          <cell r="T199">
            <v>4.5451382083296299E-2</v>
          </cell>
          <cell r="U199">
            <v>0.15123606294561601</v>
          </cell>
          <cell r="V199">
            <v>1.0396902574775E-5</v>
          </cell>
          <cell r="W199">
            <v>156.72573428541699</v>
          </cell>
          <cell r="X199">
            <v>0.42076590109206402</v>
          </cell>
          <cell r="Y199">
            <v>2116.4498762636299</v>
          </cell>
          <cell r="Z199">
            <v>116.19380450470599</v>
          </cell>
          <cell r="AA199">
            <v>5.4328450116247803E-2</v>
          </cell>
          <cell r="AB199">
            <v>0.16890604731323999</v>
          </cell>
          <cell r="AC199">
            <v>1.17689366116956E-5</v>
          </cell>
          <cell r="AD199">
            <v>0</v>
          </cell>
          <cell r="AE199">
            <v>0</v>
          </cell>
          <cell r="AF199">
            <v>0</v>
          </cell>
          <cell r="AG199">
            <v>0</v>
          </cell>
          <cell r="AH199">
            <v>8.8510319965313805E-2</v>
          </cell>
          <cell r="AI199">
            <v>460.98397329459198</v>
          </cell>
          <cell r="AJ199">
            <v>24.374144444444401</v>
          </cell>
          <cell r="AK199">
            <v>2193.2841111111102</v>
          </cell>
          <cell r="AL199">
            <v>87.5</v>
          </cell>
          <cell r="AM199">
            <v>91386.837962963007</v>
          </cell>
          <cell r="AN199">
            <v>0</v>
          </cell>
          <cell r="AO199">
            <v>0</v>
          </cell>
          <cell r="AP199">
            <v>0</v>
          </cell>
          <cell r="AQ199">
            <v>0</v>
          </cell>
          <cell r="AR199">
            <v>24.388033333333301</v>
          </cell>
          <cell r="AS199">
            <v>2193.7563333333301</v>
          </cell>
          <cell r="AT199">
            <v>87.5</v>
          </cell>
          <cell r="AU199">
            <v>91406.180555555606</v>
          </cell>
          <cell r="AV199">
            <v>1.0547</v>
          </cell>
          <cell r="AW199">
            <v>23.3333333333333</v>
          </cell>
          <cell r="AX199">
            <v>0</v>
          </cell>
          <cell r="AY199">
            <v>0.1</v>
          </cell>
          <cell r="AZ199">
            <v>48.762177777777801</v>
          </cell>
          <cell r="BA199">
            <v>4387.0404444444403</v>
          </cell>
          <cell r="BB199">
            <v>87.5</v>
          </cell>
          <cell r="BC199">
            <v>182793.01851851901</v>
          </cell>
          <cell r="BD199">
            <v>2.0955111111111102</v>
          </cell>
          <cell r="BE199">
            <v>46.6666666666667</v>
          </cell>
          <cell r="BF199">
            <v>0</v>
          </cell>
          <cell r="BG199">
            <v>0.1</v>
          </cell>
          <cell r="BH199">
            <v>16.5766666666667</v>
          </cell>
          <cell r="BI199">
            <v>3.1516666666666699</v>
          </cell>
        </row>
        <row r="200">
          <cell r="A200" t="str">
            <v>WDVS-Steinwolle 38 cm</v>
          </cell>
          <cell r="B200" t="str">
            <v>m³</v>
          </cell>
          <cell r="C200">
            <v>3</v>
          </cell>
          <cell r="D200" t="str">
            <v>E4-C-01a-Putzf_WDV-Stw</v>
          </cell>
          <cell r="E200">
            <v>3.3333333333333299</v>
          </cell>
          <cell r="F200">
            <v>87.452602347541301</v>
          </cell>
          <cell r="G200">
            <v>35</v>
          </cell>
          <cell r="H200">
            <v>0</v>
          </cell>
          <cell r="I200">
            <v>0</v>
          </cell>
          <cell r="J200">
            <v>0</v>
          </cell>
          <cell r="K200">
            <v>0</v>
          </cell>
          <cell r="L200">
            <v>208.03333333333299</v>
          </cell>
          <cell r="M200">
            <v>208.03333333333299</v>
          </cell>
          <cell r="N200">
            <v>279.72377690962003</v>
          </cell>
          <cell r="O200">
            <v>-2.6992433876925799E-2</v>
          </cell>
          <cell r="P200">
            <v>279.75076934349698</v>
          </cell>
          <cell r="Q200">
            <v>1.94461676486104</v>
          </cell>
          <cell r="R200">
            <v>3201.5076240951898</v>
          </cell>
          <cell r="S200">
            <v>122.567543081241</v>
          </cell>
          <cell r="T200">
            <v>0.67197861607701004</v>
          </cell>
          <cell r="U200">
            <v>0.44984835546801399</v>
          </cell>
          <cell r="V200">
            <v>1.05000363150211E-5</v>
          </cell>
          <cell r="W200">
            <v>292.527800068788</v>
          </cell>
          <cell r="X200">
            <v>2.0113413860918499</v>
          </cell>
          <cell r="Y200">
            <v>3474.0216071804498</v>
          </cell>
          <cell r="Z200">
            <v>129.598816776115</v>
          </cell>
          <cell r="AA200">
            <v>0.680855684109962</v>
          </cell>
          <cell r="AB200">
            <v>0.46751833983563801</v>
          </cell>
          <cell r="AC200">
            <v>1.1872070351941601E-5</v>
          </cell>
          <cell r="AD200">
            <v>0</v>
          </cell>
          <cell r="AE200">
            <v>0</v>
          </cell>
          <cell r="AF200">
            <v>0</v>
          </cell>
          <cell r="AG200">
            <v>0</v>
          </cell>
          <cell r="AH200">
            <v>0.48615419121526099</v>
          </cell>
          <cell r="AI200">
            <v>800.37690602379803</v>
          </cell>
          <cell r="AJ200">
            <v>24.374144444444401</v>
          </cell>
          <cell r="AK200">
            <v>2193.2841111111102</v>
          </cell>
          <cell r="AL200">
            <v>87.5</v>
          </cell>
          <cell r="AM200">
            <v>91386.837962963007</v>
          </cell>
          <cell r="AN200">
            <v>0</v>
          </cell>
          <cell r="AO200">
            <v>0</v>
          </cell>
          <cell r="AP200">
            <v>0</v>
          </cell>
          <cell r="AQ200">
            <v>0</v>
          </cell>
          <cell r="AR200">
            <v>24.388033333333301</v>
          </cell>
          <cell r="AS200">
            <v>2193.7563333333301</v>
          </cell>
          <cell r="AT200">
            <v>87.5</v>
          </cell>
          <cell r="AU200">
            <v>91406.180555555606</v>
          </cell>
          <cell r="AV200">
            <v>1.0547</v>
          </cell>
          <cell r="AW200">
            <v>23.3333333333333</v>
          </cell>
          <cell r="AX200">
            <v>0</v>
          </cell>
          <cell r="AY200">
            <v>0.1</v>
          </cell>
          <cell r="AZ200">
            <v>48.762177777777801</v>
          </cell>
          <cell r="BA200">
            <v>4387.0404444444403</v>
          </cell>
          <cell r="BB200">
            <v>87.5</v>
          </cell>
          <cell r="BC200">
            <v>182793.01851851901</v>
          </cell>
          <cell r="BD200">
            <v>2.0955111111111102</v>
          </cell>
          <cell r="BE200">
            <v>46.6666666666667</v>
          </cell>
          <cell r="BF200">
            <v>0</v>
          </cell>
          <cell r="BG200">
            <v>0.1</v>
          </cell>
          <cell r="BH200">
            <v>16.5766666666667</v>
          </cell>
          <cell r="BI200">
            <v>3.1516666666666699</v>
          </cell>
        </row>
        <row r="201">
          <cell r="A201" t="str">
            <v>Putz ohne Dämmung</v>
          </cell>
          <cell r="B201" t="str">
            <v>m²</v>
          </cell>
          <cell r="C201">
            <v>4</v>
          </cell>
          <cell r="D201" t="str">
            <v>E4-C-01a-Putzf_Putz</v>
          </cell>
          <cell r="E201">
            <v>1</v>
          </cell>
          <cell r="F201">
            <v>-33.393063447727101</v>
          </cell>
          <cell r="G201">
            <v>35</v>
          </cell>
          <cell r="H201">
            <v>0</v>
          </cell>
          <cell r="I201">
            <v>0</v>
          </cell>
          <cell r="J201">
            <v>0</v>
          </cell>
          <cell r="K201">
            <v>0</v>
          </cell>
          <cell r="L201">
            <v>3.5</v>
          </cell>
          <cell r="M201">
            <v>3.5</v>
          </cell>
          <cell r="N201">
            <v>1.8590613885213401</v>
          </cell>
          <cell r="O201">
            <v>-3.2820137993652102E-3</v>
          </cell>
          <cell r="P201">
            <v>1.8623434023207099</v>
          </cell>
          <cell r="Q201">
            <v>9.7486680906858896E-3</v>
          </cell>
          <cell r="R201">
            <v>39.918117262837796</v>
          </cell>
          <cell r="S201">
            <v>0.99702005125572801</v>
          </cell>
          <cell r="T201">
            <v>1.3132068777303701E-3</v>
          </cell>
          <cell r="U201">
            <v>2.51206087942116E-3</v>
          </cell>
          <cell r="V201">
            <v>1.97503911486567E-7</v>
          </cell>
          <cell r="W201">
            <v>5.5870302069621296</v>
          </cell>
          <cell r="X201">
            <v>2.9246004272057698E-2</v>
          </cell>
          <cell r="Y201">
            <v>119.75435178851301</v>
          </cell>
          <cell r="Z201">
            <v>2.9910601537671901</v>
          </cell>
          <cell r="AA201">
            <v>3.9396206331911102E-3</v>
          </cell>
          <cell r="AB201">
            <v>7.53618263826348E-3</v>
          </cell>
          <cell r="AC201">
            <v>5.9251173445970198E-7</v>
          </cell>
          <cell r="AD201">
            <v>0</v>
          </cell>
          <cell r="AE201">
            <v>0</v>
          </cell>
          <cell r="AF201">
            <v>0</v>
          </cell>
          <cell r="AG201">
            <v>1.8590613885213401</v>
          </cell>
          <cell r="AH201">
            <v>9.7486680906858896E-3</v>
          </cell>
          <cell r="AI201">
            <v>39.918117262837796</v>
          </cell>
          <cell r="AJ201">
            <v>1.9444444444444401E-3</v>
          </cell>
          <cell r="AK201">
            <v>0.194444444444444</v>
          </cell>
          <cell r="AL201">
            <v>12.5</v>
          </cell>
          <cell r="AM201">
            <v>2.4305555555555598</v>
          </cell>
          <cell r="AN201">
            <v>0</v>
          </cell>
          <cell r="AO201">
            <v>0</v>
          </cell>
          <cell r="AP201">
            <v>0</v>
          </cell>
          <cell r="AQ201">
            <v>0</v>
          </cell>
          <cell r="AR201">
            <v>5.8333333333333301E-3</v>
          </cell>
          <cell r="AS201">
            <v>0.58333333333333304</v>
          </cell>
          <cell r="AT201">
            <v>12.5</v>
          </cell>
          <cell r="AU201">
            <v>7.19166666666667</v>
          </cell>
          <cell r="AV201">
            <v>5.8333333333333301E-3</v>
          </cell>
          <cell r="AW201">
            <v>0</v>
          </cell>
          <cell r="AX201">
            <v>0</v>
          </cell>
          <cell r="AY201">
            <v>0.1</v>
          </cell>
          <cell r="AZ201">
            <v>7.7777777777777802E-3</v>
          </cell>
          <cell r="BA201">
            <v>0.77777777777777801</v>
          </cell>
          <cell r="BB201">
            <v>12.5</v>
          </cell>
          <cell r="BC201">
            <v>9.62222222222222</v>
          </cell>
          <cell r="BD201">
            <v>7.7777777777777802E-3</v>
          </cell>
          <cell r="BE201">
            <v>0</v>
          </cell>
          <cell r="BF201">
            <v>0</v>
          </cell>
          <cell r="BG201">
            <v>0.1</v>
          </cell>
          <cell r="BH201">
            <v>0.35</v>
          </cell>
          <cell r="BI201">
            <v>0.17499999999999999</v>
          </cell>
        </row>
        <row r="202">
          <cell r="A202" t="str">
            <v>Eigene Putzfassade</v>
          </cell>
          <cell r="B202" t="str">
            <v>m³</v>
          </cell>
        </row>
        <row r="203">
          <cell r="A203" t="str">
            <v>Bitte auswählen</v>
          </cell>
        </row>
        <row r="204">
          <cell r="A204" t="str">
            <v>Faserzement auf Alu</v>
          </cell>
          <cell r="B204" t="str">
            <v>m²</v>
          </cell>
          <cell r="C204">
            <v>4</v>
          </cell>
          <cell r="D204" t="str">
            <v>E4-C-01b1-VorgF_FZ-Alu-ohneD</v>
          </cell>
          <cell r="E204">
            <v>1</v>
          </cell>
          <cell r="F204">
            <v>-7.9921260592824197</v>
          </cell>
          <cell r="G204">
            <v>50</v>
          </cell>
          <cell r="H204">
            <v>0</v>
          </cell>
          <cell r="I204">
            <v>0</v>
          </cell>
          <cell r="J204">
            <v>1.7</v>
          </cell>
          <cell r="K204">
            <v>0</v>
          </cell>
          <cell r="L204">
            <v>16</v>
          </cell>
          <cell r="M204">
            <v>17.7</v>
          </cell>
          <cell r="N204">
            <v>25.587197727013201</v>
          </cell>
          <cell r="O204">
            <v>-1.05300910637775</v>
          </cell>
          <cell r="P204">
            <v>26.640206833390899</v>
          </cell>
          <cell r="Q204">
            <v>9.6210050160559196E-2</v>
          </cell>
          <cell r="R204">
            <v>337.46002894422497</v>
          </cell>
          <cell r="S204">
            <v>50.144931745460198</v>
          </cell>
          <cell r="T204">
            <v>1.33397021832551E-2</v>
          </cell>
          <cell r="U204">
            <v>4.9186005305718199E-2</v>
          </cell>
          <cell r="V204">
            <v>1.3728649317980501E-6</v>
          </cell>
          <cell r="W204">
            <v>26.640206833390899</v>
          </cell>
          <cell r="X204">
            <v>9.6210050160559196E-2</v>
          </cell>
          <cell r="Y204">
            <v>337.46002894422497</v>
          </cell>
          <cell r="Z204">
            <v>50.144931745460198</v>
          </cell>
          <cell r="AA204">
            <v>1.33397021832551E-2</v>
          </cell>
          <cell r="AB204">
            <v>4.9186005305718199E-2</v>
          </cell>
          <cell r="AC204">
            <v>1.3728649317980501E-6</v>
          </cell>
          <cell r="AD204">
            <v>0</v>
          </cell>
          <cell r="AE204">
            <v>0</v>
          </cell>
          <cell r="AF204">
            <v>0</v>
          </cell>
          <cell r="AG204">
            <v>0</v>
          </cell>
          <cell r="AH204">
            <v>2.4052512540139799E-2</v>
          </cell>
          <cell r="AI204">
            <v>84.365007236056201</v>
          </cell>
          <cell r="AJ204">
            <v>8.6071428571428601E-3</v>
          </cell>
          <cell r="AK204">
            <v>2.58214285714286</v>
          </cell>
          <cell r="AL204">
            <v>25</v>
          </cell>
          <cell r="AM204">
            <v>32.276785714285701</v>
          </cell>
          <cell r="AN204">
            <v>0</v>
          </cell>
          <cell r="AO204">
            <v>0</v>
          </cell>
          <cell r="AP204">
            <v>1.7</v>
          </cell>
          <cell r="AQ204">
            <v>0</v>
          </cell>
          <cell r="AR204">
            <v>16</v>
          </cell>
          <cell r="AS204">
            <v>4800</v>
          </cell>
          <cell r="AT204">
            <v>25</v>
          </cell>
          <cell r="AU204">
            <v>59999.9</v>
          </cell>
          <cell r="AV204">
            <v>16</v>
          </cell>
          <cell r="AW204">
            <v>0</v>
          </cell>
          <cell r="AX204">
            <v>0</v>
          </cell>
          <cell r="AY204">
            <v>0.1</v>
          </cell>
          <cell r="AZ204">
            <v>16.008607142857102</v>
          </cell>
          <cell r="BA204">
            <v>4802.5821428571398</v>
          </cell>
          <cell r="BB204">
            <v>25</v>
          </cell>
          <cell r="BC204">
            <v>60032.176785714299</v>
          </cell>
          <cell r="BD204">
            <v>16.007999999999999</v>
          </cell>
          <cell r="BE204">
            <v>0</v>
          </cell>
          <cell r="BF204">
            <v>6.0714285714285699E-4</v>
          </cell>
          <cell r="BG204">
            <v>0.1</v>
          </cell>
          <cell r="BH204">
            <v>5.31</v>
          </cell>
          <cell r="BI204">
            <v>0.88500000000000001</v>
          </cell>
        </row>
        <row r="205">
          <cell r="A205" t="str">
            <v>Faserzement auf Latten</v>
          </cell>
          <cell r="B205" t="str">
            <v>m²</v>
          </cell>
          <cell r="C205">
            <v>5</v>
          </cell>
          <cell r="D205" t="str">
            <v>E4-C-01b1-VorgF_FZ-Ho-ohneD</v>
          </cell>
          <cell r="E205">
            <v>1</v>
          </cell>
          <cell r="F205">
            <v>-20.5441796404975</v>
          </cell>
          <cell r="G205">
            <v>50</v>
          </cell>
          <cell r="H205">
            <v>1.62</v>
          </cell>
          <cell r="I205">
            <v>0</v>
          </cell>
          <cell r="J205">
            <v>0</v>
          </cell>
          <cell r="K205">
            <v>0</v>
          </cell>
          <cell r="L205">
            <v>16</v>
          </cell>
          <cell r="M205">
            <v>17.62</v>
          </cell>
          <cell r="N205">
            <v>13.165229595225901</v>
          </cell>
          <cell r="O205">
            <v>-3.4967179194768798</v>
          </cell>
          <cell r="P205">
            <v>16.661947514702799</v>
          </cell>
          <cell r="Q205">
            <v>5.00210633910987E-2</v>
          </cell>
          <cell r="R205">
            <v>207.76420924454899</v>
          </cell>
          <cell r="S205">
            <v>51.243427847342303</v>
          </cell>
          <cell r="T205">
            <v>8.8195145718368197E-3</v>
          </cell>
          <cell r="U205">
            <v>3.0884511491782202E-2</v>
          </cell>
          <cell r="V205">
            <v>7.4632864067538604E-7</v>
          </cell>
          <cell r="W205">
            <v>16.661947514702799</v>
          </cell>
          <cell r="X205">
            <v>5.00210633910987E-2</v>
          </cell>
          <cell r="Y205">
            <v>207.76420924454899</v>
          </cell>
          <cell r="Z205">
            <v>51.243427847342303</v>
          </cell>
          <cell r="AA205">
            <v>8.8195145718368197E-3</v>
          </cell>
          <cell r="AB205">
            <v>3.0884511491782202E-2</v>
          </cell>
          <cell r="AC205">
            <v>7.4632864067538604E-7</v>
          </cell>
          <cell r="AD205">
            <v>0</v>
          </cell>
          <cell r="AE205">
            <v>0</v>
          </cell>
          <cell r="AF205">
            <v>0</v>
          </cell>
          <cell r="AG205">
            <v>0</v>
          </cell>
          <cell r="AH205">
            <v>1.2505265847774699E-2</v>
          </cell>
          <cell r="AI205">
            <v>51.941052311137398</v>
          </cell>
          <cell r="AJ205">
            <v>1.0999999999999999E-2</v>
          </cell>
          <cell r="AK205">
            <v>3</v>
          </cell>
          <cell r="AL205">
            <v>25</v>
          </cell>
          <cell r="AM205">
            <v>37.5</v>
          </cell>
          <cell r="AN205">
            <v>1.62</v>
          </cell>
          <cell r="AO205">
            <v>0</v>
          </cell>
          <cell r="AP205">
            <v>0</v>
          </cell>
          <cell r="AQ205">
            <v>0</v>
          </cell>
          <cell r="AR205">
            <v>16</v>
          </cell>
          <cell r="AS205">
            <v>4800</v>
          </cell>
          <cell r="AT205">
            <v>25</v>
          </cell>
          <cell r="AU205">
            <v>59999.9</v>
          </cell>
          <cell r="AV205">
            <v>16</v>
          </cell>
          <cell r="AW205">
            <v>0</v>
          </cell>
          <cell r="AX205">
            <v>0</v>
          </cell>
          <cell r="AY205">
            <v>0.1</v>
          </cell>
          <cell r="AZ205">
            <v>16.010999999999999</v>
          </cell>
          <cell r="BA205">
            <v>4803</v>
          </cell>
          <cell r="BB205">
            <v>25</v>
          </cell>
          <cell r="BC205">
            <v>60037.4</v>
          </cell>
          <cell r="BD205">
            <v>16.007999999999999</v>
          </cell>
          <cell r="BE205">
            <v>3.0000000000000001E-3</v>
          </cell>
          <cell r="BF205">
            <v>0</v>
          </cell>
          <cell r="BG205">
            <v>0.1</v>
          </cell>
          <cell r="BH205">
            <v>5.1239999999999997</v>
          </cell>
          <cell r="BI205">
            <v>0.88100000000000001</v>
          </cell>
        </row>
        <row r="206">
          <cell r="A206" t="str">
            <v>Metallverkleidung</v>
          </cell>
          <cell r="B206" t="str">
            <v>m²</v>
          </cell>
          <cell r="C206">
            <v>6</v>
          </cell>
          <cell r="D206" t="str">
            <v>E4-C-01b1-VorgF_Alu-Alu-ohneD</v>
          </cell>
          <cell r="E206">
            <v>1</v>
          </cell>
          <cell r="F206">
            <v>-7.15201912485111</v>
          </cell>
          <cell r="G206">
            <v>50</v>
          </cell>
          <cell r="H206">
            <v>0</v>
          </cell>
          <cell r="I206">
            <v>0</v>
          </cell>
          <cell r="J206">
            <v>4</v>
          </cell>
          <cell r="K206">
            <v>0</v>
          </cell>
          <cell r="L206">
            <v>0</v>
          </cell>
          <cell r="M206">
            <v>4</v>
          </cell>
          <cell r="N206">
            <v>23.871822935527099</v>
          </cell>
          <cell r="O206">
            <v>-1.8036479599999201E-2</v>
          </cell>
          <cell r="P206">
            <v>23.889859415127098</v>
          </cell>
          <cell r="Q206">
            <v>0.11107446377663301</v>
          </cell>
          <cell r="R206">
            <v>311.78245647030002</v>
          </cell>
          <cell r="S206">
            <v>62.5808169572</v>
          </cell>
          <cell r="T206">
            <v>1.2081007757488899E-2</v>
          </cell>
          <cell r="U206">
            <v>4.3968561475319599E-2</v>
          </cell>
          <cell r="V206">
            <v>1.51613693592653E-6</v>
          </cell>
          <cell r="W206">
            <v>23.889859415127098</v>
          </cell>
          <cell r="X206">
            <v>0.11107446377663301</v>
          </cell>
          <cell r="Y206">
            <v>311.78245647030002</v>
          </cell>
          <cell r="Z206">
            <v>62.5808169572</v>
          </cell>
          <cell r="AA206">
            <v>1.2081007757488899E-2</v>
          </cell>
          <cell r="AB206">
            <v>4.3968561475319599E-2</v>
          </cell>
          <cell r="AC206">
            <v>1.51613693592653E-6</v>
          </cell>
          <cell r="AD206">
            <v>0</v>
          </cell>
          <cell r="AE206">
            <v>0</v>
          </cell>
          <cell r="AF206">
            <v>0</v>
          </cell>
          <cell r="AG206">
            <v>0</v>
          </cell>
          <cell r="AH206">
            <v>2.77686159441582E-2</v>
          </cell>
          <cell r="AI206">
            <v>77.945614117575005</v>
          </cell>
          <cell r="AJ206">
            <v>1.4285714285714301E-3</v>
          </cell>
          <cell r="AK206">
            <v>0.42857142857142899</v>
          </cell>
          <cell r="AL206">
            <v>25</v>
          </cell>
          <cell r="AM206">
            <v>5.3571428571428603</v>
          </cell>
          <cell r="AN206">
            <v>0</v>
          </cell>
          <cell r="AO206">
            <v>0</v>
          </cell>
          <cell r="AP206">
            <v>4</v>
          </cell>
          <cell r="AQ206">
            <v>0</v>
          </cell>
          <cell r="AR206">
            <v>0</v>
          </cell>
          <cell r="AS206">
            <v>0</v>
          </cell>
          <cell r="AT206">
            <v>25</v>
          </cell>
          <cell r="AU206">
            <v>0</v>
          </cell>
          <cell r="AV206">
            <v>0</v>
          </cell>
          <cell r="AW206">
            <v>0</v>
          </cell>
          <cell r="AX206">
            <v>0</v>
          </cell>
          <cell r="AY206">
            <v>0</v>
          </cell>
          <cell r="AZ206">
            <v>1.4285714285714301E-3</v>
          </cell>
          <cell r="BA206">
            <v>0.42857142857142899</v>
          </cell>
          <cell r="BB206">
            <v>25</v>
          </cell>
          <cell r="BC206">
            <v>5.2571428571428598</v>
          </cell>
          <cell r="BD206">
            <v>0</v>
          </cell>
          <cell r="BE206">
            <v>0</v>
          </cell>
          <cell r="BF206">
            <v>1.4285714285714301E-3</v>
          </cell>
          <cell r="BG206">
            <v>0.1</v>
          </cell>
          <cell r="BH206">
            <v>1.2</v>
          </cell>
          <cell r="BI206">
            <v>0.2</v>
          </cell>
        </row>
        <row r="207">
          <cell r="A207" t="str">
            <v>Holzschalung</v>
          </cell>
          <cell r="B207" t="str">
            <v>m²</v>
          </cell>
          <cell r="C207">
            <v>7</v>
          </cell>
          <cell r="D207" t="str">
            <v>E4-C-01b1-VorgF_Ho-Ho-ohneD</v>
          </cell>
          <cell r="E207">
            <v>1</v>
          </cell>
          <cell r="F207">
            <v>-35.602864453050103</v>
          </cell>
          <cell r="G207">
            <v>50</v>
          </cell>
          <cell r="H207">
            <v>19.5</v>
          </cell>
          <cell r="I207">
            <v>0</v>
          </cell>
          <cell r="J207">
            <v>0</v>
          </cell>
          <cell r="K207">
            <v>0</v>
          </cell>
          <cell r="L207">
            <v>0</v>
          </cell>
          <cell r="M207">
            <v>19.5</v>
          </cell>
          <cell r="N207">
            <v>-30.545983189154001</v>
          </cell>
          <cell r="O207">
            <v>-34.807938157383298</v>
          </cell>
          <cell r="P207">
            <v>4.2619549682292197</v>
          </cell>
          <cell r="Q207">
            <v>2.5761912380781699E-2</v>
          </cell>
          <cell r="R207">
            <v>71.5963328311407</v>
          </cell>
          <cell r="S207">
            <v>445.19891251451497</v>
          </cell>
          <cell r="T207">
            <v>1.0437999400573401E-2</v>
          </cell>
          <cell r="U207">
            <v>1.1517061291092199E-2</v>
          </cell>
          <cell r="V207">
            <v>3.5423193428742098E-7</v>
          </cell>
          <cell r="W207">
            <v>4.2619549682292197</v>
          </cell>
          <cell r="X207">
            <v>2.5761912380781699E-2</v>
          </cell>
          <cell r="Y207">
            <v>71.5963328311407</v>
          </cell>
          <cell r="Z207">
            <v>445.19891251451497</v>
          </cell>
          <cell r="AA207">
            <v>1.0437999400573401E-2</v>
          </cell>
          <cell r="AB207">
            <v>1.1517061291092199E-2</v>
          </cell>
          <cell r="AC207">
            <v>3.5423193428742098E-7</v>
          </cell>
          <cell r="AD207">
            <v>0</v>
          </cell>
          <cell r="AE207">
            <v>0</v>
          </cell>
          <cell r="AF207">
            <v>0</v>
          </cell>
          <cell r="AG207">
            <v>0</v>
          </cell>
          <cell r="AH207">
            <v>6.4404780951954196E-3</v>
          </cell>
          <cell r="AI207">
            <v>17.8990832077852</v>
          </cell>
          <cell r="AJ207">
            <v>3.2500000000000001E-2</v>
          </cell>
          <cell r="AK207">
            <v>6.5</v>
          </cell>
          <cell r="AL207">
            <v>25</v>
          </cell>
          <cell r="AM207">
            <v>81.25</v>
          </cell>
          <cell r="AN207">
            <v>19.5</v>
          </cell>
          <cell r="AO207">
            <v>0</v>
          </cell>
          <cell r="AP207">
            <v>0</v>
          </cell>
          <cell r="AQ207">
            <v>0</v>
          </cell>
          <cell r="AR207">
            <v>0</v>
          </cell>
          <cell r="AS207">
            <v>0</v>
          </cell>
          <cell r="AT207">
            <v>25</v>
          </cell>
          <cell r="AU207">
            <v>0</v>
          </cell>
          <cell r="AV207">
            <v>0</v>
          </cell>
          <cell r="AW207">
            <v>0</v>
          </cell>
          <cell r="AX207">
            <v>0</v>
          </cell>
          <cell r="AY207">
            <v>0</v>
          </cell>
          <cell r="AZ207">
            <v>3.2500000000000001E-2</v>
          </cell>
          <cell r="BA207">
            <v>6.5</v>
          </cell>
          <cell r="BB207">
            <v>25</v>
          </cell>
          <cell r="BC207">
            <v>81.150000000000006</v>
          </cell>
          <cell r="BD207">
            <v>0</v>
          </cell>
          <cell r="BE207">
            <v>3.2500000000000001E-2</v>
          </cell>
          <cell r="BF207">
            <v>0</v>
          </cell>
          <cell r="BG207">
            <v>0.1</v>
          </cell>
          <cell r="BH207">
            <v>3.9</v>
          </cell>
          <cell r="BI207">
            <v>0.97499999999999998</v>
          </cell>
        </row>
        <row r="208">
          <cell r="A208" t="str">
            <v>Eigene Fassadenverkleidung</v>
          </cell>
          <cell r="B208" t="str">
            <v>m²</v>
          </cell>
        </row>
        <row r="209">
          <cell r="A209" t="str">
            <v>Bitte auswählen</v>
          </cell>
        </row>
        <row r="210">
          <cell r="A210" t="str">
            <v>Steinwolle zw. Holz-I-Träger mit MDF</v>
          </cell>
          <cell r="B210" t="str">
            <v>m³</v>
          </cell>
          <cell r="C210">
            <v>8</v>
          </cell>
          <cell r="D210" t="str">
            <v>E4-C-01b2-VorgF_Ho-MDF-Stw</v>
          </cell>
          <cell r="E210">
            <v>3.3333333333333299</v>
          </cell>
          <cell r="F210">
            <v>-2.1789261589942002</v>
          </cell>
          <cell r="G210">
            <v>50</v>
          </cell>
          <cell r="H210">
            <v>48.985333333333301</v>
          </cell>
          <cell r="I210">
            <v>0.66666666666666696</v>
          </cell>
          <cell r="J210">
            <v>0</v>
          </cell>
          <cell r="K210">
            <v>0</v>
          </cell>
          <cell r="L210">
            <v>29.01</v>
          </cell>
          <cell r="M210">
            <v>78.662000000000006</v>
          </cell>
          <cell r="N210">
            <v>2.0189587179250998</v>
          </cell>
          <cell r="O210">
            <v>-81.544706276656797</v>
          </cell>
          <cell r="P210">
            <v>83.563664994581998</v>
          </cell>
          <cell r="Q210">
            <v>0.57085244306327598</v>
          </cell>
          <cell r="R210">
            <v>1121.9361515911901</v>
          </cell>
          <cell r="S210">
            <v>459.44338279923699</v>
          </cell>
          <cell r="T210">
            <v>0.17877731268278099</v>
          </cell>
          <cell r="U210">
            <v>0.11460958969521599</v>
          </cell>
          <cell r="V210">
            <v>9.8861775358306207E-6</v>
          </cell>
          <cell r="W210">
            <v>77.950192268177304</v>
          </cell>
          <cell r="X210">
            <v>0.54113211696487495</v>
          </cell>
          <cell r="Y210">
            <v>1011.97307085665</v>
          </cell>
          <cell r="Z210">
            <v>44.667146664940397</v>
          </cell>
          <cell r="AA210">
            <v>0.170400524443764</v>
          </cell>
          <cell r="AB210">
            <v>0.102937686845143</v>
          </cell>
          <cell r="AC210">
            <v>9.4374114115227604E-6</v>
          </cell>
          <cell r="AD210">
            <v>0</v>
          </cell>
          <cell r="AE210">
            <v>0</v>
          </cell>
          <cell r="AF210">
            <v>0</v>
          </cell>
          <cell r="AG210">
            <v>0</v>
          </cell>
          <cell r="AH210">
            <v>0.142713110765819</v>
          </cell>
          <cell r="AI210">
            <v>280.48403789779599</v>
          </cell>
          <cell r="AJ210">
            <v>1.05401360544218</v>
          </cell>
          <cell r="AK210">
            <v>94.351224489795896</v>
          </cell>
          <cell r="AL210">
            <v>62.5</v>
          </cell>
          <cell r="AM210">
            <v>3930.9676870748299</v>
          </cell>
          <cell r="AN210">
            <v>48.985333333333301</v>
          </cell>
          <cell r="AO210">
            <v>0.66666666666666696</v>
          </cell>
          <cell r="AP210">
            <v>0</v>
          </cell>
          <cell r="AQ210">
            <v>0.1</v>
          </cell>
          <cell r="AR210">
            <v>1.0210136054421799</v>
          </cell>
          <cell r="AS210">
            <v>91.891224489795903</v>
          </cell>
          <cell r="AT210">
            <v>62.5</v>
          </cell>
          <cell r="AU210">
            <v>3828.8010204081602</v>
          </cell>
          <cell r="AV210">
            <v>0.96699999999999997</v>
          </cell>
          <cell r="AW210">
            <v>5.4013605442176899E-2</v>
          </cell>
          <cell r="AX210">
            <v>0</v>
          </cell>
          <cell r="AY210">
            <v>0</v>
          </cell>
          <cell r="AZ210">
            <v>2.0750272108843499</v>
          </cell>
          <cell r="BA210">
            <v>186.24244897959201</v>
          </cell>
          <cell r="BB210">
            <v>62.5</v>
          </cell>
          <cell r="BC210">
            <v>7760.1020408163204</v>
          </cell>
          <cell r="BD210">
            <v>1.9339999999999999</v>
          </cell>
          <cell r="BE210">
            <v>0.14102721088435399</v>
          </cell>
          <cell r="BF210">
            <v>0</v>
          </cell>
          <cell r="BG210">
            <v>0</v>
          </cell>
          <cell r="BH210">
            <v>22.7486</v>
          </cell>
          <cell r="BI210">
            <v>3.9331</v>
          </cell>
        </row>
        <row r="211">
          <cell r="A211" t="str">
            <v>Hanffaser zw. Holz-I-Träger mit MDF</v>
          </cell>
          <cell r="B211" t="str">
            <v>m³</v>
          </cell>
          <cell r="C211">
            <v>9</v>
          </cell>
          <cell r="D211" t="str">
            <v>E4-C-01b2-VorgF_Ho-MDF-Hanf</v>
          </cell>
          <cell r="E211">
            <v>3.3333333333333299</v>
          </cell>
          <cell r="F211">
            <v>11.905428156747901</v>
          </cell>
          <cell r="G211">
            <v>50</v>
          </cell>
          <cell r="H211">
            <v>131.18033333333301</v>
          </cell>
          <cell r="I211">
            <v>0.66666666666666696</v>
          </cell>
          <cell r="J211">
            <v>0</v>
          </cell>
          <cell r="K211">
            <v>0</v>
          </cell>
          <cell r="L211">
            <v>0</v>
          </cell>
          <cell r="M211">
            <v>131.84700000000001</v>
          </cell>
          <cell r="N211">
            <v>-47.744252325970699</v>
          </cell>
          <cell r="O211">
            <v>-192.392997095872</v>
          </cell>
          <cell r="P211">
            <v>144.64874476990099</v>
          </cell>
          <cell r="Q211">
            <v>0.55078100398720997</v>
          </cell>
          <cell r="R211">
            <v>2859.4733946891402</v>
          </cell>
          <cell r="S211">
            <v>1734.8943760346101</v>
          </cell>
          <cell r="T211">
            <v>7.9303374108122396E-2</v>
          </cell>
          <cell r="U211">
            <v>0.179554316871509</v>
          </cell>
          <cell r="V211">
            <v>1.77155231842485E-5</v>
          </cell>
          <cell r="W211">
            <v>139.03527204349601</v>
          </cell>
          <cell r="X211">
            <v>0.52106067788880905</v>
          </cell>
          <cell r="Y211">
            <v>2749.5103139546</v>
          </cell>
          <cell r="Z211">
            <v>1320.1181399003101</v>
          </cell>
          <cell r="AA211">
            <v>7.0926585869105996E-2</v>
          </cell>
          <cell r="AB211">
            <v>0.167882414021436</v>
          </cell>
          <cell r="AC211">
            <v>1.7266757059940599E-5</v>
          </cell>
          <cell r="AD211">
            <v>0</v>
          </cell>
          <cell r="AE211">
            <v>0</v>
          </cell>
          <cell r="AF211">
            <v>0</v>
          </cell>
          <cell r="AG211">
            <v>0</v>
          </cell>
          <cell r="AH211">
            <v>0.13769525099680199</v>
          </cell>
          <cell r="AI211">
            <v>714.86834867228504</v>
          </cell>
          <cell r="AJ211">
            <v>1.05401360544218</v>
          </cell>
          <cell r="AK211">
            <v>94.351224489795896</v>
          </cell>
          <cell r="AL211">
            <v>62.5</v>
          </cell>
          <cell r="AM211">
            <v>3930.9676870748299</v>
          </cell>
          <cell r="AN211">
            <v>131.18033333333301</v>
          </cell>
          <cell r="AO211">
            <v>0.66666666666666696</v>
          </cell>
          <cell r="AP211">
            <v>0</v>
          </cell>
          <cell r="AQ211">
            <v>0.1</v>
          </cell>
          <cell r="AR211">
            <v>1.0210136054421799</v>
          </cell>
          <cell r="AS211">
            <v>91.891224489795903</v>
          </cell>
          <cell r="AT211">
            <v>62.5</v>
          </cell>
          <cell r="AU211">
            <v>3828.4676870748299</v>
          </cell>
          <cell r="AV211">
            <v>0</v>
          </cell>
          <cell r="AW211">
            <v>1.0210136054421799</v>
          </cell>
          <cell r="AX211">
            <v>0</v>
          </cell>
          <cell r="AY211">
            <v>0.1</v>
          </cell>
          <cell r="AZ211">
            <v>2.0750272108843499</v>
          </cell>
          <cell r="BA211">
            <v>186.24244897959201</v>
          </cell>
          <cell r="BB211">
            <v>62.5</v>
          </cell>
          <cell r="BC211">
            <v>7759.7687074829901</v>
          </cell>
          <cell r="BD211">
            <v>0</v>
          </cell>
          <cell r="BE211">
            <v>2.0750272108843499</v>
          </cell>
          <cell r="BF211">
            <v>0</v>
          </cell>
          <cell r="BG211">
            <v>0.1</v>
          </cell>
          <cell r="BH211">
            <v>38.704099999999997</v>
          </cell>
          <cell r="BI211">
            <v>6.5923499999999997</v>
          </cell>
        </row>
        <row r="212">
          <cell r="A212" t="str">
            <v>Schafwolle zw. Holz-I-Träger mit MDF</v>
          </cell>
          <cell r="B212" t="str">
            <v>m³</v>
          </cell>
          <cell r="C212">
            <v>10</v>
          </cell>
          <cell r="D212" t="str">
            <v>E4-C-01b2-VorgF_Ho-MDF-Schaf</v>
          </cell>
          <cell r="E212">
            <v>3.3333333333333299</v>
          </cell>
          <cell r="F212">
            <v>-16.2913438012421</v>
          </cell>
          <cell r="G212">
            <v>50</v>
          </cell>
          <cell r="H212">
            <v>77.995333333333306</v>
          </cell>
          <cell r="I212">
            <v>0.66666666666666696</v>
          </cell>
          <cell r="J212">
            <v>0</v>
          </cell>
          <cell r="K212">
            <v>0</v>
          </cell>
          <cell r="L212">
            <v>0</v>
          </cell>
          <cell r="M212">
            <v>78.662000000000006</v>
          </cell>
          <cell r="N212">
            <v>-38.520655535309501</v>
          </cell>
          <cell r="O212">
            <v>-128.19028635873599</v>
          </cell>
          <cell r="P212">
            <v>89.669630823426203</v>
          </cell>
          <cell r="Q212">
            <v>0.28046667613494702</v>
          </cell>
          <cell r="R212">
            <v>1074.9355263458799</v>
          </cell>
          <cell r="S212">
            <v>452.00991910751799</v>
          </cell>
          <cell r="T212">
            <v>5.2360789515056301E-2</v>
          </cell>
          <cell r="U212">
            <v>7.2773642999446594E-2</v>
          </cell>
          <cell r="V212">
            <v>1.1733295235317601E-5</v>
          </cell>
          <cell r="W212">
            <v>84.056158097021495</v>
          </cell>
          <cell r="X212">
            <v>0.25074635003654699</v>
          </cell>
          <cell r="Y212">
            <v>964.97244561134505</v>
          </cell>
          <cell r="Z212">
            <v>37.233682973221498</v>
          </cell>
          <cell r="AA212">
            <v>4.3984001276039901E-2</v>
          </cell>
          <cell r="AB212">
            <v>6.1101740149373002E-2</v>
          </cell>
          <cell r="AC212">
            <v>1.12845291110097E-5</v>
          </cell>
          <cell r="AD212">
            <v>0</v>
          </cell>
          <cell r="AE212">
            <v>0</v>
          </cell>
          <cell r="AF212">
            <v>0</v>
          </cell>
          <cell r="AG212">
            <v>0</v>
          </cell>
          <cell r="AH212">
            <v>7.0116669033736895E-2</v>
          </cell>
          <cell r="AI212">
            <v>268.73388158646998</v>
          </cell>
          <cell r="AJ212">
            <v>1.05401360544218</v>
          </cell>
          <cell r="AK212">
            <v>94.351224489795896</v>
          </cell>
          <cell r="AL212">
            <v>62.5</v>
          </cell>
          <cell r="AM212">
            <v>3930.9676870748299</v>
          </cell>
          <cell r="AN212">
            <v>77.995333333333306</v>
          </cell>
          <cell r="AO212">
            <v>0.66666666666666696</v>
          </cell>
          <cell r="AP212">
            <v>0</v>
          </cell>
          <cell r="AQ212">
            <v>0.1</v>
          </cell>
          <cell r="AR212">
            <v>1.0210136054421799</v>
          </cell>
          <cell r="AS212">
            <v>91.891224489795903</v>
          </cell>
          <cell r="AT212">
            <v>62.5</v>
          </cell>
          <cell r="AU212">
            <v>3828.4676870748299</v>
          </cell>
          <cell r="AV212">
            <v>0</v>
          </cell>
          <cell r="AW212">
            <v>1.0210136054421799</v>
          </cell>
          <cell r="AX212">
            <v>0</v>
          </cell>
          <cell r="AY212">
            <v>0.1</v>
          </cell>
          <cell r="AZ212">
            <v>2.0750272108843499</v>
          </cell>
          <cell r="BA212">
            <v>186.24244897959201</v>
          </cell>
          <cell r="BB212">
            <v>62.5</v>
          </cell>
          <cell r="BC212">
            <v>7759.7687074829901</v>
          </cell>
          <cell r="BD212">
            <v>0</v>
          </cell>
          <cell r="BE212">
            <v>2.0750272108843499</v>
          </cell>
          <cell r="BF212">
            <v>0</v>
          </cell>
          <cell r="BG212">
            <v>0.1</v>
          </cell>
          <cell r="BH212">
            <v>22.7486</v>
          </cell>
          <cell r="BI212">
            <v>3.9331</v>
          </cell>
        </row>
        <row r="213">
          <cell r="A213" t="str">
            <v>Zellulose zw. Holz-I-Träger mit MDF</v>
          </cell>
          <cell r="B213" t="str">
            <v>m³</v>
          </cell>
          <cell r="C213">
            <v>11</v>
          </cell>
          <cell r="D213" t="str">
            <v>E4-C-01b2-VorgF_Ho-MDF-Zell</v>
          </cell>
          <cell r="E213">
            <v>3.3333333333333299</v>
          </cell>
          <cell r="F213">
            <v>-18.712419331187</v>
          </cell>
          <cell r="G213">
            <v>50</v>
          </cell>
          <cell r="H213">
            <v>102.17033333333301</v>
          </cell>
          <cell r="I213">
            <v>0.66666666666666696</v>
          </cell>
          <cell r="J213">
            <v>0</v>
          </cell>
          <cell r="K213">
            <v>0</v>
          </cell>
          <cell r="L213">
            <v>0</v>
          </cell>
          <cell r="M213">
            <v>102.837</v>
          </cell>
          <cell r="N213">
            <v>-101.161139353574</v>
          </cell>
          <cell r="O213">
            <v>-158.43300130267599</v>
          </cell>
          <cell r="P213">
            <v>57.271861949102501</v>
          </cell>
          <cell r="Q213">
            <v>0.34590566769391201</v>
          </cell>
          <cell r="R213">
            <v>884.27442620685702</v>
          </cell>
          <cell r="S213">
            <v>510.83705997239099</v>
          </cell>
          <cell r="T213">
            <v>4.6971817456046901E-2</v>
          </cell>
          <cell r="U213">
            <v>9.9338761060275504E-2</v>
          </cell>
          <cell r="V213">
            <v>1.0154390410125901E-5</v>
          </cell>
          <cell r="W213">
            <v>51.658389222697799</v>
          </cell>
          <cell r="X213">
            <v>0.31618534159551098</v>
          </cell>
          <cell r="Y213">
            <v>774.31134547232102</v>
          </cell>
          <cell r="Z213">
            <v>96.060823838093995</v>
          </cell>
          <cell r="AA213">
            <v>3.8595029217030397E-2</v>
          </cell>
          <cell r="AB213">
            <v>8.7666858210201801E-2</v>
          </cell>
          <cell r="AC213">
            <v>9.7056242858180405E-6</v>
          </cell>
          <cell r="AD213">
            <v>0</v>
          </cell>
          <cell r="AE213">
            <v>0</v>
          </cell>
          <cell r="AF213">
            <v>0</v>
          </cell>
          <cell r="AG213">
            <v>0</v>
          </cell>
          <cell r="AH213">
            <v>8.6476416923477906E-2</v>
          </cell>
          <cell r="AI213">
            <v>221.068606551714</v>
          </cell>
          <cell r="AJ213">
            <v>1.05401360544218</v>
          </cell>
          <cell r="AK213">
            <v>94.351224489795896</v>
          </cell>
          <cell r="AL213">
            <v>62.5</v>
          </cell>
          <cell r="AM213">
            <v>3930.9676870748299</v>
          </cell>
          <cell r="AN213">
            <v>102.17033333333301</v>
          </cell>
          <cell r="AO213">
            <v>0.66666666666666696</v>
          </cell>
          <cell r="AP213">
            <v>0</v>
          </cell>
          <cell r="AQ213">
            <v>0.1</v>
          </cell>
          <cell r="AR213">
            <v>1.0210136054421799</v>
          </cell>
          <cell r="AS213">
            <v>91.891224489795903</v>
          </cell>
          <cell r="AT213">
            <v>62.5</v>
          </cell>
          <cell r="AU213">
            <v>3828.4676870748299</v>
          </cell>
          <cell r="AV213">
            <v>0</v>
          </cell>
          <cell r="AW213">
            <v>1.0210136054421799</v>
          </cell>
          <cell r="AX213">
            <v>0</v>
          </cell>
          <cell r="AY213">
            <v>0.1</v>
          </cell>
          <cell r="AZ213">
            <v>2.0750272108843499</v>
          </cell>
          <cell r="BA213">
            <v>186.24244897959201</v>
          </cell>
          <cell r="BB213">
            <v>62.5</v>
          </cell>
          <cell r="BC213">
            <v>7759.7687074829901</v>
          </cell>
          <cell r="BD213">
            <v>0</v>
          </cell>
          <cell r="BE213">
            <v>2.0750272108843499</v>
          </cell>
          <cell r="BF213">
            <v>0</v>
          </cell>
          <cell r="BG213">
            <v>0.1</v>
          </cell>
          <cell r="BH213">
            <v>30.001100000000001</v>
          </cell>
          <cell r="BI213">
            <v>5.1418499999999998</v>
          </cell>
        </row>
        <row r="214">
          <cell r="A214" t="str">
            <v>Steinwolle zw. Holz-I-Träger mit Holz+PE</v>
          </cell>
          <cell r="B214" t="str">
            <v>m³</v>
          </cell>
          <cell r="C214">
            <v>12</v>
          </cell>
          <cell r="D214" t="str">
            <v>E4-C-01b2-VorgF_Ho-PE-Stw</v>
          </cell>
          <cell r="E214">
            <v>3.3333333333333299</v>
          </cell>
          <cell r="F214">
            <v>-10.3518179400305</v>
          </cell>
          <cell r="G214">
            <v>50</v>
          </cell>
          <cell r="H214">
            <v>62.052</v>
          </cell>
          <cell r="I214">
            <v>0.266666666666667</v>
          </cell>
          <cell r="J214">
            <v>0.66666666666666696</v>
          </cell>
          <cell r="K214">
            <v>0</v>
          </cell>
          <cell r="L214">
            <v>29.01</v>
          </cell>
          <cell r="M214">
            <v>91.995333333333306</v>
          </cell>
          <cell r="N214">
            <v>-27.465087909645799</v>
          </cell>
          <cell r="O214">
            <v>-95.654700321603201</v>
          </cell>
          <cell r="P214">
            <v>68.189612411957498</v>
          </cell>
          <cell r="Q214">
            <v>0.47242166824064602</v>
          </cell>
          <cell r="R214">
            <v>845.79030591592402</v>
          </cell>
          <cell r="S214">
            <v>1178.2192963272601</v>
          </cell>
          <cell r="T214">
            <v>0.17321501005649001</v>
          </cell>
          <cell r="U214">
            <v>0.11468582768661501</v>
          </cell>
          <cell r="V214">
            <v>2.9596543372088602E-6</v>
          </cell>
          <cell r="W214">
            <v>62.576139685552803</v>
          </cell>
          <cell r="X214">
            <v>0.44270134214224599</v>
          </cell>
          <cell r="Y214">
            <v>735.82722518138803</v>
          </cell>
          <cell r="Z214">
            <v>763.44306019295902</v>
          </cell>
          <cell r="AA214">
            <v>0.16483822181747301</v>
          </cell>
          <cell r="AB214">
            <v>0.103013924836541</v>
          </cell>
          <cell r="AC214">
            <v>2.5108882129009999E-6</v>
          </cell>
          <cell r="AD214">
            <v>0</v>
          </cell>
          <cell r="AE214">
            <v>0</v>
          </cell>
          <cell r="AF214">
            <v>0</v>
          </cell>
          <cell r="AG214">
            <v>0</v>
          </cell>
          <cell r="AH214">
            <v>0.118105417060162</v>
          </cell>
          <cell r="AI214">
            <v>211.44757647898101</v>
          </cell>
          <cell r="AJ214">
            <v>1.0803575789290101</v>
          </cell>
          <cell r="AK214">
            <v>94.3221821036107</v>
          </cell>
          <cell r="AL214">
            <v>75</v>
          </cell>
          <cell r="AM214">
            <v>3929.7575876504402</v>
          </cell>
          <cell r="AN214">
            <v>62.052</v>
          </cell>
          <cell r="AO214">
            <v>0.266666666666667</v>
          </cell>
          <cell r="AP214">
            <v>8.5470085470085497E-5</v>
          </cell>
          <cell r="AQ214">
            <v>0.1</v>
          </cell>
          <cell r="AR214">
            <v>1.0473575789290099</v>
          </cell>
          <cell r="AS214">
            <v>91.862182103610706</v>
          </cell>
          <cell r="AT214">
            <v>75</v>
          </cell>
          <cell r="AU214">
            <v>3827.5909209837801</v>
          </cell>
          <cell r="AV214">
            <v>0.96699999999999997</v>
          </cell>
          <cell r="AW214">
            <v>8.0272108843537401E-2</v>
          </cell>
          <cell r="AX214">
            <v>8.5470085470085497E-5</v>
          </cell>
          <cell r="AY214">
            <v>0</v>
          </cell>
          <cell r="AZ214">
            <v>2.12771515785801</v>
          </cell>
          <cell r="BA214">
            <v>186.18436420722099</v>
          </cell>
          <cell r="BB214">
            <v>75</v>
          </cell>
          <cell r="BC214">
            <v>7757.6818419675501</v>
          </cell>
          <cell r="BD214">
            <v>1.9339999999999999</v>
          </cell>
          <cell r="BE214">
            <v>0.193544217687075</v>
          </cell>
          <cell r="BF214">
            <v>1.7094017094017099E-4</v>
          </cell>
          <cell r="BG214">
            <v>0</v>
          </cell>
          <cell r="BH214">
            <v>22.2286</v>
          </cell>
          <cell r="BI214">
            <v>4.5664333333333298</v>
          </cell>
        </row>
        <row r="215">
          <cell r="A215" t="str">
            <v>Hanffaser zw. Holz-I-Träger mit Holz+PE</v>
          </cell>
          <cell r="B215" t="str">
            <v>m³</v>
          </cell>
          <cell r="C215">
            <v>13</v>
          </cell>
          <cell r="D215" t="str">
            <v>E4-C-01b2-VorgF_Ho-PE-Hanf</v>
          </cell>
          <cell r="E215">
            <v>3.3333333333333299</v>
          </cell>
          <cell r="F215">
            <v>3.7325363757115602</v>
          </cell>
          <cell r="G215">
            <v>50</v>
          </cell>
          <cell r="H215">
            <v>144.24700000000001</v>
          </cell>
          <cell r="I215">
            <v>0.266666666666667</v>
          </cell>
          <cell r="J215">
            <v>0.66666666666666696</v>
          </cell>
          <cell r="K215">
            <v>0</v>
          </cell>
          <cell r="L215">
            <v>0</v>
          </cell>
          <cell r="M215">
            <v>145.18033333333301</v>
          </cell>
          <cell r="N215">
            <v>-77.228298953541696</v>
          </cell>
          <cell r="O215">
            <v>-206.50299114081801</v>
          </cell>
          <cell r="P215">
            <v>129.274692187276</v>
          </cell>
          <cell r="Q215">
            <v>0.45235022916458001</v>
          </cell>
          <cell r="R215">
            <v>2583.3275490138799</v>
          </cell>
          <cell r="S215">
            <v>2453.6702895626299</v>
          </cell>
          <cell r="T215">
            <v>7.3741071481831205E-2</v>
          </cell>
          <cell r="U215">
            <v>0.17963055486290799</v>
          </cell>
          <cell r="V215">
            <v>1.0788999985626701E-5</v>
          </cell>
          <cell r="W215">
            <v>123.661219460872</v>
          </cell>
          <cell r="X215">
            <v>0.42262990306617998</v>
          </cell>
          <cell r="Y215">
            <v>2473.3644682793401</v>
          </cell>
          <cell r="Z215">
            <v>2038.8940534283299</v>
          </cell>
          <cell r="AA215">
            <v>6.5364283242814805E-2</v>
          </cell>
          <cell r="AB215">
            <v>0.167958652012834</v>
          </cell>
          <cell r="AC215">
            <v>1.03402338613189E-5</v>
          </cell>
          <cell r="AD215">
            <v>0</v>
          </cell>
          <cell r="AE215">
            <v>0</v>
          </cell>
          <cell r="AF215">
            <v>0</v>
          </cell>
          <cell r="AG215">
            <v>0</v>
          </cell>
          <cell r="AH215">
            <v>0.113087557291145</v>
          </cell>
          <cell r="AI215">
            <v>645.83188725346895</v>
          </cell>
          <cell r="AJ215">
            <v>1.0803575789290101</v>
          </cell>
          <cell r="AK215">
            <v>94.3221821036107</v>
          </cell>
          <cell r="AL215">
            <v>75</v>
          </cell>
          <cell r="AM215">
            <v>3929.7575876504402</v>
          </cell>
          <cell r="AN215">
            <v>144.24700000000001</v>
          </cell>
          <cell r="AO215">
            <v>0.266666666666667</v>
          </cell>
          <cell r="AP215">
            <v>8.5470085470085497E-5</v>
          </cell>
          <cell r="AQ215">
            <v>0.1</v>
          </cell>
          <cell r="AR215">
            <v>1.0473575789290099</v>
          </cell>
          <cell r="AS215">
            <v>91.862182103610706</v>
          </cell>
          <cell r="AT215">
            <v>75</v>
          </cell>
          <cell r="AU215">
            <v>3827.2575876504402</v>
          </cell>
          <cell r="AV215">
            <v>0</v>
          </cell>
          <cell r="AW215">
            <v>1.0472721088435399</v>
          </cell>
          <cell r="AX215">
            <v>8.5470085470085497E-5</v>
          </cell>
          <cell r="AY215">
            <v>0.1</v>
          </cell>
          <cell r="AZ215">
            <v>2.12771515785801</v>
          </cell>
          <cell r="BA215">
            <v>186.18436420722099</v>
          </cell>
          <cell r="BB215">
            <v>75</v>
          </cell>
          <cell r="BC215">
            <v>7757.3485086342198</v>
          </cell>
          <cell r="BD215">
            <v>0</v>
          </cell>
          <cell r="BE215">
            <v>2.12754421768707</v>
          </cell>
          <cell r="BF215">
            <v>1.7094017094017099E-4</v>
          </cell>
          <cell r="BG215">
            <v>0.1</v>
          </cell>
          <cell r="BH215">
            <v>38.184100000000001</v>
          </cell>
          <cell r="BI215">
            <v>7.2256833333333299</v>
          </cell>
        </row>
        <row r="216">
          <cell r="A216" t="str">
            <v>Schafwolle zw. Holz-I-Träger mit Holz+PE</v>
          </cell>
          <cell r="B216" t="str">
            <v>m³</v>
          </cell>
          <cell r="C216">
            <v>14</v>
          </cell>
          <cell r="D216" t="str">
            <v>E4-C-01b2-VorgF_Ho-PE-Schafw</v>
          </cell>
          <cell r="E216">
            <v>3.3333333333333299</v>
          </cell>
          <cell r="F216">
            <v>-24.464235582278501</v>
          </cell>
          <cell r="G216">
            <v>50</v>
          </cell>
          <cell r="H216">
            <v>91.061999999999998</v>
          </cell>
          <cell r="I216">
            <v>0.266666666666667</v>
          </cell>
          <cell r="J216">
            <v>0.66666666666666696</v>
          </cell>
          <cell r="K216">
            <v>0</v>
          </cell>
          <cell r="L216">
            <v>0</v>
          </cell>
          <cell r="M216">
            <v>91.995333333333306</v>
          </cell>
          <cell r="N216">
            <v>-68.004702162880406</v>
          </cell>
          <cell r="O216">
            <v>-142.300280403682</v>
          </cell>
          <cell r="P216">
            <v>74.295578240801703</v>
          </cell>
          <cell r="Q216">
            <v>0.182035901312318</v>
          </cell>
          <cell r="R216">
            <v>798.78968067061805</v>
          </cell>
          <cell r="S216">
            <v>1170.7858326355399</v>
          </cell>
          <cell r="T216">
            <v>4.6798486888765201E-2</v>
          </cell>
          <cell r="U216">
            <v>7.2849880990844995E-2</v>
          </cell>
          <cell r="V216">
            <v>4.8067720366958097E-6</v>
          </cell>
          <cell r="W216">
            <v>68.682105514396994</v>
          </cell>
          <cell r="X216">
            <v>0.152315575213918</v>
          </cell>
          <cell r="Y216">
            <v>688.82659993608297</v>
          </cell>
          <cell r="Z216">
            <v>756.00959650124105</v>
          </cell>
          <cell r="AA216">
            <v>3.8421698649748801E-2</v>
          </cell>
          <cell r="AB216">
            <v>6.1177978140771298E-2</v>
          </cell>
          <cell r="AC216">
            <v>4.3580059123879503E-6</v>
          </cell>
          <cell r="AD216">
            <v>0</v>
          </cell>
          <cell r="AE216">
            <v>0</v>
          </cell>
          <cell r="AF216">
            <v>0</v>
          </cell>
          <cell r="AG216">
            <v>0</v>
          </cell>
          <cell r="AH216">
            <v>4.5508975328079501E-2</v>
          </cell>
          <cell r="AI216">
            <v>199.697420167654</v>
          </cell>
          <cell r="AJ216">
            <v>1.0803575789290101</v>
          </cell>
          <cell r="AK216">
            <v>94.3221821036107</v>
          </cell>
          <cell r="AL216">
            <v>75</v>
          </cell>
          <cell r="AM216">
            <v>3929.7575876504402</v>
          </cell>
          <cell r="AN216">
            <v>91.061999999999998</v>
          </cell>
          <cell r="AO216">
            <v>0.266666666666667</v>
          </cell>
          <cell r="AP216">
            <v>8.5470085470085497E-5</v>
          </cell>
          <cell r="AQ216">
            <v>0.1</v>
          </cell>
          <cell r="AR216">
            <v>1.0473575789290099</v>
          </cell>
          <cell r="AS216">
            <v>91.862182103610706</v>
          </cell>
          <cell r="AT216">
            <v>75</v>
          </cell>
          <cell r="AU216">
            <v>3827.2575876504402</v>
          </cell>
          <cell r="AV216">
            <v>0</v>
          </cell>
          <cell r="AW216">
            <v>1.0472721088435399</v>
          </cell>
          <cell r="AX216">
            <v>8.5470085470085497E-5</v>
          </cell>
          <cell r="AY216">
            <v>0.1</v>
          </cell>
          <cell r="AZ216">
            <v>2.12771515785801</v>
          </cell>
          <cell r="BA216">
            <v>186.18436420722099</v>
          </cell>
          <cell r="BB216">
            <v>75</v>
          </cell>
          <cell r="BC216">
            <v>7757.3485086342198</v>
          </cell>
          <cell r="BD216">
            <v>0</v>
          </cell>
          <cell r="BE216">
            <v>2.12754421768707</v>
          </cell>
          <cell r="BF216">
            <v>1.7094017094017099E-4</v>
          </cell>
          <cell r="BG216">
            <v>0.1</v>
          </cell>
          <cell r="BH216">
            <v>22.2286</v>
          </cell>
          <cell r="BI216">
            <v>4.5664333333333298</v>
          </cell>
        </row>
        <row r="217">
          <cell r="A217" t="str">
            <v>Zellulose zw. Holz-I-Träger mit Holz+PE</v>
          </cell>
          <cell r="B217" t="str">
            <v>m³</v>
          </cell>
          <cell r="C217">
            <v>15</v>
          </cell>
          <cell r="D217" t="str">
            <v>E4-C-01b2-VorgF_Ho-PE-Zell</v>
          </cell>
          <cell r="E217">
            <v>3.3333333333333299</v>
          </cell>
          <cell r="F217">
            <v>-26.885311112223299</v>
          </cell>
          <cell r="G217">
            <v>50</v>
          </cell>
          <cell r="H217">
            <v>115.23699999999999</v>
          </cell>
          <cell r="I217">
            <v>0.266666666666667</v>
          </cell>
          <cell r="J217">
            <v>0.66666666666666696</v>
          </cell>
          <cell r="K217">
            <v>0</v>
          </cell>
          <cell r="L217">
            <v>0</v>
          </cell>
          <cell r="M217">
            <v>116.17033333333301</v>
          </cell>
          <cell r="N217">
            <v>-130.645185981145</v>
          </cell>
          <cell r="O217">
            <v>-172.542995347622</v>
          </cell>
          <cell r="P217">
            <v>41.897809366478</v>
          </cell>
          <cell r="Q217">
            <v>0.24747489287128199</v>
          </cell>
          <cell r="R217">
            <v>608.12858053159505</v>
          </cell>
          <cell r="S217">
            <v>1229.6129735004099</v>
          </cell>
          <cell r="T217">
            <v>4.1409514829755703E-2</v>
          </cell>
          <cell r="U217">
            <v>9.9414999051673794E-2</v>
          </cell>
          <cell r="V217">
            <v>3.2278672115041398E-6</v>
          </cell>
          <cell r="W217">
            <v>36.284336640073299</v>
          </cell>
          <cell r="X217">
            <v>0.21775456677288199</v>
          </cell>
          <cell r="Y217">
            <v>498.16549979706002</v>
          </cell>
          <cell r="Z217">
            <v>814.83673736611297</v>
          </cell>
          <cell r="AA217">
            <v>3.3032726590739303E-2</v>
          </cell>
          <cell r="AB217">
            <v>8.7743096201600104E-2</v>
          </cell>
          <cell r="AC217">
            <v>2.77910108719628E-6</v>
          </cell>
          <cell r="AD217">
            <v>0</v>
          </cell>
          <cell r="AE217">
            <v>0</v>
          </cell>
          <cell r="AF217">
            <v>0</v>
          </cell>
          <cell r="AG217">
            <v>0</v>
          </cell>
          <cell r="AH217">
            <v>6.1868723217820498E-2</v>
          </cell>
          <cell r="AI217">
            <v>152.03214513289899</v>
          </cell>
          <cell r="AJ217">
            <v>1.0803575789290101</v>
          </cell>
          <cell r="AK217">
            <v>94.3221821036107</v>
          </cell>
          <cell r="AL217">
            <v>75</v>
          </cell>
          <cell r="AM217">
            <v>3929.7575876504402</v>
          </cell>
          <cell r="AN217">
            <v>115.23699999999999</v>
          </cell>
          <cell r="AO217">
            <v>0.266666666666667</v>
          </cell>
          <cell r="AP217">
            <v>8.5470085470085497E-5</v>
          </cell>
          <cell r="AQ217">
            <v>0.1</v>
          </cell>
          <cell r="AR217">
            <v>1.0473575789290099</v>
          </cell>
          <cell r="AS217">
            <v>91.862182103610706</v>
          </cell>
          <cell r="AT217">
            <v>75</v>
          </cell>
          <cell r="AU217">
            <v>3827.2575876504402</v>
          </cell>
          <cell r="AV217">
            <v>0</v>
          </cell>
          <cell r="AW217">
            <v>1.0472721088435399</v>
          </cell>
          <cell r="AX217">
            <v>8.5470085470085497E-5</v>
          </cell>
          <cell r="AY217">
            <v>0.1</v>
          </cell>
          <cell r="AZ217">
            <v>2.12771515785801</v>
          </cell>
          <cell r="BA217">
            <v>186.18436420722099</v>
          </cell>
          <cell r="BB217">
            <v>75</v>
          </cell>
          <cell r="BC217">
            <v>7757.3485086342198</v>
          </cell>
          <cell r="BD217">
            <v>0</v>
          </cell>
          <cell r="BE217">
            <v>2.12754421768707</v>
          </cell>
          <cell r="BF217">
            <v>1.7094017094017099E-4</v>
          </cell>
          <cell r="BG217">
            <v>0.1</v>
          </cell>
          <cell r="BH217">
            <v>29.481100000000001</v>
          </cell>
          <cell r="BI217">
            <v>5.77518333333333</v>
          </cell>
        </row>
        <row r="218">
          <cell r="A218" t="str">
            <v>Steinwolle zw. Metallträger</v>
          </cell>
          <cell r="B218" t="str">
            <v>m³</v>
          </cell>
        </row>
        <row r="219">
          <cell r="A219" t="str">
            <v>Hanffaser zw. Metallträger</v>
          </cell>
          <cell r="B219" t="str">
            <v>m³</v>
          </cell>
        </row>
        <row r="220">
          <cell r="A220" t="str">
            <v>Schafwolle zw. Metallträger</v>
          </cell>
          <cell r="B220" t="str">
            <v>m³</v>
          </cell>
        </row>
        <row r="221">
          <cell r="A221" t="str">
            <v>Zellulose zw. Metallträger</v>
          </cell>
          <cell r="B221" t="str">
            <v>m³</v>
          </cell>
        </row>
        <row r="222">
          <cell r="A222" t="str">
            <v>Eigene Fassadendämmung zw. Träger</v>
          </cell>
          <cell r="B222" t="str">
            <v>m³</v>
          </cell>
        </row>
        <row r="223">
          <cell r="A223" t="str">
            <v>Bitte auswählen</v>
          </cell>
        </row>
        <row r="224">
          <cell r="A224" t="str">
            <v>XPS-Sockeldämmung</v>
          </cell>
          <cell r="B224" t="str">
            <v>m³</v>
          </cell>
          <cell r="C224">
            <v>1</v>
          </cell>
          <cell r="D224" t="str">
            <v>E4-C-04-Sockel-XPS</v>
          </cell>
          <cell r="E224">
            <v>3.3333333333333299</v>
          </cell>
          <cell r="F224">
            <v>38.704460161273303</v>
          </cell>
          <cell r="G224">
            <v>35</v>
          </cell>
          <cell r="H224">
            <v>0</v>
          </cell>
          <cell r="I224">
            <v>0</v>
          </cell>
          <cell r="J224">
            <v>38</v>
          </cell>
          <cell r="K224">
            <v>0</v>
          </cell>
          <cell r="L224">
            <v>45.3333333333333</v>
          </cell>
          <cell r="M224">
            <v>83.3333333333333</v>
          </cell>
          <cell r="N224">
            <v>180.17279478300401</v>
          </cell>
          <cell r="O224">
            <v>-2.55376299669943E-2</v>
          </cell>
          <cell r="P224">
            <v>180.19833241297101</v>
          </cell>
          <cell r="Q224">
            <v>0.67649117397221903</v>
          </cell>
          <cell r="R224">
            <v>3896.9506796567698</v>
          </cell>
          <cell r="S224">
            <v>46.709546227926303</v>
          </cell>
          <cell r="T224">
            <v>0.32064998177315301</v>
          </cell>
          <cell r="U224">
            <v>0.12814896168895601</v>
          </cell>
          <cell r="V224">
            <v>3.9954312087906303E-6</v>
          </cell>
          <cell r="W224">
            <v>180.19833241297101</v>
          </cell>
          <cell r="X224">
            <v>0.67649117397221903</v>
          </cell>
          <cell r="Y224">
            <v>3896.9506796567698</v>
          </cell>
          <cell r="Z224">
            <v>46.709546227926303</v>
          </cell>
          <cell r="AA224">
            <v>0.32064998177315301</v>
          </cell>
          <cell r="AB224">
            <v>0.12814896168895601</v>
          </cell>
          <cell r="AC224">
            <v>3.9954312087906303E-6</v>
          </cell>
          <cell r="AD224">
            <v>0</v>
          </cell>
          <cell r="AE224">
            <v>0</v>
          </cell>
          <cell r="AF224">
            <v>0</v>
          </cell>
          <cell r="AG224">
            <v>0</v>
          </cell>
          <cell r="AH224">
            <v>0.16912279349305501</v>
          </cell>
          <cell r="AI224">
            <v>974.237669914192</v>
          </cell>
          <cell r="AJ224">
            <v>1.032</v>
          </cell>
          <cell r="AK224">
            <v>92.28</v>
          </cell>
          <cell r="AL224">
            <v>50</v>
          </cell>
          <cell r="AM224">
            <v>3844.6666666666702</v>
          </cell>
          <cell r="AN224">
            <v>0</v>
          </cell>
          <cell r="AO224">
            <v>0</v>
          </cell>
          <cell r="AP224">
            <v>38</v>
          </cell>
          <cell r="AQ224">
            <v>0.1</v>
          </cell>
          <cell r="AR224">
            <v>1.032</v>
          </cell>
          <cell r="AS224">
            <v>92.28</v>
          </cell>
          <cell r="AT224">
            <v>50</v>
          </cell>
          <cell r="AU224">
            <v>3844.6666666666702</v>
          </cell>
          <cell r="AV224">
            <v>3.2000000000000001E-2</v>
          </cell>
          <cell r="AW224">
            <v>1</v>
          </cell>
          <cell r="AX224">
            <v>0</v>
          </cell>
          <cell r="AY224">
            <v>0.1</v>
          </cell>
          <cell r="AZ224">
            <v>2.0640000000000001</v>
          </cell>
          <cell r="BA224">
            <v>184.56</v>
          </cell>
          <cell r="BB224">
            <v>50</v>
          </cell>
          <cell r="BC224">
            <v>7689.6666666666697</v>
          </cell>
          <cell r="BD224">
            <v>6.4000000000000001E-2</v>
          </cell>
          <cell r="BE224">
            <v>2</v>
          </cell>
          <cell r="BF224">
            <v>0</v>
          </cell>
          <cell r="BG224">
            <v>0.1</v>
          </cell>
          <cell r="BH224">
            <v>21.4</v>
          </cell>
          <cell r="BI224">
            <v>4.1666666666666696</v>
          </cell>
        </row>
        <row r="225">
          <cell r="A225" t="str">
            <v>Eigene Sockeldämmung</v>
          </cell>
          <cell r="B225" t="str">
            <v>m³</v>
          </cell>
        </row>
        <row r="226">
          <cell r="A226" t="str">
            <v>Bitte auswählen</v>
          </cell>
        </row>
        <row r="227">
          <cell r="A227" t="str">
            <v>XPS-Perimeterdämmung</v>
          </cell>
          <cell r="B227" t="str">
            <v>m³</v>
          </cell>
          <cell r="C227">
            <v>2</v>
          </cell>
          <cell r="D227" t="str">
            <v>E4-C-04-Peri-XPS</v>
          </cell>
          <cell r="E227">
            <v>3.3333333333333299</v>
          </cell>
          <cell r="F227">
            <v>42.999153560569297</v>
          </cell>
          <cell r="G227">
            <v>35</v>
          </cell>
          <cell r="H227">
            <v>0</v>
          </cell>
          <cell r="I227">
            <v>0</v>
          </cell>
          <cell r="J227">
            <v>46.466666666666697</v>
          </cell>
          <cell r="K227">
            <v>0</v>
          </cell>
          <cell r="L227">
            <v>0</v>
          </cell>
          <cell r="M227">
            <v>46.466666666666697</v>
          </cell>
          <cell r="N227">
            <v>187.85282388492701</v>
          </cell>
          <cell r="O227">
            <v>-9.8757150333334803E-3</v>
          </cell>
          <cell r="P227">
            <v>187.86269959996</v>
          </cell>
          <cell r="Q227">
            <v>0.68133185999384005</v>
          </cell>
          <cell r="R227">
            <v>4268.6571299902698</v>
          </cell>
          <cell r="S227">
            <v>39.064622231709002</v>
          </cell>
          <cell r="T227">
            <v>0.33405159192757999</v>
          </cell>
          <cell r="U227">
            <v>0.106832357420501</v>
          </cell>
          <cell r="V227">
            <v>2.6013716103006001E-6</v>
          </cell>
          <cell r="W227">
            <v>187.86269959996</v>
          </cell>
          <cell r="X227">
            <v>0.68133185999384005</v>
          </cell>
          <cell r="Y227">
            <v>4268.6571299902698</v>
          </cell>
          <cell r="Z227">
            <v>39.064622231709002</v>
          </cell>
          <cell r="AA227">
            <v>0.33405159192757999</v>
          </cell>
          <cell r="AB227">
            <v>0.106832357420501</v>
          </cell>
          <cell r="AC227">
            <v>2.6013716103006001E-6</v>
          </cell>
          <cell r="AD227">
            <v>0</v>
          </cell>
          <cell r="AE227">
            <v>0</v>
          </cell>
          <cell r="AF227">
            <v>0</v>
          </cell>
          <cell r="AG227">
            <v>0</v>
          </cell>
          <cell r="AH227">
            <v>0.17033296499846001</v>
          </cell>
          <cell r="AI227">
            <v>1067.16428249757</v>
          </cell>
          <cell r="AJ227">
            <v>1.2674444444444399</v>
          </cell>
          <cell r="AK227">
            <v>114.07</v>
          </cell>
          <cell r="AL227">
            <v>37.5</v>
          </cell>
          <cell r="AM227">
            <v>4752.5833333333303</v>
          </cell>
          <cell r="AN227">
            <v>0</v>
          </cell>
          <cell r="AO227">
            <v>0</v>
          </cell>
          <cell r="AP227">
            <v>46.466666666666697</v>
          </cell>
          <cell r="AQ227">
            <v>0.1</v>
          </cell>
          <cell r="AR227">
            <v>1.2674444444444399</v>
          </cell>
          <cell r="AS227">
            <v>114.07</v>
          </cell>
          <cell r="AT227">
            <v>37.5</v>
          </cell>
          <cell r="AU227">
            <v>4752.5833333333303</v>
          </cell>
          <cell r="AV227">
            <v>0</v>
          </cell>
          <cell r="AW227">
            <v>1.2674444444444399</v>
          </cell>
          <cell r="AX227">
            <v>0</v>
          </cell>
          <cell r="AY227">
            <v>0.1</v>
          </cell>
          <cell r="AZ227">
            <v>2.5348888888888901</v>
          </cell>
          <cell r="BA227">
            <v>228.14</v>
          </cell>
          <cell r="BB227">
            <v>37.5</v>
          </cell>
          <cell r="BC227">
            <v>9505.5</v>
          </cell>
          <cell r="BD227">
            <v>0</v>
          </cell>
          <cell r="BE227">
            <v>2.5348888888888901</v>
          </cell>
          <cell r="BF227">
            <v>0</v>
          </cell>
          <cell r="BG227">
            <v>0.1</v>
          </cell>
          <cell r="BH227">
            <v>13.94</v>
          </cell>
          <cell r="BI227">
            <v>2.3233333333333301</v>
          </cell>
        </row>
        <row r="228">
          <cell r="A228" t="str">
            <v>Eigene Perimeterdämmung</v>
          </cell>
          <cell r="B228" t="str">
            <v>m³</v>
          </cell>
        </row>
        <row r="229">
          <cell r="A229" t="str">
            <v>Bitte auswählen</v>
          </cell>
        </row>
        <row r="230">
          <cell r="A230" t="str">
            <v>Massivparkett verklebt</v>
          </cell>
          <cell r="B230" t="str">
            <v>m²</v>
          </cell>
          <cell r="C230">
            <v>1</v>
          </cell>
          <cell r="D230" t="str">
            <v>E4-D-01_BB-Parkett</v>
          </cell>
          <cell r="E230">
            <v>1</v>
          </cell>
          <cell r="F230">
            <v>-24.546832328679901</v>
          </cell>
          <cell r="G230">
            <v>25</v>
          </cell>
          <cell r="H230">
            <v>7.45</v>
          </cell>
          <cell r="I230">
            <v>1</v>
          </cell>
          <cell r="J230">
            <v>0</v>
          </cell>
          <cell r="K230">
            <v>0</v>
          </cell>
          <cell r="L230">
            <v>0</v>
          </cell>
          <cell r="M230">
            <v>8.4499999999999993</v>
          </cell>
          <cell r="N230">
            <v>1.85887632720944</v>
          </cell>
          <cell r="O230">
            <v>-6.0772212083180204</v>
          </cell>
          <cell r="P230">
            <v>7.9360975355274599</v>
          </cell>
          <cell r="Q230">
            <v>4.3095810165900097E-2</v>
          </cell>
          <cell r="R230">
            <v>171.91740783995499</v>
          </cell>
          <cell r="S230">
            <v>189.84927609122499</v>
          </cell>
          <cell r="T230">
            <v>6.96360506780029E-3</v>
          </cell>
          <cell r="U230">
            <v>1.8062191646361001E-2</v>
          </cell>
          <cell r="V230">
            <v>5.68591040565727E-7</v>
          </cell>
          <cell r="W230">
            <v>23.808292606582398</v>
          </cell>
          <cell r="X230">
            <v>0.1292874304977</v>
          </cell>
          <cell r="Y230">
            <v>515.75222351986497</v>
          </cell>
          <cell r="Z230">
            <v>569.54782827367399</v>
          </cell>
          <cell r="AA230">
            <v>2.08908152034009E-2</v>
          </cell>
          <cell r="AB230">
            <v>5.4186574939083E-2</v>
          </cell>
          <cell r="AC230">
            <v>1.70577312169718E-6</v>
          </cell>
          <cell r="AD230">
            <v>0</v>
          </cell>
          <cell r="AE230">
            <v>0</v>
          </cell>
          <cell r="AF230">
            <v>0</v>
          </cell>
          <cell r="AG230">
            <v>0</v>
          </cell>
          <cell r="AH230">
            <v>1.0773952541475E-2</v>
          </cell>
          <cell r="AI230">
            <v>42.979351959988797</v>
          </cell>
          <cell r="AJ230">
            <v>1.0999999999999999E-2</v>
          </cell>
          <cell r="AK230">
            <v>3.3</v>
          </cell>
          <cell r="AL230">
            <v>25</v>
          </cell>
          <cell r="AM230">
            <v>41.15</v>
          </cell>
          <cell r="AN230">
            <v>7.45</v>
          </cell>
          <cell r="AO230">
            <v>0</v>
          </cell>
          <cell r="AP230">
            <v>0</v>
          </cell>
          <cell r="AQ230">
            <v>0.1</v>
          </cell>
          <cell r="AR230">
            <v>3.3000000000000002E-2</v>
          </cell>
          <cell r="AS230">
            <v>9.9</v>
          </cell>
          <cell r="AT230">
            <v>25</v>
          </cell>
          <cell r="AU230">
            <v>123.65</v>
          </cell>
          <cell r="AV230">
            <v>0</v>
          </cell>
          <cell r="AW230">
            <v>3.3000000000000002E-2</v>
          </cell>
          <cell r="AX230">
            <v>0</v>
          </cell>
          <cell r="AY230">
            <v>0.1</v>
          </cell>
          <cell r="AZ230">
            <v>4.3999999999999997E-2</v>
          </cell>
          <cell r="BA230">
            <v>13.2</v>
          </cell>
          <cell r="BB230">
            <v>25</v>
          </cell>
          <cell r="BC230">
            <v>164.9</v>
          </cell>
          <cell r="BD230">
            <v>0</v>
          </cell>
          <cell r="BE230">
            <v>4.3999999999999997E-2</v>
          </cell>
          <cell r="BF230">
            <v>0</v>
          </cell>
          <cell r="BG230">
            <v>0.1</v>
          </cell>
          <cell r="BH230">
            <v>2.5350000000000001</v>
          </cell>
          <cell r="BI230">
            <v>0.42249999999999999</v>
          </cell>
        </row>
        <row r="231">
          <cell r="A231" t="str">
            <v>Fliesen verklebt</v>
          </cell>
          <cell r="B231" t="str">
            <v>m²</v>
          </cell>
          <cell r="C231">
            <v>2</v>
          </cell>
          <cell r="D231" t="str">
            <v>E4-D-01_BB-Fliesen</v>
          </cell>
          <cell r="E231">
            <v>1</v>
          </cell>
          <cell r="F231">
            <v>-20.3213517928817</v>
          </cell>
          <cell r="G231">
            <v>25</v>
          </cell>
          <cell r="H231">
            <v>0</v>
          </cell>
          <cell r="I231">
            <v>0</v>
          </cell>
          <cell r="J231">
            <v>0</v>
          </cell>
          <cell r="K231">
            <v>0</v>
          </cell>
          <cell r="L231">
            <v>17.2</v>
          </cell>
          <cell r="M231">
            <v>17.2</v>
          </cell>
          <cell r="N231">
            <v>13.2712709389089</v>
          </cell>
          <cell r="O231">
            <v>-2.8525131959900003E-4</v>
          </cell>
          <cell r="P231">
            <v>13.2715561902285</v>
          </cell>
          <cell r="Q231">
            <v>4.71280524513163E-2</v>
          </cell>
          <cell r="R231">
            <v>225.490881713741</v>
          </cell>
          <cell r="S231">
            <v>11.984014119342801</v>
          </cell>
          <cell r="T231">
            <v>4.27088975698679E-3</v>
          </cell>
          <cell r="U231">
            <v>2.0034538029860199E-2</v>
          </cell>
          <cell r="V231">
            <v>1.35182034126153E-6</v>
          </cell>
          <cell r="W231">
            <v>39.814668570685399</v>
          </cell>
          <cell r="X231">
            <v>0.14138415735394899</v>
          </cell>
          <cell r="Y231">
            <v>676.47264514122196</v>
          </cell>
          <cell r="Z231">
            <v>35.9520423580285</v>
          </cell>
          <cell r="AA231">
            <v>1.28126692709604E-2</v>
          </cell>
          <cell r="AB231">
            <v>6.01036140895806E-2</v>
          </cell>
          <cell r="AC231">
            <v>4.0554610237845797E-6</v>
          </cell>
          <cell r="AD231">
            <v>0</v>
          </cell>
          <cell r="AE231">
            <v>0</v>
          </cell>
          <cell r="AF231">
            <v>0</v>
          </cell>
          <cell r="AG231">
            <v>0</v>
          </cell>
          <cell r="AH231">
            <v>1.1782013112829099E-2</v>
          </cell>
          <cell r="AI231">
            <v>56.372720428435201</v>
          </cell>
          <cell r="AJ231">
            <v>8.7460317460317499E-3</v>
          </cell>
          <cell r="AK231">
            <v>8.3571428571428594</v>
          </cell>
          <cell r="AL231">
            <v>37.5</v>
          </cell>
          <cell r="AM231">
            <v>104.46428571428601</v>
          </cell>
          <cell r="AN231">
            <v>0</v>
          </cell>
          <cell r="AO231">
            <v>0</v>
          </cell>
          <cell r="AP231">
            <v>0</v>
          </cell>
          <cell r="AQ231">
            <v>0</v>
          </cell>
          <cell r="AR231">
            <v>2.6238095238095199E-2</v>
          </cell>
          <cell r="AS231">
            <v>25.071428571428601</v>
          </cell>
          <cell r="AT231">
            <v>37.5</v>
          </cell>
          <cell r="AU231">
            <v>313.29285714285697</v>
          </cell>
          <cell r="AV231">
            <v>2.5666666666666699E-2</v>
          </cell>
          <cell r="AW231">
            <v>5.7142857142857104E-4</v>
          </cell>
          <cell r="AX231">
            <v>0</v>
          </cell>
          <cell r="AY231">
            <v>0.1</v>
          </cell>
          <cell r="AZ231">
            <v>3.4984126984126999E-2</v>
          </cell>
          <cell r="BA231">
            <v>33.428571428571402</v>
          </cell>
          <cell r="BB231">
            <v>37.5</v>
          </cell>
          <cell r="BC231">
            <v>417.75714285714298</v>
          </cell>
          <cell r="BD231">
            <v>3.4222222222222203E-2</v>
          </cell>
          <cell r="BE231">
            <v>7.6190476190476203E-4</v>
          </cell>
          <cell r="BF231">
            <v>0</v>
          </cell>
          <cell r="BG231">
            <v>0.1</v>
          </cell>
          <cell r="BH231">
            <v>16.5</v>
          </cell>
          <cell r="BI231">
            <v>0.86</v>
          </cell>
        </row>
        <row r="232">
          <cell r="A232" t="str">
            <v>Schiffboden</v>
          </cell>
          <cell r="B232" t="str">
            <v>m²</v>
          </cell>
          <cell r="C232">
            <v>3</v>
          </cell>
          <cell r="D232" t="str">
            <v>E4-D-01_BB-Schiffb</v>
          </cell>
          <cell r="E232">
            <v>1</v>
          </cell>
          <cell r="F232">
            <v>-35.643434707509499</v>
          </cell>
          <cell r="G232">
            <v>35</v>
          </cell>
          <cell r="H232">
            <v>12.4</v>
          </cell>
          <cell r="I232">
            <v>0</v>
          </cell>
          <cell r="J232">
            <v>0</v>
          </cell>
          <cell r="K232">
            <v>0</v>
          </cell>
          <cell r="L232">
            <v>0</v>
          </cell>
          <cell r="M232">
            <v>12.4</v>
          </cell>
          <cell r="N232">
            <v>-18.549105159175301</v>
          </cell>
          <cell r="O232">
            <v>-21.332335432434999</v>
          </cell>
          <cell r="P232">
            <v>2.7832302732596599</v>
          </cell>
          <cell r="Q232">
            <v>1.6674516325446101E-2</v>
          </cell>
          <cell r="R232">
            <v>46.744419268806602</v>
          </cell>
          <cell r="S232">
            <v>273.71824628590201</v>
          </cell>
          <cell r="T232">
            <v>6.58651575219657E-3</v>
          </cell>
          <cell r="U232">
            <v>7.5435268037710402E-3</v>
          </cell>
          <cell r="V232">
            <v>2.2733831268616801E-7</v>
          </cell>
          <cell r="W232">
            <v>5.5664605465193198</v>
          </cell>
          <cell r="X232">
            <v>3.3349032650892299E-2</v>
          </cell>
          <cell r="Y232">
            <v>93.488838537613205</v>
          </cell>
          <cell r="Z232">
            <v>547.43649257180402</v>
          </cell>
          <cell r="AA232">
            <v>1.31730315043931E-2</v>
          </cell>
          <cell r="AB232">
            <v>1.50870536075421E-2</v>
          </cell>
          <cell r="AC232">
            <v>4.5467662537233602E-7</v>
          </cell>
          <cell r="AD232">
            <v>0</v>
          </cell>
          <cell r="AE232">
            <v>0</v>
          </cell>
          <cell r="AF232">
            <v>0</v>
          </cell>
          <cell r="AG232">
            <v>0</v>
          </cell>
          <cell r="AH232">
            <v>4.1686290813615296E-3</v>
          </cell>
          <cell r="AI232">
            <v>11.686104817201601</v>
          </cell>
          <cell r="AJ232">
            <v>0.02</v>
          </cell>
          <cell r="AK232">
            <v>4</v>
          </cell>
          <cell r="AL232">
            <v>12.5</v>
          </cell>
          <cell r="AM232">
            <v>49.9</v>
          </cell>
          <cell r="AN232">
            <v>12.4</v>
          </cell>
          <cell r="AO232">
            <v>0</v>
          </cell>
          <cell r="AP232">
            <v>0</v>
          </cell>
          <cell r="AQ232">
            <v>0.1</v>
          </cell>
          <cell r="AR232">
            <v>3.7142857142857102E-2</v>
          </cell>
          <cell r="AS232">
            <v>7.4285714285714297</v>
          </cell>
          <cell r="AT232">
            <v>12.5</v>
          </cell>
          <cell r="AU232">
            <v>92.857142857142904</v>
          </cell>
          <cell r="AV232">
            <v>0</v>
          </cell>
          <cell r="AW232">
            <v>0</v>
          </cell>
          <cell r="AX232">
            <v>0</v>
          </cell>
          <cell r="AY232">
            <v>0</v>
          </cell>
          <cell r="AZ232">
            <v>5.7142857142857099E-2</v>
          </cell>
          <cell r="BA232">
            <v>11.4285714285714</v>
          </cell>
          <cell r="BB232">
            <v>12.5</v>
          </cell>
          <cell r="BC232">
            <v>142.857142857143</v>
          </cell>
          <cell r="BD232">
            <v>0</v>
          </cell>
          <cell r="BE232">
            <v>0</v>
          </cell>
          <cell r="BF232">
            <v>0</v>
          </cell>
          <cell r="BG232">
            <v>0</v>
          </cell>
          <cell r="BH232">
            <v>2.48</v>
          </cell>
          <cell r="BI232">
            <v>0.62</v>
          </cell>
        </row>
        <row r="233">
          <cell r="A233" t="str">
            <v>Schiffboden + Polsterh + TSD Glaswolle</v>
          </cell>
          <cell r="B233" t="str">
            <v>m²</v>
          </cell>
          <cell r="C233">
            <v>4</v>
          </cell>
          <cell r="D233" t="str">
            <v>E4-D-01_BB-Schiffb-Ho-TSD-Gw</v>
          </cell>
          <cell r="E233">
            <v>1</v>
          </cell>
          <cell r="F233">
            <v>-24.0257613068399</v>
          </cell>
          <cell r="G233">
            <v>35</v>
          </cell>
          <cell r="H233">
            <v>17.399999999999999</v>
          </cell>
          <cell r="I233">
            <v>0</v>
          </cell>
          <cell r="J233">
            <v>0</v>
          </cell>
          <cell r="K233">
            <v>0</v>
          </cell>
          <cell r="L233">
            <v>2.96</v>
          </cell>
          <cell r="M233">
            <v>20.36</v>
          </cell>
          <cell r="N233">
            <v>-18.784830523322999</v>
          </cell>
          <cell r="O233">
            <v>-29.585776024730901</v>
          </cell>
          <cell r="P233">
            <v>10.800945501407901</v>
          </cell>
          <cell r="Q233">
            <v>6.6732286332854301E-2</v>
          </cell>
          <cell r="R233">
            <v>196.22216808000201</v>
          </cell>
          <cell r="S233">
            <v>385.81586218562899</v>
          </cell>
          <cell r="T233">
            <v>1.36993453643775E-2</v>
          </cell>
          <cell r="U233">
            <v>2.99728839907333E-2</v>
          </cell>
          <cell r="V233">
            <v>1.01721444976324E-6</v>
          </cell>
          <cell r="W233">
            <v>16.3674060479273</v>
          </cell>
          <cell r="X233">
            <v>0.100081318983747</v>
          </cell>
          <cell r="Y233">
            <v>289.711006617615</v>
          </cell>
          <cell r="Z233">
            <v>933.25235475743295</v>
          </cell>
          <cell r="AA233">
            <v>2.68723768687706E-2</v>
          </cell>
          <cell r="AB233">
            <v>4.5059937598275403E-2</v>
          </cell>
          <cell r="AC233">
            <v>1.4718910751355699E-6</v>
          </cell>
          <cell r="AD233">
            <v>0</v>
          </cell>
          <cell r="AE233">
            <v>0</v>
          </cell>
          <cell r="AF233">
            <v>0</v>
          </cell>
          <cell r="AG233">
            <v>0</v>
          </cell>
          <cell r="AH233">
            <v>1.66830715832136E-2</v>
          </cell>
          <cell r="AI233">
            <v>49.055542020000601</v>
          </cell>
          <cell r="AJ233">
            <v>0.1</v>
          </cell>
          <cell r="AK233">
            <v>27</v>
          </cell>
          <cell r="AL233">
            <v>50</v>
          </cell>
          <cell r="AM233">
            <v>337.4</v>
          </cell>
          <cell r="AN233">
            <v>17.399999999999999</v>
          </cell>
          <cell r="AO233">
            <v>0</v>
          </cell>
          <cell r="AP233">
            <v>0</v>
          </cell>
          <cell r="AQ233">
            <v>0.1</v>
          </cell>
          <cell r="AR233">
            <v>0.14000000000000001</v>
          </cell>
          <cell r="AS233">
            <v>35</v>
          </cell>
          <cell r="AT233">
            <v>50</v>
          </cell>
          <cell r="AU233">
            <v>437.5</v>
          </cell>
          <cell r="AV233">
            <v>7.0000000000000007E-2</v>
          </cell>
          <cell r="AW233">
            <v>0.01</v>
          </cell>
          <cell r="AX233">
            <v>0</v>
          </cell>
          <cell r="AY233">
            <v>0</v>
          </cell>
          <cell r="AZ233">
            <v>0.24</v>
          </cell>
          <cell r="BA233">
            <v>62</v>
          </cell>
          <cell r="BB233">
            <v>50</v>
          </cell>
          <cell r="BC233">
            <v>775</v>
          </cell>
          <cell r="BD233">
            <v>0.14000000000000001</v>
          </cell>
          <cell r="BE233">
            <v>0.02</v>
          </cell>
          <cell r="BF233">
            <v>0</v>
          </cell>
          <cell r="BG233">
            <v>0</v>
          </cell>
          <cell r="BH233">
            <v>4.3680000000000003</v>
          </cell>
          <cell r="BI233">
            <v>1.018</v>
          </cell>
        </row>
        <row r="234">
          <cell r="A234" t="str">
            <v>Schiffboden + Polsterh + TSD Schafwolle</v>
          </cell>
          <cell r="B234" t="str">
            <v>m²</v>
          </cell>
          <cell r="C234">
            <v>5</v>
          </cell>
          <cell r="D234" t="str">
            <v>E4-D-01_BB-Schiffb-Ho-TSD-Schaf</v>
          </cell>
          <cell r="E234">
            <v>1</v>
          </cell>
          <cell r="F234">
            <v>-30.069021651754198</v>
          </cell>
          <cell r="G234">
            <v>35</v>
          </cell>
          <cell r="H234">
            <v>23.4</v>
          </cell>
          <cell r="I234">
            <v>0</v>
          </cell>
          <cell r="J234">
            <v>0</v>
          </cell>
          <cell r="K234">
            <v>0</v>
          </cell>
          <cell r="L234">
            <v>0</v>
          </cell>
          <cell r="M234">
            <v>23.4</v>
          </cell>
          <cell r="N234">
            <v>-29.263565387981501</v>
          </cell>
          <cell r="O234">
            <v>-39.7394647986847</v>
          </cell>
          <cell r="P234">
            <v>10.4758994107032</v>
          </cell>
          <cell r="Q234">
            <v>4.5533298262190401E-2</v>
          </cell>
          <cell r="R234">
            <v>152.11398433852</v>
          </cell>
          <cell r="S234">
            <v>482.806337246552</v>
          </cell>
          <cell r="T234">
            <v>1.50536468637683E-2</v>
          </cell>
          <cell r="U234">
            <v>1.8418021220782899E-2</v>
          </cell>
          <cell r="V234">
            <v>7.0176483379922197E-7</v>
          </cell>
          <cell r="W234">
            <v>16.042359957222502</v>
          </cell>
          <cell r="X234">
            <v>7.8882330913082693E-2</v>
          </cell>
          <cell r="Y234">
            <v>245.60282287613299</v>
          </cell>
          <cell r="Z234">
            <v>1030.24282981836</v>
          </cell>
          <cell r="AA234">
            <v>2.8226678368161499E-2</v>
          </cell>
          <cell r="AB234">
            <v>3.3505074828325002E-2</v>
          </cell>
          <cell r="AC234">
            <v>1.15644145917156E-6</v>
          </cell>
          <cell r="AD234">
            <v>0</v>
          </cell>
          <cell r="AE234">
            <v>0</v>
          </cell>
          <cell r="AF234">
            <v>0</v>
          </cell>
          <cell r="AG234">
            <v>0</v>
          </cell>
          <cell r="AH234">
            <v>1.13833245655476E-2</v>
          </cell>
          <cell r="AI234">
            <v>38.0284960846299</v>
          </cell>
          <cell r="AJ234">
            <v>0.1</v>
          </cell>
          <cell r="AK234">
            <v>27</v>
          </cell>
          <cell r="AL234">
            <v>50</v>
          </cell>
          <cell r="AM234">
            <v>337.4</v>
          </cell>
          <cell r="AN234">
            <v>23.4</v>
          </cell>
          <cell r="AO234">
            <v>0</v>
          </cell>
          <cell r="AP234">
            <v>0</v>
          </cell>
          <cell r="AQ234">
            <v>0.1</v>
          </cell>
          <cell r="AR234">
            <v>0.14000000000000001</v>
          </cell>
          <cell r="AS234">
            <v>35</v>
          </cell>
          <cell r="AT234">
            <v>50</v>
          </cell>
          <cell r="AU234">
            <v>437.4</v>
          </cell>
          <cell r="AV234">
            <v>0</v>
          </cell>
          <cell r="AW234">
            <v>0.08</v>
          </cell>
          <cell r="AX234">
            <v>0</v>
          </cell>
          <cell r="AY234">
            <v>0.1</v>
          </cell>
          <cell r="AZ234">
            <v>0.24</v>
          </cell>
          <cell r="BA234">
            <v>62</v>
          </cell>
          <cell r="BB234">
            <v>50</v>
          </cell>
          <cell r="BC234">
            <v>774.9</v>
          </cell>
          <cell r="BD234">
            <v>0</v>
          </cell>
          <cell r="BE234">
            <v>0.16</v>
          </cell>
          <cell r="BF234">
            <v>0</v>
          </cell>
          <cell r="BG234">
            <v>0.1</v>
          </cell>
          <cell r="BH234">
            <v>5.28</v>
          </cell>
          <cell r="BI234">
            <v>1.17</v>
          </cell>
        </row>
        <row r="235">
          <cell r="A235" t="str">
            <v>Linoleum verklebt</v>
          </cell>
          <cell r="B235" t="str">
            <v>m²</v>
          </cell>
          <cell r="C235">
            <v>6</v>
          </cell>
          <cell r="D235" t="str">
            <v>E4-D-01_BB-Elast_Lino</v>
          </cell>
          <cell r="E235">
            <v>1</v>
          </cell>
          <cell r="F235">
            <v>-27.5475524242772</v>
          </cell>
          <cell r="G235">
            <v>25</v>
          </cell>
          <cell r="H235">
            <v>2.4</v>
          </cell>
          <cell r="I235">
            <v>1</v>
          </cell>
          <cell r="J235">
            <v>0</v>
          </cell>
          <cell r="K235">
            <v>0</v>
          </cell>
          <cell r="L235">
            <v>0</v>
          </cell>
          <cell r="M235">
            <v>3.4</v>
          </cell>
          <cell r="N235">
            <v>3.6148902758293602</v>
          </cell>
          <cell r="O235">
            <v>-2.57537338047988</v>
          </cell>
          <cell r="P235">
            <v>6.1902636563092397</v>
          </cell>
          <cell r="Q235">
            <v>3.02373541883614E-2</v>
          </cell>
          <cell r="R235">
            <v>124.54955913909301</v>
          </cell>
          <cell r="S235">
            <v>21.78213338758</v>
          </cell>
          <cell r="T235">
            <v>3.9367492507507403E-3</v>
          </cell>
          <cell r="U235">
            <v>1.34663591588364E-2</v>
          </cell>
          <cell r="V235">
            <v>7.9293539552870402E-7</v>
          </cell>
          <cell r="W235">
            <v>18.5707909689277</v>
          </cell>
          <cell r="X235">
            <v>9.0712062565084295E-2</v>
          </cell>
          <cell r="Y235">
            <v>373.64867741727801</v>
          </cell>
          <cell r="Z235">
            <v>65.346400162740096</v>
          </cell>
          <cell r="AA235">
            <v>1.1810247752252199E-2</v>
          </cell>
          <cell r="AB235">
            <v>4.0399077476509102E-2</v>
          </cell>
          <cell r="AC235">
            <v>2.3788061865861102E-6</v>
          </cell>
          <cell r="AD235">
            <v>0</v>
          </cell>
          <cell r="AE235">
            <v>0</v>
          </cell>
          <cell r="AF235">
            <v>0</v>
          </cell>
          <cell r="AG235">
            <v>0</v>
          </cell>
          <cell r="AH235">
            <v>7.5593385470903596E-3</v>
          </cell>
          <cell r="AI235">
            <v>31.137389784773099</v>
          </cell>
          <cell r="AJ235">
            <v>3.0869565217391298E-3</v>
          </cell>
          <cell r="AK235">
            <v>3.0869565217391299</v>
          </cell>
          <cell r="AL235">
            <v>25</v>
          </cell>
          <cell r="AM235">
            <v>38.486956521739103</v>
          </cell>
          <cell r="AN235">
            <v>2.4</v>
          </cell>
          <cell r="AO235">
            <v>0</v>
          </cell>
          <cell r="AP235">
            <v>0</v>
          </cell>
          <cell r="AQ235">
            <v>0.1</v>
          </cell>
          <cell r="AR235">
            <v>9.26086956521739E-3</v>
          </cell>
          <cell r="AS235">
            <v>9.2608695652173907</v>
          </cell>
          <cell r="AT235">
            <v>25</v>
          </cell>
          <cell r="AU235">
            <v>115.660869565217</v>
          </cell>
          <cell r="AV235">
            <v>0</v>
          </cell>
          <cell r="AW235">
            <v>6.2608695652173899E-3</v>
          </cell>
          <cell r="AX235">
            <v>0</v>
          </cell>
          <cell r="AY235">
            <v>0.1</v>
          </cell>
          <cell r="AZ235">
            <v>1.23478260869565E-2</v>
          </cell>
          <cell r="BA235">
            <v>12.3478260869565</v>
          </cell>
          <cell r="BB235">
            <v>25</v>
          </cell>
          <cell r="BC235">
            <v>154.24782608695699</v>
          </cell>
          <cell r="BD235">
            <v>0</v>
          </cell>
          <cell r="BE235">
            <v>8.3478260869565193E-3</v>
          </cell>
          <cell r="BF235">
            <v>0</v>
          </cell>
          <cell r="BG235">
            <v>0.1</v>
          </cell>
          <cell r="BH235">
            <v>3.4</v>
          </cell>
          <cell r="BI235">
            <v>0.17</v>
          </cell>
        </row>
        <row r="236">
          <cell r="A236" t="str">
            <v>PVC-Belag verklebt</v>
          </cell>
          <cell r="B236" t="str">
            <v>m²</v>
          </cell>
          <cell r="C236">
            <v>7</v>
          </cell>
          <cell r="D236" t="str">
            <v>E4-D-01_BB-Elast_PVC</v>
          </cell>
          <cell r="E236">
            <v>1</v>
          </cell>
          <cell r="F236">
            <v>-27.1461482530217</v>
          </cell>
          <cell r="G236">
            <v>25</v>
          </cell>
          <cell r="H236">
            <v>0</v>
          </cell>
          <cell r="I236">
            <v>3.4</v>
          </cell>
          <cell r="J236">
            <v>0</v>
          </cell>
          <cell r="K236">
            <v>0</v>
          </cell>
          <cell r="L236">
            <v>0</v>
          </cell>
          <cell r="M236">
            <v>3.4</v>
          </cell>
          <cell r="N236">
            <v>6.0595087522360203</v>
          </cell>
          <cell r="O236">
            <v>-0.22990158888918399</v>
          </cell>
          <cell r="P236">
            <v>6.2894103411252003</v>
          </cell>
          <cell r="Q236">
            <v>2.44297152553122E-2</v>
          </cell>
          <cell r="R236">
            <v>147.59914762692</v>
          </cell>
          <cell r="S236">
            <v>9.0838173846290609</v>
          </cell>
          <cell r="T236">
            <v>8.6728547123245004E-3</v>
          </cell>
          <cell r="U236">
            <v>8.8510634843195404E-3</v>
          </cell>
          <cell r="V236">
            <v>2.0608896660566801E-6</v>
          </cell>
          <cell r="W236">
            <v>18.8682310233756</v>
          </cell>
          <cell r="X236">
            <v>7.3289145765936703E-2</v>
          </cell>
          <cell r="Y236">
            <v>442.79744288076</v>
          </cell>
          <cell r="Z236">
            <v>27.2514521538872</v>
          </cell>
          <cell r="AA236">
            <v>2.6018564136973499E-2</v>
          </cell>
          <cell r="AB236">
            <v>2.6553190452958599E-2</v>
          </cell>
          <cell r="AC236">
            <v>6.1826689981700297E-6</v>
          </cell>
          <cell r="AD236">
            <v>0</v>
          </cell>
          <cell r="AE236">
            <v>0</v>
          </cell>
          <cell r="AF236">
            <v>0</v>
          </cell>
          <cell r="AG236">
            <v>0</v>
          </cell>
          <cell r="AH236">
            <v>6.1074288138280603E-3</v>
          </cell>
          <cell r="AI236">
            <v>36.89978690673</v>
          </cell>
          <cell r="AJ236">
            <v>2.4117647058823498E-3</v>
          </cell>
          <cell r="AK236">
            <v>2.4117647058823501</v>
          </cell>
          <cell r="AL236">
            <v>25</v>
          </cell>
          <cell r="AM236">
            <v>30.047058823529401</v>
          </cell>
          <cell r="AN236">
            <v>0</v>
          </cell>
          <cell r="AO236">
            <v>2.4</v>
          </cell>
          <cell r="AP236">
            <v>0</v>
          </cell>
          <cell r="AQ236">
            <v>0.1</v>
          </cell>
          <cell r="AR236">
            <v>7.2352941176470602E-3</v>
          </cell>
          <cell r="AS236">
            <v>7.2352941176470598</v>
          </cell>
          <cell r="AT236">
            <v>25</v>
          </cell>
          <cell r="AU236">
            <v>90.341176470588195</v>
          </cell>
          <cell r="AV236">
            <v>0</v>
          </cell>
          <cell r="AW236">
            <v>4.2352941176470602E-3</v>
          </cell>
          <cell r="AX236">
            <v>0</v>
          </cell>
          <cell r="AY236">
            <v>0.1</v>
          </cell>
          <cell r="AZ236">
            <v>9.6470588235294096E-3</v>
          </cell>
          <cell r="BA236">
            <v>9.6470588235294095</v>
          </cell>
          <cell r="BB236">
            <v>25</v>
          </cell>
          <cell r="BC236">
            <v>120.488235294118</v>
          </cell>
          <cell r="BD236">
            <v>0</v>
          </cell>
          <cell r="BE236">
            <v>5.6470588235294104E-3</v>
          </cell>
          <cell r="BF236">
            <v>0</v>
          </cell>
          <cell r="BG236">
            <v>0.1</v>
          </cell>
          <cell r="BH236">
            <v>3.4</v>
          </cell>
          <cell r="BI236">
            <v>0.17</v>
          </cell>
        </row>
        <row r="237">
          <cell r="A237" t="str">
            <v>Teppich verklebt</v>
          </cell>
          <cell r="B237" t="str">
            <v>m²</v>
          </cell>
          <cell r="C237">
            <v>8</v>
          </cell>
          <cell r="D237" t="str">
            <v>E4-D-01_BB-Textil</v>
          </cell>
          <cell r="E237">
            <v>1</v>
          </cell>
          <cell r="F237">
            <v>-27.5522043050224</v>
          </cell>
          <cell r="G237">
            <v>12.5</v>
          </cell>
          <cell r="H237">
            <v>0</v>
          </cell>
          <cell r="I237">
            <v>2.5</v>
          </cell>
          <cell r="J237">
            <v>0</v>
          </cell>
          <cell r="K237">
            <v>0</v>
          </cell>
          <cell r="L237">
            <v>0</v>
          </cell>
          <cell r="M237">
            <v>2.5</v>
          </cell>
          <cell r="N237">
            <v>7.56203537872819</v>
          </cell>
          <cell r="O237">
            <v>-4.9646415291992895E-4</v>
          </cell>
          <cell r="P237">
            <v>7.5625318428811097</v>
          </cell>
          <cell r="Q237">
            <v>2.6256172262709699E-2</v>
          </cell>
          <cell r="R237">
            <v>120.599004904848</v>
          </cell>
          <cell r="S237">
            <v>1.7572393061609599</v>
          </cell>
          <cell r="T237">
            <v>5.0722278626018297E-3</v>
          </cell>
          <cell r="U237">
            <v>6.7140880823687004E-3</v>
          </cell>
          <cell r="V237">
            <v>5.2866075042023998E-7</v>
          </cell>
          <cell r="W237">
            <v>22.6875955286433</v>
          </cell>
          <cell r="X237">
            <v>7.87685167881291E-2</v>
          </cell>
          <cell r="Y237">
            <v>361.79701471454302</v>
          </cell>
          <cell r="Z237">
            <v>5.2717179184828797</v>
          </cell>
          <cell r="AA237">
            <v>1.52166835878055E-2</v>
          </cell>
          <cell r="AB237">
            <v>2.0142264247106099E-2</v>
          </cell>
          <cell r="AC237">
            <v>1.5859822512607199E-6</v>
          </cell>
          <cell r="AD237">
            <v>0</v>
          </cell>
          <cell r="AE237">
            <v>0</v>
          </cell>
          <cell r="AF237">
            <v>0</v>
          </cell>
          <cell r="AG237">
            <v>0</v>
          </cell>
          <cell r="AH237">
            <v>6.5640430656774204E-3</v>
          </cell>
          <cell r="AI237">
            <v>30.149751226211901</v>
          </cell>
          <cell r="AJ237">
            <v>3.27272727272727E-3</v>
          </cell>
          <cell r="AK237">
            <v>3.2727272727272698</v>
          </cell>
          <cell r="AL237">
            <v>25</v>
          </cell>
          <cell r="AM237">
            <v>40.809090909090898</v>
          </cell>
          <cell r="AN237">
            <v>0</v>
          </cell>
          <cell r="AO237">
            <v>1.5</v>
          </cell>
          <cell r="AP237">
            <v>0</v>
          </cell>
          <cell r="AQ237">
            <v>0.1</v>
          </cell>
          <cell r="AR237">
            <v>9.8181818181818196E-3</v>
          </cell>
          <cell r="AS237">
            <v>9.8181818181818201</v>
          </cell>
          <cell r="AT237">
            <v>25</v>
          </cell>
          <cell r="AU237">
            <v>122.627272727273</v>
          </cell>
          <cell r="AV237">
            <v>0</v>
          </cell>
          <cell r="AW237">
            <v>6.8181818181818196E-3</v>
          </cell>
          <cell r="AX237">
            <v>0</v>
          </cell>
          <cell r="AY237">
            <v>0.1</v>
          </cell>
          <cell r="AZ237">
            <v>1.3090909090909099E-2</v>
          </cell>
          <cell r="BA237">
            <v>13.090909090909101</v>
          </cell>
          <cell r="BB237">
            <v>25</v>
          </cell>
          <cell r="BC237">
            <v>163.536363636364</v>
          </cell>
          <cell r="BD237">
            <v>0</v>
          </cell>
          <cell r="BE237">
            <v>9.0909090909090905E-3</v>
          </cell>
          <cell r="BF237">
            <v>0</v>
          </cell>
          <cell r="BG237">
            <v>0.1</v>
          </cell>
          <cell r="BH237">
            <v>2.5</v>
          </cell>
          <cell r="BI237">
            <v>0.125</v>
          </cell>
        </row>
        <row r="238">
          <cell r="A238" t="str">
            <v>Eigener Bodenbelag 1</v>
          </cell>
          <cell r="B238" t="str">
            <v>m²</v>
          </cell>
        </row>
        <row r="239">
          <cell r="A239" t="str">
            <v>Eigener Bodenbelag 2</v>
          </cell>
          <cell r="B239" t="str">
            <v>m²</v>
          </cell>
        </row>
        <row r="240">
          <cell r="A240" t="str">
            <v>Eigener Bodenbelag 3</v>
          </cell>
          <cell r="B240" t="str">
            <v>m²</v>
          </cell>
        </row>
        <row r="241">
          <cell r="A241" t="str">
            <v>Bitte auswählen</v>
          </cell>
        </row>
        <row r="242">
          <cell r="A242" t="str">
            <v>Gipskarton mit Federschiene Glaswolle (WV)</v>
          </cell>
          <cell r="B242" t="str">
            <v>m²</v>
          </cell>
          <cell r="C242">
            <v>1</v>
          </cell>
          <cell r="D242" t="str">
            <v>E4-D-02-WV-GKP-Feder-Gw</v>
          </cell>
          <cell r="E242">
            <v>1</v>
          </cell>
          <cell r="F242">
            <v>-19.0180271576526</v>
          </cell>
          <cell r="G242">
            <v>50</v>
          </cell>
          <cell r="H242">
            <v>0</v>
          </cell>
          <cell r="I242">
            <v>0</v>
          </cell>
          <cell r="J242">
            <v>1.85</v>
          </cell>
          <cell r="K242">
            <v>0</v>
          </cell>
          <cell r="L242">
            <v>27.3</v>
          </cell>
          <cell r="M242">
            <v>29.15</v>
          </cell>
          <cell r="N242">
            <v>12.2167783113906</v>
          </cell>
          <cell r="O242">
            <v>-1.0761584708827501</v>
          </cell>
          <cell r="P242">
            <v>13.2929367822733</v>
          </cell>
          <cell r="Q242">
            <v>6.2988289642019801E-2</v>
          </cell>
          <cell r="R242">
            <v>206.42213514539</v>
          </cell>
          <cell r="S242">
            <v>41.8107377920877</v>
          </cell>
          <cell r="T242">
            <v>1.4185954626113001E-2</v>
          </cell>
          <cell r="U242">
            <v>2.27385465187925E-2</v>
          </cell>
          <cell r="V242">
            <v>1.01865911261918E-6</v>
          </cell>
          <cell r="W242">
            <v>13.2929367822733</v>
          </cell>
          <cell r="X242">
            <v>6.2988289642019801E-2</v>
          </cell>
          <cell r="Y242">
            <v>206.42213514539</v>
          </cell>
          <cell r="Z242">
            <v>41.8107377920877</v>
          </cell>
          <cell r="AA242">
            <v>1.4185954626113001E-2</v>
          </cell>
          <cell r="AB242">
            <v>2.27385465187925E-2</v>
          </cell>
          <cell r="AC242">
            <v>1.01865911261918E-6</v>
          </cell>
          <cell r="AD242">
            <v>0</v>
          </cell>
          <cell r="AE242">
            <v>0</v>
          </cell>
          <cell r="AF242">
            <v>0</v>
          </cell>
          <cell r="AG242">
            <v>0</v>
          </cell>
          <cell r="AH242">
            <v>1.5747072410504898E-2</v>
          </cell>
          <cell r="AI242">
            <v>51.6055337863475</v>
          </cell>
          <cell r="AJ242">
            <v>9.0245897435897393E-2</v>
          </cell>
          <cell r="AK242">
            <v>27.073769230769201</v>
          </cell>
          <cell r="AL242">
            <v>50</v>
          </cell>
          <cell r="AM242">
            <v>338.32211538461502</v>
          </cell>
          <cell r="AN242">
            <v>0</v>
          </cell>
          <cell r="AO242">
            <v>0</v>
          </cell>
          <cell r="AP242">
            <v>1.7000192307692299</v>
          </cell>
          <cell r="AQ242">
            <v>0.1</v>
          </cell>
          <cell r="AR242">
            <v>9.0245897435897393E-2</v>
          </cell>
          <cell r="AS242">
            <v>27.073769230769201</v>
          </cell>
          <cell r="AT242">
            <v>50</v>
          </cell>
          <cell r="AU242">
            <v>338.32211538461502</v>
          </cell>
          <cell r="AV242">
            <v>0.09</v>
          </cell>
          <cell r="AW242">
            <v>0</v>
          </cell>
          <cell r="AX242">
            <v>2.4589743589743601E-4</v>
          </cell>
          <cell r="AY242">
            <v>0.1</v>
          </cell>
          <cell r="AZ242">
            <v>0.18049179487179501</v>
          </cell>
          <cell r="BA242">
            <v>54.147538461538502</v>
          </cell>
          <cell r="BB242">
            <v>50</v>
          </cell>
          <cell r="BC242">
            <v>676.74423076923097</v>
          </cell>
          <cell r="BD242">
            <v>0.18</v>
          </cell>
          <cell r="BE242">
            <v>0</v>
          </cell>
          <cell r="BF242">
            <v>4.9179487179487201E-4</v>
          </cell>
          <cell r="BG242">
            <v>0.1</v>
          </cell>
          <cell r="BH242">
            <v>8.7449999999999992</v>
          </cell>
          <cell r="BI242">
            <v>1.4575</v>
          </cell>
        </row>
        <row r="243">
          <cell r="A243" t="str">
            <v>Gipskarton mit Lattung Steinwolle (WV)</v>
          </cell>
          <cell r="B243" t="str">
            <v>m²</v>
          </cell>
          <cell r="C243">
            <v>2</v>
          </cell>
          <cell r="D243" t="str">
            <v>E4-D-02-WV-GKP-Holz-Stw</v>
          </cell>
          <cell r="E243">
            <v>1</v>
          </cell>
          <cell r="F243">
            <v>-24.127570586636701</v>
          </cell>
          <cell r="G243">
            <v>50</v>
          </cell>
          <cell r="H243">
            <v>3</v>
          </cell>
          <cell r="I243">
            <v>0</v>
          </cell>
          <cell r="J243">
            <v>0.35</v>
          </cell>
          <cell r="K243">
            <v>0</v>
          </cell>
          <cell r="L243">
            <v>27.12</v>
          </cell>
          <cell r="M243">
            <v>30.47</v>
          </cell>
          <cell r="N243">
            <v>4.0120871788940002</v>
          </cell>
          <cell r="O243">
            <v>-6.0196282491781004</v>
          </cell>
          <cell r="P243">
            <v>10.031715428072101</v>
          </cell>
          <cell r="Q243">
            <v>4.6286324038219501E-2</v>
          </cell>
          <cell r="R243">
            <v>160.967150353552</v>
          </cell>
          <cell r="S243">
            <v>101.97063281468699</v>
          </cell>
          <cell r="T243">
            <v>1.18311596777496E-2</v>
          </cell>
          <cell r="U243">
            <v>1.5176512735527101E-2</v>
          </cell>
          <cell r="V243">
            <v>8.5705902600956399E-7</v>
          </cell>
          <cell r="W243">
            <v>10.031715428072101</v>
          </cell>
          <cell r="X243">
            <v>4.6286324038219501E-2</v>
          </cell>
          <cell r="Y243">
            <v>160.967150353552</v>
          </cell>
          <cell r="Z243">
            <v>101.97063281468699</v>
          </cell>
          <cell r="AA243">
            <v>1.18311596777496E-2</v>
          </cell>
          <cell r="AB243">
            <v>1.5176512735527101E-2</v>
          </cell>
          <cell r="AC243">
            <v>8.5705902600956399E-7</v>
          </cell>
          <cell r="AD243">
            <v>0</v>
          </cell>
          <cell r="AE243">
            <v>0</v>
          </cell>
          <cell r="AF243">
            <v>0</v>
          </cell>
          <cell r="AG243">
            <v>0</v>
          </cell>
          <cell r="AH243">
            <v>1.1571581009554899E-2</v>
          </cell>
          <cell r="AI243">
            <v>40.241787588387901</v>
          </cell>
          <cell r="AJ243">
            <v>9.0044871794871806E-2</v>
          </cell>
          <cell r="AK243">
            <v>26.413461538461501</v>
          </cell>
          <cell r="AL243">
            <v>50</v>
          </cell>
          <cell r="AM243">
            <v>330.06826923076898</v>
          </cell>
          <cell r="AN243">
            <v>3</v>
          </cell>
          <cell r="AO243">
            <v>0</v>
          </cell>
          <cell r="AP243">
            <v>4.4871794871794902E-5</v>
          </cell>
          <cell r="AQ243">
            <v>0.1</v>
          </cell>
          <cell r="AR243">
            <v>9.0044871794871806E-2</v>
          </cell>
          <cell r="AS243">
            <v>26.413461538461501</v>
          </cell>
          <cell r="AT243">
            <v>50</v>
          </cell>
          <cell r="AU243">
            <v>330.168269230769</v>
          </cell>
          <cell r="AV243">
            <v>8.4000000000000005E-2</v>
          </cell>
          <cell r="AW243">
            <v>6.0000000000000001E-3</v>
          </cell>
          <cell r="AX243">
            <v>4.4871794871794902E-5</v>
          </cell>
          <cell r="AY243">
            <v>0</v>
          </cell>
          <cell r="AZ243">
            <v>0.180089743589744</v>
          </cell>
          <cell r="BA243">
            <v>52.826923076923102</v>
          </cell>
          <cell r="BB243">
            <v>50</v>
          </cell>
          <cell r="BC243">
            <v>660.336538461538</v>
          </cell>
          <cell r="BD243">
            <v>0.16800000000000001</v>
          </cell>
          <cell r="BE243">
            <v>1.2E-2</v>
          </cell>
          <cell r="BF243">
            <v>8.9743589743589695E-5</v>
          </cell>
          <cell r="BG243">
            <v>0</v>
          </cell>
          <cell r="BH243">
            <v>8.8409999999999993</v>
          </cell>
          <cell r="BI243">
            <v>1.5235000000000001</v>
          </cell>
        </row>
        <row r="244">
          <cell r="A244" t="str">
            <v>Gipskarton mit Lattung Schafwolle (WV)</v>
          </cell>
          <cell r="B244" t="str">
            <v>m²</v>
          </cell>
          <cell r="C244">
            <v>3</v>
          </cell>
          <cell r="D244" t="str">
            <v>E4-D-02-WV-GKP-Holz-Schaf</v>
          </cell>
          <cell r="E244">
            <v>1</v>
          </cell>
          <cell r="F244">
            <v>-26.754494242897898</v>
          </cell>
          <cell r="G244">
            <v>50</v>
          </cell>
          <cell r="H244">
            <v>4.62</v>
          </cell>
          <cell r="I244">
            <v>0</v>
          </cell>
          <cell r="J244">
            <v>0.35</v>
          </cell>
          <cell r="K244">
            <v>0</v>
          </cell>
          <cell r="L244">
            <v>25.5</v>
          </cell>
          <cell r="M244">
            <v>30.47</v>
          </cell>
          <cell r="N244">
            <v>1.74824108822733</v>
          </cell>
          <cell r="O244">
            <v>-8.6244486467295598</v>
          </cell>
          <cell r="P244">
            <v>10.3726897349569</v>
          </cell>
          <cell r="Q244">
            <v>3.0070366009129799E-2</v>
          </cell>
          <cell r="R244">
            <v>158.34250323540601</v>
          </cell>
          <cell r="S244">
            <v>101.55552729312301</v>
          </cell>
          <cell r="T244">
            <v>4.7717054367391104E-3</v>
          </cell>
          <cell r="U244">
            <v>1.2840275794915401E-2</v>
          </cell>
          <cell r="V244">
            <v>9.6020727396436792E-7</v>
          </cell>
          <cell r="W244">
            <v>10.3726897349569</v>
          </cell>
          <cell r="X244">
            <v>3.0070366009129799E-2</v>
          </cell>
          <cell r="Y244">
            <v>158.34250323540601</v>
          </cell>
          <cell r="Z244">
            <v>101.55552729312301</v>
          </cell>
          <cell r="AA244">
            <v>4.7717054367391104E-3</v>
          </cell>
          <cell r="AB244">
            <v>1.2840275794915401E-2</v>
          </cell>
          <cell r="AC244">
            <v>9.6020727396436792E-7</v>
          </cell>
          <cell r="AD244">
            <v>0</v>
          </cell>
          <cell r="AE244">
            <v>0</v>
          </cell>
          <cell r="AF244">
            <v>0</v>
          </cell>
          <cell r="AG244">
            <v>0</v>
          </cell>
          <cell r="AH244">
            <v>7.5175915022824601E-3</v>
          </cell>
          <cell r="AI244">
            <v>39.585625808851603</v>
          </cell>
          <cell r="AJ244">
            <v>9.0044871794871806E-2</v>
          </cell>
          <cell r="AK244">
            <v>26.413461538461501</v>
          </cell>
          <cell r="AL244">
            <v>50</v>
          </cell>
          <cell r="AM244">
            <v>330.06826923076898</v>
          </cell>
          <cell r="AN244">
            <v>4.62</v>
          </cell>
          <cell r="AO244">
            <v>0</v>
          </cell>
          <cell r="AP244">
            <v>4.4871794871794902E-5</v>
          </cell>
          <cell r="AQ244">
            <v>0.1</v>
          </cell>
          <cell r="AR244">
            <v>9.0044871794871806E-2</v>
          </cell>
          <cell r="AS244">
            <v>26.413461538461501</v>
          </cell>
          <cell r="AT244">
            <v>50</v>
          </cell>
          <cell r="AU244">
            <v>330.168269230769</v>
          </cell>
          <cell r="AV244">
            <v>0.03</v>
          </cell>
          <cell r="AW244">
            <v>0.06</v>
          </cell>
          <cell r="AX244">
            <v>4.4871794871794902E-5</v>
          </cell>
          <cell r="AY244">
            <v>0</v>
          </cell>
          <cell r="AZ244">
            <v>0.180089743589744</v>
          </cell>
          <cell r="BA244">
            <v>52.826923076923102</v>
          </cell>
          <cell r="BB244">
            <v>50</v>
          </cell>
          <cell r="BC244">
            <v>660.336538461538</v>
          </cell>
          <cell r="BD244">
            <v>0.06</v>
          </cell>
          <cell r="BE244">
            <v>0.12</v>
          </cell>
          <cell r="BF244">
            <v>8.9743589743589695E-5</v>
          </cell>
          <cell r="BG244">
            <v>0</v>
          </cell>
          <cell r="BH244">
            <v>8.8409999999999993</v>
          </cell>
          <cell r="BI244">
            <v>1.5235000000000001</v>
          </cell>
        </row>
        <row r="245">
          <cell r="A245" t="str">
            <v>Gipskarton 15 mm direkt (Wandverkleidung)</v>
          </cell>
          <cell r="B245" t="str">
            <v>m²</v>
          </cell>
          <cell r="C245">
            <v>4</v>
          </cell>
          <cell r="D245" t="str">
            <v>E4-D-02-WV-GKP15-direkt</v>
          </cell>
          <cell r="E245">
            <v>1</v>
          </cell>
          <cell r="F245">
            <v>-32.812083954116702</v>
          </cell>
          <cell r="G245">
            <v>50</v>
          </cell>
          <cell r="H245">
            <v>0</v>
          </cell>
          <cell r="I245">
            <v>0</v>
          </cell>
          <cell r="J245">
            <v>0</v>
          </cell>
          <cell r="K245">
            <v>0</v>
          </cell>
          <cell r="L245">
            <v>12.75</v>
          </cell>
          <cell r="M245">
            <v>12.75</v>
          </cell>
          <cell r="N245">
            <v>2.4506784760057001</v>
          </cell>
          <cell r="O245">
            <v>-0.53298650612503595</v>
          </cell>
          <cell r="P245">
            <v>2.9836649821307399</v>
          </cell>
          <cell r="Q245">
            <v>9.3593048864796698E-3</v>
          </cell>
          <cell r="R245">
            <v>55.946869450551503</v>
          </cell>
          <cell r="S245">
            <v>18.9102544068922</v>
          </cell>
          <cell r="T245">
            <v>9.8729682278978306E-4</v>
          </cell>
          <cell r="U245">
            <v>3.9157439313298103E-3</v>
          </cell>
          <cell r="V245">
            <v>3.43036418509932E-7</v>
          </cell>
          <cell r="W245">
            <v>2.9836649821307399</v>
          </cell>
          <cell r="X245">
            <v>9.3593048864796698E-3</v>
          </cell>
          <cell r="Y245">
            <v>55.946869450551503</v>
          </cell>
          <cell r="Z245">
            <v>18.9102544068922</v>
          </cell>
          <cell r="AA245">
            <v>9.8729682278978306E-4</v>
          </cell>
          <cell r="AB245">
            <v>3.9157439313298103E-3</v>
          </cell>
          <cell r="AC245">
            <v>3.43036418509932E-7</v>
          </cell>
          <cell r="AD245">
            <v>0</v>
          </cell>
          <cell r="AE245">
            <v>0</v>
          </cell>
          <cell r="AF245">
            <v>0</v>
          </cell>
          <cell r="AG245">
            <v>0</v>
          </cell>
          <cell r="AH245">
            <v>2.33982622161992E-3</v>
          </cell>
          <cell r="AI245">
            <v>13.986717362637901</v>
          </cell>
          <cell r="AJ245">
            <v>1.4999999999999999E-2</v>
          </cell>
          <cell r="AK245">
            <v>4.5</v>
          </cell>
          <cell r="AL245">
            <v>12.5</v>
          </cell>
          <cell r="AM245">
            <v>56.25</v>
          </cell>
          <cell r="AN245">
            <v>0</v>
          </cell>
          <cell r="AO245">
            <v>0</v>
          </cell>
          <cell r="AP245">
            <v>0</v>
          </cell>
          <cell r="AQ245">
            <v>0</v>
          </cell>
          <cell r="AR245">
            <v>1.4999999999999999E-2</v>
          </cell>
          <cell r="AS245">
            <v>4.5</v>
          </cell>
          <cell r="AT245">
            <v>12.5</v>
          </cell>
          <cell r="AU245">
            <v>56.15</v>
          </cell>
          <cell r="AV245">
            <v>1.4999999999999999E-2</v>
          </cell>
          <cell r="AW245">
            <v>0</v>
          </cell>
          <cell r="AX245">
            <v>0</v>
          </cell>
          <cell r="AY245">
            <v>0.1</v>
          </cell>
          <cell r="AZ245">
            <v>0.03</v>
          </cell>
          <cell r="BA245">
            <v>9</v>
          </cell>
          <cell r="BB245">
            <v>12.5</v>
          </cell>
          <cell r="BC245">
            <v>112.4</v>
          </cell>
          <cell r="BD245">
            <v>0.03</v>
          </cell>
          <cell r="BE245">
            <v>0</v>
          </cell>
          <cell r="BF245">
            <v>0</v>
          </cell>
          <cell r="BG245">
            <v>0.1</v>
          </cell>
          <cell r="BH245">
            <v>3.8250000000000002</v>
          </cell>
          <cell r="BI245">
            <v>0.63749999999999996</v>
          </cell>
        </row>
        <row r="246">
          <cell r="A246" t="str">
            <v>Gipskarton 30 mm direkt (Wandverkleidung)</v>
          </cell>
          <cell r="B246" t="str">
            <v>m²</v>
          </cell>
          <cell r="C246">
            <v>5</v>
          </cell>
          <cell r="D246" t="str">
            <v>E4-D-02-WV-GKP30-direkt</v>
          </cell>
          <cell r="E246">
            <v>1</v>
          </cell>
          <cell r="F246">
            <v>-29.290834574900099</v>
          </cell>
          <cell r="G246">
            <v>50</v>
          </cell>
          <cell r="H246">
            <v>0</v>
          </cell>
          <cell r="I246">
            <v>0</v>
          </cell>
          <cell r="J246">
            <v>0</v>
          </cell>
          <cell r="K246">
            <v>0</v>
          </cell>
          <cell r="L246">
            <v>25.5</v>
          </cell>
          <cell r="M246">
            <v>25.5</v>
          </cell>
          <cell r="N246">
            <v>4.90135695201141</v>
          </cell>
          <cell r="O246">
            <v>-1.0659730122500699</v>
          </cell>
          <cell r="P246">
            <v>5.9673299642614799</v>
          </cell>
          <cell r="Q246">
            <v>1.8718609772959301E-2</v>
          </cell>
          <cell r="R246">
            <v>111.89373890110301</v>
          </cell>
          <cell r="S246">
            <v>37.8205088137844</v>
          </cell>
          <cell r="T246">
            <v>1.97459364557957E-3</v>
          </cell>
          <cell r="U246">
            <v>7.8314878626596206E-3</v>
          </cell>
          <cell r="V246">
            <v>6.8607283701986496E-7</v>
          </cell>
          <cell r="W246">
            <v>5.9673299642614799</v>
          </cell>
          <cell r="X246">
            <v>1.8718609772959301E-2</v>
          </cell>
          <cell r="Y246">
            <v>111.89373890110301</v>
          </cell>
          <cell r="Z246">
            <v>37.8205088137844</v>
          </cell>
          <cell r="AA246">
            <v>1.97459364557957E-3</v>
          </cell>
          <cell r="AB246">
            <v>7.8314878626596206E-3</v>
          </cell>
          <cell r="AC246">
            <v>6.8607283701986496E-7</v>
          </cell>
          <cell r="AD246">
            <v>0</v>
          </cell>
          <cell r="AE246">
            <v>0</v>
          </cell>
          <cell r="AF246">
            <v>0</v>
          </cell>
          <cell r="AG246">
            <v>0</v>
          </cell>
          <cell r="AH246">
            <v>4.6796524432398401E-3</v>
          </cell>
          <cell r="AI246">
            <v>27.973434725275801</v>
          </cell>
          <cell r="AJ246">
            <v>0.03</v>
          </cell>
          <cell r="AK246">
            <v>9</v>
          </cell>
          <cell r="AL246">
            <v>12.5</v>
          </cell>
          <cell r="AM246">
            <v>112.5</v>
          </cell>
          <cell r="AN246">
            <v>0</v>
          </cell>
          <cell r="AO246">
            <v>0</v>
          </cell>
          <cell r="AP246">
            <v>0</v>
          </cell>
          <cell r="AQ246">
            <v>0</v>
          </cell>
          <cell r="AR246">
            <v>0.03</v>
          </cell>
          <cell r="AS246">
            <v>9</v>
          </cell>
          <cell r="AT246">
            <v>12.5</v>
          </cell>
          <cell r="AU246">
            <v>112.4</v>
          </cell>
          <cell r="AV246">
            <v>0.03</v>
          </cell>
          <cell r="AW246">
            <v>0</v>
          </cell>
          <cell r="AX246">
            <v>0</v>
          </cell>
          <cell r="AY246">
            <v>0.1</v>
          </cell>
          <cell r="AZ246">
            <v>0.06</v>
          </cell>
          <cell r="BA246">
            <v>18</v>
          </cell>
          <cell r="BB246">
            <v>12.5</v>
          </cell>
          <cell r="BC246">
            <v>224.9</v>
          </cell>
          <cell r="BD246">
            <v>0.06</v>
          </cell>
          <cell r="BE246">
            <v>0</v>
          </cell>
          <cell r="BF246">
            <v>0</v>
          </cell>
          <cell r="BG246">
            <v>0.1</v>
          </cell>
          <cell r="BH246">
            <v>7.65</v>
          </cell>
          <cell r="BI246">
            <v>1.2749999999999999</v>
          </cell>
        </row>
        <row r="247">
          <cell r="A247" t="str">
            <v>Kalkzementputz (Wandverkleidung)</v>
          </cell>
          <cell r="B247" t="str">
            <v>m²</v>
          </cell>
          <cell r="C247">
            <v>6</v>
          </cell>
          <cell r="D247" t="str">
            <v>E4-D-02-WV-Putz</v>
          </cell>
          <cell r="E247">
            <v>1</v>
          </cell>
          <cell r="F247">
            <v>-33.115163638600599</v>
          </cell>
          <cell r="G247">
            <v>50</v>
          </cell>
          <cell r="H247">
            <v>0</v>
          </cell>
          <cell r="I247">
            <v>0</v>
          </cell>
          <cell r="J247">
            <v>0</v>
          </cell>
          <cell r="K247">
            <v>0</v>
          </cell>
          <cell r="L247">
            <v>27</v>
          </cell>
          <cell r="M247">
            <v>27</v>
          </cell>
          <cell r="N247">
            <v>4.1883185389654196</v>
          </cell>
          <cell r="O247">
            <v>-3.3986353355270997E-2</v>
          </cell>
          <cell r="P247">
            <v>4.2223048923206896</v>
          </cell>
          <cell r="Q247">
            <v>9.6929254340468902E-3</v>
          </cell>
          <cell r="R247">
            <v>36.831796410968003</v>
          </cell>
          <cell r="S247">
            <v>9.2757906929310003</v>
          </cell>
          <cell r="T247">
            <v>1.30278641766347E-3</v>
          </cell>
          <cell r="U247">
            <v>4.8748576908955402E-3</v>
          </cell>
          <cell r="V247">
            <v>1.7953985023892101E-7</v>
          </cell>
          <cell r="W247">
            <v>4.2223048923206896</v>
          </cell>
          <cell r="X247">
            <v>9.6929254340468902E-3</v>
          </cell>
          <cell r="Y247">
            <v>36.831796410968003</v>
          </cell>
          <cell r="Z247">
            <v>9.2757906929310003</v>
          </cell>
          <cell r="AA247">
            <v>1.30278641766347E-3</v>
          </cell>
          <cell r="AB247">
            <v>4.8748576908955402E-3</v>
          </cell>
          <cell r="AC247">
            <v>1.7953985023892101E-7</v>
          </cell>
          <cell r="AD247">
            <v>0</v>
          </cell>
          <cell r="AE247">
            <v>0</v>
          </cell>
          <cell r="AF247">
            <v>0</v>
          </cell>
          <cell r="AG247">
            <v>0</v>
          </cell>
          <cell r="AH247">
            <v>2.42323135851172E-3</v>
          </cell>
          <cell r="AI247">
            <v>9.2079491027420008</v>
          </cell>
          <cell r="AJ247">
            <v>1.4999999999999999E-2</v>
          </cell>
          <cell r="AK247">
            <v>1.5</v>
          </cell>
          <cell r="AL247">
            <v>12.5</v>
          </cell>
          <cell r="AM247">
            <v>18.75</v>
          </cell>
          <cell r="AN247">
            <v>0</v>
          </cell>
          <cell r="AO247">
            <v>0</v>
          </cell>
          <cell r="AP247">
            <v>0</v>
          </cell>
          <cell r="AQ247">
            <v>0</v>
          </cell>
          <cell r="AR247">
            <v>1.4999999999999999E-2</v>
          </cell>
          <cell r="AS247">
            <v>1.5</v>
          </cell>
          <cell r="AT247">
            <v>12.5</v>
          </cell>
          <cell r="AU247">
            <v>18.649999999999999</v>
          </cell>
          <cell r="AV247">
            <v>1.4999999999999999E-2</v>
          </cell>
          <cell r="AW247">
            <v>0</v>
          </cell>
          <cell r="AX247">
            <v>0</v>
          </cell>
          <cell r="AY247">
            <v>0.1</v>
          </cell>
          <cell r="AZ247">
            <v>0.03</v>
          </cell>
          <cell r="BA247">
            <v>3</v>
          </cell>
          <cell r="BB247">
            <v>12.5</v>
          </cell>
          <cell r="BC247">
            <v>37.4</v>
          </cell>
          <cell r="BD247">
            <v>0.03</v>
          </cell>
          <cell r="BE247">
            <v>0</v>
          </cell>
          <cell r="BF247">
            <v>0</v>
          </cell>
          <cell r="BG247">
            <v>0.1</v>
          </cell>
          <cell r="BH247">
            <v>2.7</v>
          </cell>
          <cell r="BI247">
            <v>1.35</v>
          </cell>
        </row>
        <row r="248">
          <cell r="A248" t="str">
            <v>Eigene Wandverkleidung</v>
          </cell>
          <cell r="B248" t="str">
            <v>m²</v>
          </cell>
        </row>
        <row r="249">
          <cell r="A249" t="str">
            <v>Bitte auswählen</v>
          </cell>
        </row>
        <row r="250">
          <cell r="A250" t="str">
            <v>Gipskarton mit Federschiene Steinwolle (DV)</v>
          </cell>
          <cell r="B250" t="str">
            <v>m²</v>
          </cell>
          <cell r="C250">
            <v>1</v>
          </cell>
          <cell r="D250" t="str">
            <v>E4-D-03-AbgDE-GKP-Feder_Stw</v>
          </cell>
          <cell r="E250">
            <v>1</v>
          </cell>
          <cell r="F250">
            <v>-19.0180271576526</v>
          </cell>
          <cell r="G250">
            <v>50</v>
          </cell>
          <cell r="H250">
            <v>0</v>
          </cell>
          <cell r="I250">
            <v>0</v>
          </cell>
          <cell r="J250">
            <v>1.85</v>
          </cell>
          <cell r="K250">
            <v>0</v>
          </cell>
          <cell r="L250">
            <v>27.3</v>
          </cell>
          <cell r="M250">
            <v>29.15</v>
          </cell>
          <cell r="N250">
            <v>12.2167783113906</v>
          </cell>
          <cell r="O250">
            <v>-1.0761584708827501</v>
          </cell>
          <cell r="P250">
            <v>13.2929367822733</v>
          </cell>
          <cell r="Q250">
            <v>6.2988289642019801E-2</v>
          </cell>
          <cell r="R250">
            <v>206.42213514539</v>
          </cell>
          <cell r="S250">
            <v>41.8107377920877</v>
          </cell>
          <cell r="T250">
            <v>1.4185954626113001E-2</v>
          </cell>
          <cell r="U250">
            <v>2.27385465187925E-2</v>
          </cell>
          <cell r="V250">
            <v>1.01865911261918E-6</v>
          </cell>
          <cell r="W250">
            <v>13.2929367822733</v>
          </cell>
          <cell r="X250">
            <v>6.2988289642019801E-2</v>
          </cell>
          <cell r="Y250">
            <v>206.42213514539</v>
          </cell>
          <cell r="Z250">
            <v>41.8107377920877</v>
          </cell>
          <cell r="AA250">
            <v>1.4185954626113001E-2</v>
          </cell>
          <cell r="AB250">
            <v>2.27385465187925E-2</v>
          </cell>
          <cell r="AC250">
            <v>1.01865911261918E-6</v>
          </cell>
          <cell r="AD250">
            <v>0</v>
          </cell>
          <cell r="AE250">
            <v>0</v>
          </cell>
          <cell r="AF250">
            <v>0</v>
          </cell>
          <cell r="AG250">
            <v>0</v>
          </cell>
          <cell r="AH250">
            <v>1.5747072410504898E-2</v>
          </cell>
          <cell r="AI250">
            <v>51.6055337863475</v>
          </cell>
          <cell r="AJ250">
            <v>9.0245897435897393E-2</v>
          </cell>
          <cell r="AK250">
            <v>27.073769230769201</v>
          </cell>
          <cell r="AL250">
            <v>50</v>
          </cell>
          <cell r="AM250">
            <v>338.32211538461502</v>
          </cell>
          <cell r="AN250">
            <v>0</v>
          </cell>
          <cell r="AO250">
            <v>0</v>
          </cell>
          <cell r="AP250">
            <v>1.7000192307692299</v>
          </cell>
          <cell r="AQ250">
            <v>0.1</v>
          </cell>
          <cell r="AR250">
            <v>9.0245897435897393E-2</v>
          </cell>
          <cell r="AS250">
            <v>27.073769230769201</v>
          </cell>
          <cell r="AT250">
            <v>50</v>
          </cell>
          <cell r="AU250">
            <v>338.32211538461502</v>
          </cell>
          <cell r="AV250">
            <v>0.09</v>
          </cell>
          <cell r="AW250">
            <v>0</v>
          </cell>
          <cell r="AX250">
            <v>2.4589743589743601E-4</v>
          </cell>
          <cell r="AY250">
            <v>0.1</v>
          </cell>
          <cell r="AZ250">
            <v>0.18049179487179501</v>
          </cell>
          <cell r="BA250">
            <v>54.147538461538502</v>
          </cell>
          <cell r="BB250">
            <v>50</v>
          </cell>
          <cell r="BC250">
            <v>676.74423076923097</v>
          </cell>
          <cell r="BD250">
            <v>0.18</v>
          </cell>
          <cell r="BE250">
            <v>0</v>
          </cell>
          <cell r="BF250">
            <v>4.9179487179487201E-4</v>
          </cell>
          <cell r="BG250">
            <v>0.1</v>
          </cell>
          <cell r="BH250">
            <v>8.7449999999999992</v>
          </cell>
          <cell r="BI250">
            <v>1.4575</v>
          </cell>
        </row>
        <row r="251">
          <cell r="A251" t="str">
            <v>Gipskarton mit Federschiene Schafwolle (DV)</v>
          </cell>
          <cell r="B251" t="str">
            <v>m²</v>
          </cell>
          <cell r="C251">
            <v>2</v>
          </cell>
          <cell r="D251" t="str">
            <v>E4-D-03-AbgDE-GKP-Feder_Schafw</v>
          </cell>
          <cell r="E251">
            <v>1</v>
          </cell>
          <cell r="F251">
            <v>-21.9368312201651</v>
          </cell>
          <cell r="G251">
            <v>50</v>
          </cell>
          <cell r="H251">
            <v>1.8</v>
          </cell>
          <cell r="I251">
            <v>0</v>
          </cell>
          <cell r="J251">
            <v>1.85</v>
          </cell>
          <cell r="K251">
            <v>0</v>
          </cell>
          <cell r="L251">
            <v>25.5</v>
          </cell>
          <cell r="M251">
            <v>29.15</v>
          </cell>
          <cell r="N251">
            <v>9.7013937662054097</v>
          </cell>
          <cell r="O251">
            <v>-3.97040335705104</v>
          </cell>
          <cell r="P251">
            <v>13.6717971232564</v>
          </cell>
          <cell r="Q251">
            <v>4.4970558498586798E-2</v>
          </cell>
          <cell r="R251">
            <v>203.50586056967299</v>
          </cell>
          <cell r="S251">
            <v>41.349509434793902</v>
          </cell>
          <cell r="T251">
            <v>6.3421165805458103E-3</v>
          </cell>
          <cell r="U251">
            <v>2.0142727695890501E-2</v>
          </cell>
          <cell r="V251">
            <v>1.13326827701341E-6</v>
          </cell>
          <cell r="W251">
            <v>13.6717971232564</v>
          </cell>
          <cell r="X251">
            <v>4.4970558498586798E-2</v>
          </cell>
          <cell r="Y251">
            <v>203.50586056967299</v>
          </cell>
          <cell r="Z251">
            <v>41.349509434793902</v>
          </cell>
          <cell r="AA251">
            <v>6.3421165805458103E-3</v>
          </cell>
          <cell r="AB251">
            <v>2.0142727695890501E-2</v>
          </cell>
          <cell r="AC251">
            <v>1.13326827701341E-6</v>
          </cell>
          <cell r="AD251">
            <v>0</v>
          </cell>
          <cell r="AE251">
            <v>0</v>
          </cell>
          <cell r="AF251">
            <v>0</v>
          </cell>
          <cell r="AG251">
            <v>0</v>
          </cell>
          <cell r="AH251">
            <v>1.1242639624646699E-2</v>
          </cell>
          <cell r="AI251">
            <v>50.876465142418198</v>
          </cell>
          <cell r="AJ251">
            <v>9.0245897435897393E-2</v>
          </cell>
          <cell r="AK251">
            <v>27.073769230769201</v>
          </cell>
          <cell r="AL251">
            <v>50</v>
          </cell>
          <cell r="AM251">
            <v>338.42211538461498</v>
          </cell>
          <cell r="AN251">
            <v>1.8</v>
          </cell>
          <cell r="AO251">
            <v>0</v>
          </cell>
          <cell r="AP251">
            <v>1.7000192307692299</v>
          </cell>
          <cell r="AQ251">
            <v>0</v>
          </cell>
          <cell r="AR251">
            <v>9.0245897435897393E-2</v>
          </cell>
          <cell r="AS251">
            <v>27.073769230769201</v>
          </cell>
          <cell r="AT251">
            <v>50</v>
          </cell>
          <cell r="AU251">
            <v>338.42211538461498</v>
          </cell>
          <cell r="AV251">
            <v>0.03</v>
          </cell>
          <cell r="AW251">
            <v>0.06</v>
          </cell>
          <cell r="AX251">
            <v>2.4589743589743601E-4</v>
          </cell>
          <cell r="AY251">
            <v>0</v>
          </cell>
          <cell r="AZ251">
            <v>0.18049179487179501</v>
          </cell>
          <cell r="BA251">
            <v>54.147538461538502</v>
          </cell>
          <cell r="BB251">
            <v>50</v>
          </cell>
          <cell r="BC251">
            <v>676.84423076923099</v>
          </cell>
          <cell r="BD251">
            <v>0.06</v>
          </cell>
          <cell r="BE251">
            <v>0.12</v>
          </cell>
          <cell r="BF251">
            <v>4.9179487179487201E-4</v>
          </cell>
          <cell r="BG251">
            <v>0</v>
          </cell>
          <cell r="BH251">
            <v>8.7449999999999992</v>
          </cell>
          <cell r="BI251">
            <v>1.4575</v>
          </cell>
        </row>
        <row r="252">
          <cell r="A252" t="str">
            <v>Gipskarton mit Lattung Steinwolle (DV)</v>
          </cell>
          <cell r="B252" t="str">
            <v>m²</v>
          </cell>
          <cell r="C252">
            <v>3</v>
          </cell>
          <cell r="D252" t="str">
            <v>E4-D-03-AbgDE-GKP-Holz-Stw</v>
          </cell>
          <cell r="E252">
            <v>1</v>
          </cell>
          <cell r="F252">
            <v>-24.127570586636701</v>
          </cell>
          <cell r="G252">
            <v>50</v>
          </cell>
          <cell r="H252">
            <v>3</v>
          </cell>
          <cell r="I252">
            <v>0</v>
          </cell>
          <cell r="J252">
            <v>0.35</v>
          </cell>
          <cell r="K252">
            <v>0</v>
          </cell>
          <cell r="L252">
            <v>27.12</v>
          </cell>
          <cell r="M252">
            <v>30.47</v>
          </cell>
          <cell r="N252">
            <v>4.0120871788940002</v>
          </cell>
          <cell r="O252">
            <v>-6.0196282491781004</v>
          </cell>
          <cell r="P252">
            <v>10.031715428072101</v>
          </cell>
          <cell r="Q252">
            <v>4.6286324038219501E-2</v>
          </cell>
          <cell r="R252">
            <v>160.967150353552</v>
          </cell>
          <cell r="S252">
            <v>101.97063281468699</v>
          </cell>
          <cell r="T252">
            <v>1.18311596777496E-2</v>
          </cell>
          <cell r="U252">
            <v>1.5176512735527101E-2</v>
          </cell>
          <cell r="V252">
            <v>8.5705902600956399E-7</v>
          </cell>
          <cell r="W252">
            <v>10.031715428072101</v>
          </cell>
          <cell r="X252">
            <v>4.6286324038219501E-2</v>
          </cell>
          <cell r="Y252">
            <v>160.967150353552</v>
          </cell>
          <cell r="Z252">
            <v>101.97063281468699</v>
          </cell>
          <cell r="AA252">
            <v>1.18311596777496E-2</v>
          </cell>
          <cell r="AB252">
            <v>1.5176512735527101E-2</v>
          </cell>
          <cell r="AC252">
            <v>8.5705902600956399E-7</v>
          </cell>
          <cell r="AD252">
            <v>0</v>
          </cell>
          <cell r="AE252">
            <v>0</v>
          </cell>
          <cell r="AF252">
            <v>0</v>
          </cell>
          <cell r="AG252">
            <v>0</v>
          </cell>
          <cell r="AH252">
            <v>1.1571581009554899E-2</v>
          </cell>
          <cell r="AI252">
            <v>40.241787588387901</v>
          </cell>
          <cell r="AJ252">
            <v>9.0044871794871806E-2</v>
          </cell>
          <cell r="AK252">
            <v>26.413461538461501</v>
          </cell>
          <cell r="AL252">
            <v>50</v>
          </cell>
          <cell r="AM252">
            <v>330.06826923076898</v>
          </cell>
          <cell r="AN252">
            <v>3</v>
          </cell>
          <cell r="AO252">
            <v>0</v>
          </cell>
          <cell r="AP252">
            <v>4.4871794871794902E-5</v>
          </cell>
          <cell r="AQ252">
            <v>0.1</v>
          </cell>
          <cell r="AR252">
            <v>9.0044871794871806E-2</v>
          </cell>
          <cell r="AS252">
            <v>26.413461538461501</v>
          </cell>
          <cell r="AT252">
            <v>50</v>
          </cell>
          <cell r="AU252">
            <v>330.168269230769</v>
          </cell>
          <cell r="AV252">
            <v>8.4000000000000005E-2</v>
          </cell>
          <cell r="AW252">
            <v>6.0000000000000001E-3</v>
          </cell>
          <cell r="AX252">
            <v>4.4871794871794902E-5</v>
          </cell>
          <cell r="AY252">
            <v>0</v>
          </cell>
          <cell r="AZ252">
            <v>0.180089743589744</v>
          </cell>
          <cell r="BA252">
            <v>52.826923076923102</v>
          </cell>
          <cell r="BB252">
            <v>50</v>
          </cell>
          <cell r="BC252">
            <v>660.336538461538</v>
          </cell>
          <cell r="BD252">
            <v>0.16800000000000001</v>
          </cell>
          <cell r="BE252">
            <v>1.2E-2</v>
          </cell>
          <cell r="BF252">
            <v>8.9743589743589695E-5</v>
          </cell>
          <cell r="BG252">
            <v>0</v>
          </cell>
          <cell r="BH252">
            <v>8.8409999999999993</v>
          </cell>
          <cell r="BI252">
            <v>1.5235000000000001</v>
          </cell>
        </row>
        <row r="253">
          <cell r="A253" t="str">
            <v>Gipskarton mit Lattung Schafwolle (DV)</v>
          </cell>
          <cell r="B253" t="str">
            <v>m²</v>
          </cell>
          <cell r="C253">
            <v>4</v>
          </cell>
          <cell r="D253" t="str">
            <v>E4-D-03-AbgDE-GKP-Holz-Schaf</v>
          </cell>
          <cell r="E253">
            <v>1</v>
          </cell>
          <cell r="F253">
            <v>-26.754494242897898</v>
          </cell>
          <cell r="G253">
            <v>50</v>
          </cell>
          <cell r="H253">
            <v>4.62</v>
          </cell>
          <cell r="I253">
            <v>0</v>
          </cell>
          <cell r="J253">
            <v>0.35</v>
          </cell>
          <cell r="K253">
            <v>0</v>
          </cell>
          <cell r="L253">
            <v>25.5</v>
          </cell>
          <cell r="M253">
            <v>30.47</v>
          </cell>
          <cell r="N253">
            <v>1.74824108822733</v>
          </cell>
          <cell r="O253">
            <v>-8.6244486467295598</v>
          </cell>
          <cell r="P253">
            <v>10.3726897349569</v>
          </cell>
          <cell r="Q253">
            <v>3.0070366009129799E-2</v>
          </cell>
          <cell r="R253">
            <v>158.34250323540601</v>
          </cell>
          <cell r="S253">
            <v>101.55552729312301</v>
          </cell>
          <cell r="T253">
            <v>4.7717054367391104E-3</v>
          </cell>
          <cell r="U253">
            <v>1.2840275794915401E-2</v>
          </cell>
          <cell r="V253">
            <v>9.6020727396436792E-7</v>
          </cell>
          <cell r="W253">
            <v>10.3726897349569</v>
          </cell>
          <cell r="X253">
            <v>3.0070366009129799E-2</v>
          </cell>
          <cell r="Y253">
            <v>158.34250323540601</v>
          </cell>
          <cell r="Z253">
            <v>101.55552729312301</v>
          </cell>
          <cell r="AA253">
            <v>4.7717054367391104E-3</v>
          </cell>
          <cell r="AB253">
            <v>1.2840275794915401E-2</v>
          </cell>
          <cell r="AC253">
            <v>9.6020727396436792E-7</v>
          </cell>
          <cell r="AD253">
            <v>0</v>
          </cell>
          <cell r="AE253">
            <v>0</v>
          </cell>
          <cell r="AF253">
            <v>0</v>
          </cell>
          <cell r="AG253">
            <v>0</v>
          </cell>
          <cell r="AH253">
            <v>7.5175915022824601E-3</v>
          </cell>
          <cell r="AI253">
            <v>39.585625808851603</v>
          </cell>
          <cell r="AJ253">
            <v>9.0044871794871806E-2</v>
          </cell>
          <cell r="AK253">
            <v>26.413461538461501</v>
          </cell>
          <cell r="AL253">
            <v>50</v>
          </cell>
          <cell r="AM253">
            <v>330.06826923076898</v>
          </cell>
          <cell r="AN253">
            <v>4.62</v>
          </cell>
          <cell r="AO253">
            <v>0</v>
          </cell>
          <cell r="AP253">
            <v>4.4871794871794902E-5</v>
          </cell>
          <cell r="AQ253">
            <v>0.1</v>
          </cell>
          <cell r="AR253">
            <v>9.0044871794871806E-2</v>
          </cell>
          <cell r="AS253">
            <v>26.413461538461501</v>
          </cell>
          <cell r="AT253">
            <v>50</v>
          </cell>
          <cell r="AU253">
            <v>330.168269230769</v>
          </cell>
          <cell r="AV253">
            <v>0.03</v>
          </cell>
          <cell r="AW253">
            <v>0.06</v>
          </cell>
          <cell r="AX253">
            <v>4.4871794871794902E-5</v>
          </cell>
          <cell r="AY253">
            <v>0</v>
          </cell>
          <cell r="AZ253">
            <v>0.180089743589744</v>
          </cell>
          <cell r="BA253">
            <v>52.826923076923102</v>
          </cell>
          <cell r="BB253">
            <v>50</v>
          </cell>
          <cell r="BC253">
            <v>660.336538461538</v>
          </cell>
          <cell r="BD253">
            <v>0.06</v>
          </cell>
          <cell r="BE253">
            <v>0.12</v>
          </cell>
          <cell r="BF253">
            <v>8.9743589743589695E-5</v>
          </cell>
          <cell r="BG253">
            <v>0</v>
          </cell>
          <cell r="BH253">
            <v>8.8409999999999993</v>
          </cell>
          <cell r="BI253">
            <v>1.5235000000000001</v>
          </cell>
        </row>
        <row r="254">
          <cell r="A254" t="str">
            <v>Gipskarton 15 mm direkt (Deckenverkleidung)</v>
          </cell>
          <cell r="B254" t="str">
            <v>m²</v>
          </cell>
          <cell r="C254">
            <v>5</v>
          </cell>
          <cell r="D254" t="str">
            <v>E4-D-03-DEunt-GKP15-direkt</v>
          </cell>
          <cell r="E254">
            <v>1</v>
          </cell>
          <cell r="F254">
            <v>-32.812083954116702</v>
          </cell>
          <cell r="G254">
            <v>50</v>
          </cell>
          <cell r="H254">
            <v>0</v>
          </cell>
          <cell r="I254">
            <v>0</v>
          </cell>
          <cell r="J254">
            <v>0</v>
          </cell>
          <cell r="K254">
            <v>0</v>
          </cell>
          <cell r="L254">
            <v>12.75</v>
          </cell>
          <cell r="M254">
            <v>12.75</v>
          </cell>
          <cell r="N254">
            <v>2.4506784760057001</v>
          </cell>
          <cell r="O254">
            <v>-0.53298650612503595</v>
          </cell>
          <cell r="P254">
            <v>2.9836649821307399</v>
          </cell>
          <cell r="Q254">
            <v>9.3593048864796698E-3</v>
          </cell>
          <cell r="R254">
            <v>55.946869450551503</v>
          </cell>
          <cell r="S254">
            <v>18.9102544068922</v>
          </cell>
          <cell r="T254">
            <v>9.8729682278978306E-4</v>
          </cell>
          <cell r="U254">
            <v>3.9157439313298103E-3</v>
          </cell>
          <cell r="V254">
            <v>3.43036418509932E-7</v>
          </cell>
          <cell r="W254">
            <v>2.9836649821307399</v>
          </cell>
          <cell r="X254">
            <v>9.3593048864796698E-3</v>
          </cell>
          <cell r="Y254">
            <v>55.946869450551503</v>
          </cell>
          <cell r="Z254">
            <v>18.9102544068922</v>
          </cell>
          <cell r="AA254">
            <v>9.8729682278978306E-4</v>
          </cell>
          <cell r="AB254">
            <v>3.9157439313298103E-3</v>
          </cell>
          <cell r="AC254">
            <v>3.43036418509932E-7</v>
          </cell>
          <cell r="AD254">
            <v>0</v>
          </cell>
          <cell r="AE254">
            <v>0</v>
          </cell>
          <cell r="AF254">
            <v>0</v>
          </cell>
          <cell r="AG254">
            <v>0</v>
          </cell>
          <cell r="AH254">
            <v>2.33982622161992E-3</v>
          </cell>
          <cell r="AI254">
            <v>13.986717362637901</v>
          </cell>
          <cell r="AJ254">
            <v>1.4999999999999999E-2</v>
          </cell>
          <cell r="AK254">
            <v>4.5</v>
          </cell>
          <cell r="AL254">
            <v>12.5</v>
          </cell>
          <cell r="AM254">
            <v>56.25</v>
          </cell>
          <cell r="AN254">
            <v>0</v>
          </cell>
          <cell r="AO254">
            <v>0</v>
          </cell>
          <cell r="AP254">
            <v>0</v>
          </cell>
          <cell r="AQ254">
            <v>0</v>
          </cell>
          <cell r="AR254">
            <v>1.4999999999999999E-2</v>
          </cell>
          <cell r="AS254">
            <v>4.5</v>
          </cell>
          <cell r="AT254">
            <v>12.5</v>
          </cell>
          <cell r="AU254">
            <v>56.15</v>
          </cell>
          <cell r="AV254">
            <v>1.4999999999999999E-2</v>
          </cell>
          <cell r="AW254">
            <v>0</v>
          </cell>
          <cell r="AX254">
            <v>0</v>
          </cell>
          <cell r="AY254">
            <v>0.1</v>
          </cell>
          <cell r="AZ254">
            <v>0.03</v>
          </cell>
          <cell r="BA254">
            <v>9</v>
          </cell>
          <cell r="BB254">
            <v>12.5</v>
          </cell>
          <cell r="BC254">
            <v>112.4</v>
          </cell>
          <cell r="BD254">
            <v>0.03</v>
          </cell>
          <cell r="BE254">
            <v>0</v>
          </cell>
          <cell r="BF254">
            <v>0</v>
          </cell>
          <cell r="BG254">
            <v>0.1</v>
          </cell>
          <cell r="BH254">
            <v>3.8250000000000002</v>
          </cell>
          <cell r="BI254">
            <v>0.63749999999999996</v>
          </cell>
        </row>
        <row r="255">
          <cell r="A255" t="str">
            <v>Gipskarton 30 mm direkt (Deckenverkleidung)</v>
          </cell>
          <cell r="B255" t="str">
            <v>m²</v>
          </cell>
          <cell r="C255">
            <v>6</v>
          </cell>
          <cell r="D255" t="str">
            <v>E4-D-03-DEunt-GKP30-direkt</v>
          </cell>
          <cell r="E255">
            <v>1</v>
          </cell>
          <cell r="F255">
            <v>-29.290834574900099</v>
          </cell>
          <cell r="G255">
            <v>50</v>
          </cell>
          <cell r="H255">
            <v>0</v>
          </cell>
          <cell r="I255">
            <v>0</v>
          </cell>
          <cell r="J255">
            <v>0</v>
          </cell>
          <cell r="K255">
            <v>0</v>
          </cell>
          <cell r="L255">
            <v>25.5</v>
          </cell>
          <cell r="M255">
            <v>25.5</v>
          </cell>
          <cell r="N255">
            <v>4.90135695201141</v>
          </cell>
          <cell r="O255">
            <v>-1.0659730122500699</v>
          </cell>
          <cell r="P255">
            <v>5.9673299642614799</v>
          </cell>
          <cell r="Q255">
            <v>1.8718609772959301E-2</v>
          </cell>
          <cell r="R255">
            <v>111.89373890110301</v>
          </cell>
          <cell r="S255">
            <v>37.8205088137844</v>
          </cell>
          <cell r="T255">
            <v>1.97459364557957E-3</v>
          </cell>
          <cell r="U255">
            <v>7.8314878626596206E-3</v>
          </cell>
          <cell r="V255">
            <v>6.8607283701986496E-7</v>
          </cell>
          <cell r="W255">
            <v>5.9673299642614799</v>
          </cell>
          <cell r="X255">
            <v>1.8718609772959301E-2</v>
          </cell>
          <cell r="Y255">
            <v>111.89373890110301</v>
          </cell>
          <cell r="Z255">
            <v>37.8205088137844</v>
          </cell>
          <cell r="AA255">
            <v>1.97459364557957E-3</v>
          </cell>
          <cell r="AB255">
            <v>7.8314878626596206E-3</v>
          </cell>
          <cell r="AC255">
            <v>6.8607283701986496E-7</v>
          </cell>
          <cell r="AD255">
            <v>0</v>
          </cell>
          <cell r="AE255">
            <v>0</v>
          </cell>
          <cell r="AF255">
            <v>0</v>
          </cell>
          <cell r="AG255">
            <v>0</v>
          </cell>
          <cell r="AH255">
            <v>4.6796524432398401E-3</v>
          </cell>
          <cell r="AI255">
            <v>27.973434725275801</v>
          </cell>
          <cell r="AJ255">
            <v>0.03</v>
          </cell>
          <cell r="AK255">
            <v>9</v>
          </cell>
          <cell r="AL255">
            <v>12.5</v>
          </cell>
          <cell r="AM255">
            <v>112.5</v>
          </cell>
          <cell r="AN255">
            <v>0</v>
          </cell>
          <cell r="AO255">
            <v>0</v>
          </cell>
          <cell r="AP255">
            <v>0</v>
          </cell>
          <cell r="AQ255">
            <v>0</v>
          </cell>
          <cell r="AR255">
            <v>0.03</v>
          </cell>
          <cell r="AS255">
            <v>9</v>
          </cell>
          <cell r="AT255">
            <v>12.5</v>
          </cell>
          <cell r="AU255">
            <v>112.4</v>
          </cell>
          <cell r="AV255">
            <v>0.03</v>
          </cell>
          <cell r="AW255">
            <v>0</v>
          </cell>
          <cell r="AX255">
            <v>0</v>
          </cell>
          <cell r="AY255">
            <v>0.1</v>
          </cell>
          <cell r="AZ255">
            <v>0.06</v>
          </cell>
          <cell r="BA255">
            <v>18</v>
          </cell>
          <cell r="BB255">
            <v>12.5</v>
          </cell>
          <cell r="BC255">
            <v>224.9</v>
          </cell>
          <cell r="BD255">
            <v>0.06</v>
          </cell>
          <cell r="BE255">
            <v>0</v>
          </cell>
          <cell r="BF255">
            <v>0</v>
          </cell>
          <cell r="BG255">
            <v>0.1</v>
          </cell>
          <cell r="BH255">
            <v>7.65</v>
          </cell>
          <cell r="BI255">
            <v>1.2749999999999999</v>
          </cell>
        </row>
        <row r="256">
          <cell r="A256" t="str">
            <v>Kalkzementputz (Deckenverkleidung)</v>
          </cell>
          <cell r="B256" t="str">
            <v>m²</v>
          </cell>
          <cell r="C256">
            <v>7</v>
          </cell>
          <cell r="D256" t="str">
            <v>E4-D-03-DEunt-Putz</v>
          </cell>
          <cell r="E256">
            <v>1</v>
          </cell>
          <cell r="F256">
            <v>-33.115163638600599</v>
          </cell>
          <cell r="G256">
            <v>50</v>
          </cell>
          <cell r="H256">
            <v>0</v>
          </cell>
          <cell r="I256">
            <v>0</v>
          </cell>
          <cell r="J256">
            <v>0</v>
          </cell>
          <cell r="K256">
            <v>0</v>
          </cell>
          <cell r="L256">
            <v>27</v>
          </cell>
          <cell r="M256">
            <v>27</v>
          </cell>
          <cell r="N256">
            <v>4.1883185389654196</v>
          </cell>
          <cell r="O256">
            <v>-3.3986353355270997E-2</v>
          </cell>
          <cell r="P256">
            <v>4.2223048923206896</v>
          </cell>
          <cell r="Q256">
            <v>9.6929254340468902E-3</v>
          </cell>
          <cell r="R256">
            <v>36.831796410968003</v>
          </cell>
          <cell r="S256">
            <v>9.2757906929310003</v>
          </cell>
          <cell r="T256">
            <v>1.30278641766347E-3</v>
          </cell>
          <cell r="U256">
            <v>4.8748576908955402E-3</v>
          </cell>
          <cell r="V256">
            <v>1.7953985023892101E-7</v>
          </cell>
          <cell r="W256">
            <v>4.2223048923206896</v>
          </cell>
          <cell r="X256">
            <v>9.6929254340468902E-3</v>
          </cell>
          <cell r="Y256">
            <v>36.831796410968003</v>
          </cell>
          <cell r="Z256">
            <v>9.2757906929310003</v>
          </cell>
          <cell r="AA256">
            <v>1.30278641766347E-3</v>
          </cell>
          <cell r="AB256">
            <v>4.8748576908955402E-3</v>
          </cell>
          <cell r="AC256">
            <v>1.7953985023892101E-7</v>
          </cell>
          <cell r="AD256">
            <v>0</v>
          </cell>
          <cell r="AE256">
            <v>0</v>
          </cell>
          <cell r="AF256">
            <v>0</v>
          </cell>
          <cell r="AG256">
            <v>0</v>
          </cell>
          <cell r="AH256">
            <v>2.42323135851172E-3</v>
          </cell>
          <cell r="AI256">
            <v>9.2079491027420008</v>
          </cell>
          <cell r="AJ256">
            <v>1.4999999999999999E-2</v>
          </cell>
          <cell r="AK256">
            <v>1.5</v>
          </cell>
          <cell r="AL256">
            <v>12.5</v>
          </cell>
          <cell r="AM256">
            <v>18.75</v>
          </cell>
          <cell r="AN256">
            <v>0</v>
          </cell>
          <cell r="AO256">
            <v>0</v>
          </cell>
          <cell r="AP256">
            <v>0</v>
          </cell>
          <cell r="AQ256">
            <v>0</v>
          </cell>
          <cell r="AR256">
            <v>1.4999999999999999E-2</v>
          </cell>
          <cell r="AS256">
            <v>1.5</v>
          </cell>
          <cell r="AT256">
            <v>12.5</v>
          </cell>
          <cell r="AU256">
            <v>18.649999999999999</v>
          </cell>
          <cell r="AV256">
            <v>1.4999999999999999E-2</v>
          </cell>
          <cell r="AW256">
            <v>0</v>
          </cell>
          <cell r="AX256">
            <v>0</v>
          </cell>
          <cell r="AY256">
            <v>0.1</v>
          </cell>
          <cell r="AZ256">
            <v>0.03</v>
          </cell>
          <cell r="BA256">
            <v>3</v>
          </cell>
          <cell r="BB256">
            <v>12.5</v>
          </cell>
          <cell r="BC256">
            <v>37.4</v>
          </cell>
          <cell r="BD256">
            <v>0.03</v>
          </cell>
          <cell r="BE256">
            <v>0</v>
          </cell>
          <cell r="BF256">
            <v>0</v>
          </cell>
          <cell r="BG256">
            <v>0.1</v>
          </cell>
          <cell r="BH256">
            <v>2.7</v>
          </cell>
          <cell r="BI256">
            <v>1.35</v>
          </cell>
        </row>
        <row r="257">
          <cell r="A257" t="str">
            <v>Holzwolleleichtbauplatte</v>
          </cell>
          <cell r="B257" t="str">
            <v>m²</v>
          </cell>
          <cell r="C257">
            <v>8</v>
          </cell>
          <cell r="D257" t="str">
            <v>E4-D-03-DEunt-HWL</v>
          </cell>
          <cell r="E257">
            <v>1</v>
          </cell>
          <cell r="F257">
            <v>-33.7013877826314</v>
          </cell>
          <cell r="G257">
            <v>50</v>
          </cell>
          <cell r="H257">
            <v>0</v>
          </cell>
          <cell r="I257">
            <v>0</v>
          </cell>
          <cell r="J257">
            <v>0</v>
          </cell>
          <cell r="K257">
            <v>0</v>
          </cell>
          <cell r="L257">
            <v>11.25</v>
          </cell>
          <cell r="M257">
            <v>11.25</v>
          </cell>
          <cell r="N257">
            <v>-1.4937684533911899</v>
          </cell>
          <cell r="O257">
            <v>-6.6600727165162903</v>
          </cell>
          <cell r="P257">
            <v>5.1663042631250997</v>
          </cell>
          <cell r="Q257">
            <v>1.0157656018037701E-2</v>
          </cell>
          <cell r="R257">
            <v>45.796584715864803</v>
          </cell>
          <cell r="S257">
            <v>77.122818542875706</v>
          </cell>
          <cell r="T257">
            <v>1.6626378060226E-3</v>
          </cell>
          <cell r="U257">
            <v>3.2518093388227199E-3</v>
          </cell>
          <cell r="V257">
            <v>2.7236411066969899E-7</v>
          </cell>
          <cell r="W257">
            <v>5.1663042631250997</v>
          </cell>
          <cell r="X257">
            <v>1.0157656018037701E-2</v>
          </cell>
          <cell r="Y257">
            <v>45.796584715864803</v>
          </cell>
          <cell r="Z257">
            <v>77.122818542875706</v>
          </cell>
          <cell r="AA257">
            <v>1.6626378060226E-3</v>
          </cell>
          <cell r="AB257">
            <v>3.2518093388227199E-3</v>
          </cell>
          <cell r="AC257">
            <v>2.7236411066969899E-7</v>
          </cell>
          <cell r="AD257">
            <v>0</v>
          </cell>
          <cell r="AE257">
            <v>0</v>
          </cell>
          <cell r="AF257">
            <v>0</v>
          </cell>
          <cell r="AG257">
            <v>0</v>
          </cell>
          <cell r="AH257">
            <v>2.53941400450942E-3</v>
          </cell>
          <cell r="AI257">
            <v>11.449146178966201</v>
          </cell>
          <cell r="AJ257">
            <v>2.5000000000000001E-2</v>
          </cell>
          <cell r="AK257">
            <v>7.5</v>
          </cell>
          <cell r="AL257">
            <v>12.5</v>
          </cell>
          <cell r="AM257">
            <v>93.75</v>
          </cell>
          <cell r="AN257">
            <v>0</v>
          </cell>
          <cell r="AO257">
            <v>0</v>
          </cell>
          <cell r="AP257">
            <v>0</v>
          </cell>
          <cell r="AQ257">
            <v>0</v>
          </cell>
          <cell r="AR257">
            <v>2.5000000000000001E-2</v>
          </cell>
          <cell r="AS257">
            <v>7.5</v>
          </cell>
          <cell r="AT257">
            <v>12.5</v>
          </cell>
          <cell r="AU257">
            <v>93.75</v>
          </cell>
          <cell r="AV257">
            <v>1.2500000000000001E-2</v>
          </cell>
          <cell r="AW257">
            <v>1.2500000000000001E-2</v>
          </cell>
          <cell r="AX257">
            <v>0</v>
          </cell>
          <cell r="AY257">
            <v>0</v>
          </cell>
          <cell r="AZ257">
            <v>0.05</v>
          </cell>
          <cell r="BA257">
            <v>15</v>
          </cell>
          <cell r="BB257">
            <v>12.5</v>
          </cell>
          <cell r="BC257">
            <v>187.5</v>
          </cell>
          <cell r="BD257">
            <v>2.5000000000000001E-2</v>
          </cell>
          <cell r="BE257">
            <v>2.5000000000000001E-2</v>
          </cell>
          <cell r="BF257">
            <v>0</v>
          </cell>
          <cell r="BG257">
            <v>0</v>
          </cell>
          <cell r="BH257">
            <v>3.375</v>
          </cell>
          <cell r="BI257">
            <v>0.5625</v>
          </cell>
        </row>
        <row r="258">
          <cell r="A258" t="str">
            <v>Eigene Deckenverkleidung</v>
          </cell>
          <cell r="B258" t="str">
            <v>m²</v>
          </cell>
        </row>
        <row r="259">
          <cell r="A259" t="str">
            <v>Bitte auswählen</v>
          </cell>
        </row>
        <row r="260">
          <cell r="A260" t="str">
            <v>Gipskarton-Metallständerw mit Glaswolle</v>
          </cell>
          <cell r="B260" t="str">
            <v>m²</v>
          </cell>
          <cell r="C260">
            <v>1</v>
          </cell>
          <cell r="D260" t="str">
            <v>E4-D-05-IW-GKP_Met-Gw</v>
          </cell>
          <cell r="E260">
            <v>1</v>
          </cell>
          <cell r="F260">
            <v>-18.2197446420601</v>
          </cell>
          <cell r="G260">
            <v>50</v>
          </cell>
          <cell r="H260">
            <v>0</v>
          </cell>
          <cell r="I260">
            <v>0</v>
          </cell>
          <cell r="J260">
            <v>1.7</v>
          </cell>
          <cell r="K260">
            <v>0</v>
          </cell>
          <cell r="L260">
            <v>24.225000000000001</v>
          </cell>
          <cell r="M260">
            <v>25.925000000000001</v>
          </cell>
          <cell r="N260">
            <v>12.800528826192901</v>
          </cell>
          <cell r="O260">
            <v>-0.86567191816157796</v>
          </cell>
          <cell r="P260">
            <v>13.6662007443545</v>
          </cell>
          <cell r="Q260">
            <v>6.00596965313209E-2</v>
          </cell>
          <cell r="R260">
            <v>239.16623048195001</v>
          </cell>
          <cell r="S260">
            <v>40.719516798507698</v>
          </cell>
          <cell r="T260">
            <v>7.5599722437305304E-3</v>
          </cell>
          <cell r="U260">
            <v>2.7778450819139398E-2</v>
          </cell>
          <cell r="V260">
            <v>1.2509465727229999E-6</v>
          </cell>
          <cell r="W260">
            <v>13.6662007443545</v>
          </cell>
          <cell r="X260">
            <v>6.00596965313209E-2</v>
          </cell>
          <cell r="Y260">
            <v>239.16623048195001</v>
          </cell>
          <cell r="Z260">
            <v>40.719516798507698</v>
          </cell>
          <cell r="AA260">
            <v>7.5599722437305304E-3</v>
          </cell>
          <cell r="AB260">
            <v>2.7778450819139398E-2</v>
          </cell>
          <cell r="AC260">
            <v>1.2509465727229999E-6</v>
          </cell>
          <cell r="AD260">
            <v>0</v>
          </cell>
          <cell r="AE260">
            <v>0</v>
          </cell>
          <cell r="AF260">
            <v>0</v>
          </cell>
          <cell r="AG260">
            <v>0</v>
          </cell>
          <cell r="AH260">
            <v>1.5014924132830201E-2</v>
          </cell>
          <cell r="AI260">
            <v>59.791557620487403</v>
          </cell>
          <cell r="AJ260">
            <v>0.10021794871794899</v>
          </cell>
          <cell r="AK260">
            <v>30.065384615384598</v>
          </cell>
          <cell r="AL260">
            <v>62.5</v>
          </cell>
          <cell r="AM260">
            <v>375.717307692308</v>
          </cell>
          <cell r="AN260">
            <v>0</v>
          </cell>
          <cell r="AO260">
            <v>0</v>
          </cell>
          <cell r="AP260">
            <v>1.5000256410256401</v>
          </cell>
          <cell r="AQ260">
            <v>0.1</v>
          </cell>
          <cell r="AR260">
            <v>0.10021794871794899</v>
          </cell>
          <cell r="AS260">
            <v>30.065384615384598</v>
          </cell>
          <cell r="AT260">
            <v>62.5</v>
          </cell>
          <cell r="AU260">
            <v>375.717307692308</v>
          </cell>
          <cell r="AV260">
            <v>0.1</v>
          </cell>
          <cell r="AW260">
            <v>0</v>
          </cell>
          <cell r="AX260">
            <v>2.1794871794871801E-4</v>
          </cell>
          <cell r="AY260">
            <v>0.1</v>
          </cell>
          <cell r="AZ260">
            <v>0.20043589743589699</v>
          </cell>
          <cell r="BA260">
            <v>60.130769230769197</v>
          </cell>
          <cell r="BB260">
            <v>62.5</v>
          </cell>
          <cell r="BC260">
            <v>751.53461538461499</v>
          </cell>
          <cell r="BD260">
            <v>0.2</v>
          </cell>
          <cell r="BE260">
            <v>0</v>
          </cell>
          <cell r="BF260">
            <v>4.3589743589743602E-4</v>
          </cell>
          <cell r="BG260">
            <v>0.1</v>
          </cell>
          <cell r="BH260">
            <v>7.7774999999999999</v>
          </cell>
          <cell r="BI260">
            <v>1.2962499999999999</v>
          </cell>
        </row>
        <row r="261">
          <cell r="A261" t="str">
            <v>Gipskarton-Metallständerw mit Schafwolle</v>
          </cell>
          <cell r="B261" t="str">
            <v>m²</v>
          </cell>
          <cell r="C261">
            <v>2</v>
          </cell>
          <cell r="D261" t="str">
            <v>E4-D-05-IW-GKP_Met-Schafw</v>
          </cell>
          <cell r="E261">
            <v>1</v>
          </cell>
          <cell r="F261">
            <v>-22.1905965114947</v>
          </cell>
          <cell r="G261">
            <v>50</v>
          </cell>
          <cell r="H261">
            <v>2.25</v>
          </cell>
          <cell r="I261">
            <v>0</v>
          </cell>
          <cell r="J261">
            <v>1.7</v>
          </cell>
          <cell r="K261">
            <v>0</v>
          </cell>
          <cell r="L261">
            <v>22.5</v>
          </cell>
          <cell r="M261">
            <v>26.45</v>
          </cell>
          <cell r="N261">
            <v>9.7763152760353496</v>
          </cell>
          <cell r="O261">
            <v>-4.48353161102506</v>
          </cell>
          <cell r="P261">
            <v>14.2598468870604</v>
          </cell>
          <cell r="Q261">
            <v>4.2898515018915E-2</v>
          </cell>
          <cell r="R261">
            <v>203.80646819932099</v>
          </cell>
          <cell r="S261">
            <v>37.298858740281503</v>
          </cell>
          <cell r="T261">
            <v>6.2739019912759304E-3</v>
          </cell>
          <cell r="U261">
            <v>1.9626809599032902E-2</v>
          </cell>
          <cell r="V261">
            <v>1.12303243461923E-6</v>
          </cell>
          <cell r="W261">
            <v>14.2598468870604</v>
          </cell>
          <cell r="X261">
            <v>4.2898515018915E-2</v>
          </cell>
          <cell r="Y261">
            <v>203.80646819932099</v>
          </cell>
          <cell r="Z261">
            <v>37.298858740281503</v>
          </cell>
          <cell r="AA261">
            <v>6.2739019912759304E-3</v>
          </cell>
          <cell r="AB261">
            <v>1.9626809599032902E-2</v>
          </cell>
          <cell r="AC261">
            <v>1.12303243461923E-6</v>
          </cell>
          <cell r="AD261">
            <v>0</v>
          </cell>
          <cell r="AE261">
            <v>0</v>
          </cell>
          <cell r="AF261">
            <v>0</v>
          </cell>
          <cell r="AG261">
            <v>0</v>
          </cell>
          <cell r="AH261">
            <v>1.07246287547288E-2</v>
          </cell>
          <cell r="AI261">
            <v>50.951617049830197</v>
          </cell>
          <cell r="AJ261">
            <v>0.10021794871794899</v>
          </cell>
          <cell r="AK261">
            <v>30.065384615384598</v>
          </cell>
          <cell r="AL261">
            <v>62.5</v>
          </cell>
          <cell r="AM261">
            <v>375.81730769230802</v>
          </cell>
          <cell r="AN261">
            <v>2.25</v>
          </cell>
          <cell r="AO261">
            <v>0</v>
          </cell>
          <cell r="AP261">
            <v>1.5000256410256401</v>
          </cell>
          <cell r="AQ261">
            <v>0</v>
          </cell>
          <cell r="AR261">
            <v>0.10021794871794899</v>
          </cell>
          <cell r="AS261">
            <v>30.065384615384598</v>
          </cell>
          <cell r="AT261">
            <v>62.5</v>
          </cell>
          <cell r="AU261">
            <v>375.81730769230802</v>
          </cell>
          <cell r="AV261">
            <v>2.5000000000000001E-2</v>
          </cell>
          <cell r="AW261">
            <v>7.4999999999999997E-2</v>
          </cell>
          <cell r="AX261">
            <v>2.1794871794871801E-4</v>
          </cell>
          <cell r="AY261">
            <v>0</v>
          </cell>
          <cell r="AZ261">
            <v>0.20043589743589699</v>
          </cell>
          <cell r="BA261">
            <v>60.130769230769197</v>
          </cell>
          <cell r="BB261">
            <v>62.5</v>
          </cell>
          <cell r="BC261">
            <v>751.63461538461502</v>
          </cell>
          <cell r="BD261">
            <v>0.05</v>
          </cell>
          <cell r="BE261">
            <v>0.15</v>
          </cell>
          <cell r="BF261">
            <v>4.3589743589743602E-4</v>
          </cell>
          <cell r="BG261">
            <v>0</v>
          </cell>
          <cell r="BH261">
            <v>7.9349999999999996</v>
          </cell>
          <cell r="BI261">
            <v>1.3225</v>
          </cell>
        </row>
        <row r="262">
          <cell r="A262" t="str">
            <v>Gipskarton-Holzständerw mit Glaswolle</v>
          </cell>
          <cell r="B262" t="str">
            <v>m²</v>
          </cell>
          <cell r="C262">
            <v>3</v>
          </cell>
          <cell r="D262" t="str">
            <v>E4-D-05-IW-GKP_Ho-Gw</v>
          </cell>
          <cell r="E262">
            <v>1</v>
          </cell>
          <cell r="F262">
            <v>-23.698598968242301</v>
          </cell>
          <cell r="G262">
            <v>50</v>
          </cell>
          <cell r="H262">
            <v>5.625</v>
          </cell>
          <cell r="I262">
            <v>0</v>
          </cell>
          <cell r="J262">
            <v>0.2</v>
          </cell>
          <cell r="K262">
            <v>0</v>
          </cell>
          <cell r="L262">
            <v>23.966249999999999</v>
          </cell>
          <cell r="M262">
            <v>29.791250000000002</v>
          </cell>
          <cell r="N262">
            <v>0.52719986533946706</v>
          </cell>
          <cell r="O262">
            <v>-10.1424302442192</v>
          </cell>
          <cell r="P262">
            <v>10.6696301095586</v>
          </cell>
          <cell r="Q262">
            <v>4.5479302146243697E-2</v>
          </cell>
          <cell r="R262">
            <v>194.488823041057</v>
          </cell>
          <cell r="S262">
            <v>154.993653422395</v>
          </cell>
          <cell r="T262">
            <v>6.9740789841704698E-3</v>
          </cell>
          <cell r="U262">
            <v>2.0433159057729699E-2</v>
          </cell>
          <cell r="V262">
            <v>1.0849782589150401E-6</v>
          </cell>
          <cell r="W262">
            <v>10.6696301095586</v>
          </cell>
          <cell r="X262">
            <v>4.5479302146243697E-2</v>
          </cell>
          <cell r="Y262">
            <v>194.488823041057</v>
          </cell>
          <cell r="Z262">
            <v>154.993653422395</v>
          </cell>
          <cell r="AA262">
            <v>6.9740789841704698E-3</v>
          </cell>
          <cell r="AB262">
            <v>2.0433159057729699E-2</v>
          </cell>
          <cell r="AC262">
            <v>1.0849782589150401E-6</v>
          </cell>
          <cell r="AD262">
            <v>0</v>
          </cell>
          <cell r="AE262">
            <v>0</v>
          </cell>
          <cell r="AF262">
            <v>0</v>
          </cell>
          <cell r="AG262">
            <v>0</v>
          </cell>
          <cell r="AH262">
            <v>1.13698255365609E-2</v>
          </cell>
          <cell r="AI262">
            <v>48.6222057602644</v>
          </cell>
          <cell r="AJ262">
            <v>0.100025641025641</v>
          </cell>
          <cell r="AK262">
            <v>28.882692307692299</v>
          </cell>
          <cell r="AL262">
            <v>62.5</v>
          </cell>
          <cell r="AM262">
            <v>360.93365384615402</v>
          </cell>
          <cell r="AN262">
            <v>5.625</v>
          </cell>
          <cell r="AO262">
            <v>0</v>
          </cell>
          <cell r="AP262">
            <v>2.5641025641025599E-5</v>
          </cell>
          <cell r="AQ262">
            <v>0.1</v>
          </cell>
          <cell r="AR262">
            <v>0.100025641025641</v>
          </cell>
          <cell r="AS262">
            <v>28.882692307692299</v>
          </cell>
          <cell r="AT262">
            <v>62.5</v>
          </cell>
          <cell r="AU262">
            <v>361.03365384615398</v>
          </cell>
          <cell r="AV262">
            <v>8.8749999999999996E-2</v>
          </cell>
          <cell r="AW262">
            <v>1.125E-2</v>
          </cell>
          <cell r="AX262">
            <v>2.5641025641025599E-5</v>
          </cell>
          <cell r="AY262">
            <v>0</v>
          </cell>
          <cell r="AZ262">
            <v>0.200051282051282</v>
          </cell>
          <cell r="BA262">
            <v>57.765384615384598</v>
          </cell>
          <cell r="BB262">
            <v>62.5</v>
          </cell>
          <cell r="BC262">
            <v>722.06730769230796</v>
          </cell>
          <cell r="BD262">
            <v>0.17749999999999999</v>
          </cell>
          <cell r="BE262">
            <v>2.2499999999999999E-2</v>
          </cell>
          <cell r="BF262">
            <v>5.12820512820513E-5</v>
          </cell>
          <cell r="BG262">
            <v>0</v>
          </cell>
          <cell r="BH262">
            <v>8.3748749999999994</v>
          </cell>
          <cell r="BI262">
            <v>1.4895624999999999</v>
          </cell>
        </row>
        <row r="263">
          <cell r="A263" t="str">
            <v>Gipskarton-Holzständerw mit Schafwolle</v>
          </cell>
          <cell r="B263" t="str">
            <v>m²</v>
          </cell>
          <cell r="C263">
            <v>4</v>
          </cell>
          <cell r="D263" t="str">
            <v>E4-D-05-IW-GKP_Ho-Schafw</v>
          </cell>
          <cell r="E263">
            <v>1</v>
          </cell>
          <cell r="F263">
            <v>-27.073823057261801</v>
          </cell>
          <cell r="G263">
            <v>50</v>
          </cell>
          <cell r="H263">
            <v>7.5374999999999996</v>
          </cell>
          <cell r="I263">
            <v>0</v>
          </cell>
          <cell r="J263">
            <v>0.2</v>
          </cell>
          <cell r="K263">
            <v>0</v>
          </cell>
          <cell r="L263">
            <v>22.5</v>
          </cell>
          <cell r="M263">
            <v>30.237500000000001</v>
          </cell>
          <cell r="N263">
            <v>-2.0433816522944599</v>
          </cell>
          <cell r="O263">
            <v>-13.2176109831532</v>
          </cell>
          <cell r="P263">
            <v>11.174229330858701</v>
          </cell>
          <cell r="Q263">
            <v>3.0892297860698699E-2</v>
          </cell>
          <cell r="R263">
            <v>164.43302510082299</v>
          </cell>
          <cell r="S263">
            <v>152.08609407290299</v>
          </cell>
          <cell r="T263">
            <v>5.88091926958406E-3</v>
          </cell>
          <cell r="U263">
            <v>1.35042640206391E-2</v>
          </cell>
          <cell r="V263">
            <v>9.7625124152682604E-7</v>
          </cell>
          <cell r="W263">
            <v>11.174229330858701</v>
          </cell>
          <cell r="X263">
            <v>3.0892297860698699E-2</v>
          </cell>
          <cell r="Y263">
            <v>164.43302510082299</v>
          </cell>
          <cell r="Z263">
            <v>152.08609407290299</v>
          </cell>
          <cell r="AA263">
            <v>5.88091926958406E-3</v>
          </cell>
          <cell r="AB263">
            <v>1.35042640206391E-2</v>
          </cell>
          <cell r="AC263">
            <v>9.7625124152682604E-7</v>
          </cell>
          <cell r="AD263">
            <v>0</v>
          </cell>
          <cell r="AE263">
            <v>0</v>
          </cell>
          <cell r="AF263">
            <v>0</v>
          </cell>
          <cell r="AG263">
            <v>0</v>
          </cell>
          <cell r="AH263">
            <v>7.7230744651746903E-3</v>
          </cell>
          <cell r="AI263">
            <v>41.108256275205697</v>
          </cell>
          <cell r="AJ263">
            <v>0.100025641025641</v>
          </cell>
          <cell r="AK263">
            <v>28.882692307692299</v>
          </cell>
          <cell r="AL263">
            <v>62.5</v>
          </cell>
          <cell r="AM263">
            <v>360.93365384615402</v>
          </cell>
          <cell r="AN263">
            <v>7.5374999999999996</v>
          </cell>
          <cell r="AO263">
            <v>0</v>
          </cell>
          <cell r="AP263">
            <v>2.5641025641025599E-5</v>
          </cell>
          <cell r="AQ263">
            <v>0.1</v>
          </cell>
          <cell r="AR263">
            <v>0.100025641025641</v>
          </cell>
          <cell r="AS263">
            <v>28.882692307692299</v>
          </cell>
          <cell r="AT263">
            <v>62.5</v>
          </cell>
          <cell r="AU263">
            <v>361.03365384615398</v>
          </cell>
          <cell r="AV263">
            <v>2.5000000000000001E-2</v>
          </cell>
          <cell r="AW263">
            <v>7.4999999999999997E-2</v>
          </cell>
          <cell r="AX263">
            <v>2.5641025641025599E-5</v>
          </cell>
          <cell r="AY263">
            <v>0</v>
          </cell>
          <cell r="AZ263">
            <v>0.200051282051282</v>
          </cell>
          <cell r="BA263">
            <v>57.765384615384598</v>
          </cell>
          <cell r="BB263">
            <v>62.5</v>
          </cell>
          <cell r="BC263">
            <v>722.06730769230796</v>
          </cell>
          <cell r="BD263">
            <v>0.05</v>
          </cell>
          <cell r="BE263">
            <v>0.15</v>
          </cell>
          <cell r="BF263">
            <v>5.12820512820513E-5</v>
          </cell>
          <cell r="BG263">
            <v>0</v>
          </cell>
          <cell r="BH263">
            <v>8.5087499999999991</v>
          </cell>
          <cell r="BI263">
            <v>1.5118750000000001</v>
          </cell>
        </row>
        <row r="264">
          <cell r="A264" t="str">
            <v>Eigenes Innenwandelement</v>
          </cell>
          <cell r="B264" t="str">
            <v>m²</v>
          </cell>
        </row>
        <row r="267">
          <cell r="A267" t="str">
            <v>keine Angabe</v>
          </cell>
          <cell r="C267">
            <v>0</v>
          </cell>
          <cell r="F267">
            <v>0</v>
          </cell>
          <cell r="G267" t="str">
            <v>k.A.</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row>
      </sheetData>
      <sheetData sheetId="21">
        <row r="3">
          <cell r="B3" t="str">
            <v>PV-Eigenverbrauch</v>
          </cell>
          <cell r="E3" t="str">
            <v>MJ</v>
          </cell>
          <cell r="F3">
            <v>0</v>
          </cell>
          <cell r="G3">
            <v>0</v>
          </cell>
          <cell r="H3">
            <v>0</v>
          </cell>
          <cell r="I3">
            <v>0</v>
          </cell>
          <cell r="J3">
            <v>0</v>
          </cell>
        </row>
        <row r="4">
          <cell r="B4" t="str">
            <v>Ökostrom</v>
          </cell>
          <cell r="C4" t="str">
            <v>Ökostrommix (AT)</v>
          </cell>
          <cell r="E4" t="str">
            <v>MJ</v>
          </cell>
          <cell r="F4">
            <v>0</v>
          </cell>
          <cell r="G4">
            <v>0</v>
          </cell>
          <cell r="H4">
            <v>0.02</v>
          </cell>
          <cell r="I4">
            <v>0</v>
          </cell>
          <cell r="J4">
            <v>0</v>
          </cell>
        </row>
        <row r="5">
          <cell r="B5" t="str">
            <v>AT Mix</v>
          </cell>
          <cell r="C5" t="str">
            <v>Strommix (AT)</v>
          </cell>
          <cell r="E5" t="str">
            <v>MJ</v>
          </cell>
          <cell r="F5">
            <v>0.11</v>
          </cell>
          <cell r="G5">
            <v>0</v>
          </cell>
          <cell r="H5">
            <v>1.49</v>
          </cell>
          <cell r="I5">
            <v>0.11</v>
          </cell>
          <cell r="J5">
            <v>0</v>
          </cell>
        </row>
        <row r="6">
          <cell r="B6" t="str">
            <v>UCTE Mix</v>
          </cell>
          <cell r="C6" t="str">
            <v>Strommix (UCTE)</v>
          </cell>
          <cell r="E6" t="str">
            <v>MJ</v>
          </cell>
          <cell r="F6">
            <v>0.14000000000000001</v>
          </cell>
          <cell r="G6">
            <v>0</v>
          </cell>
          <cell r="H6">
            <v>2.67</v>
          </cell>
          <cell r="I6">
            <v>0.14000000000000001</v>
          </cell>
          <cell r="J6">
            <v>0</v>
          </cell>
        </row>
        <row r="7">
          <cell r="B7" t="str">
            <v>Eigene Daten (Strom)</v>
          </cell>
          <cell r="E7" t="str">
            <v>MJ</v>
          </cell>
        </row>
        <row r="8">
          <cell r="B8" t="str">
            <v>Fernwärme Mix Default</v>
          </cell>
          <cell r="C8" t="str">
            <v>Nutzwärme, Mix</v>
          </cell>
          <cell r="E8" t="str">
            <v>MJ</v>
          </cell>
          <cell r="F8">
            <v>0.02</v>
          </cell>
          <cell r="G8">
            <v>0</v>
          </cell>
          <cell r="H8">
            <v>0.22</v>
          </cell>
          <cell r="I8">
            <v>0.02</v>
          </cell>
          <cell r="J8">
            <v>0</v>
          </cell>
        </row>
        <row r="9">
          <cell r="B9" t="str">
            <v>Fernwärme aus Heizwerk (erneuerbar)</v>
          </cell>
          <cell r="D9" t="str">
            <v>GuM?</v>
          </cell>
        </row>
        <row r="10">
          <cell r="B10" t="str">
            <v>Fernwärme aus Heizwerk (nicht erneuerbar)</v>
          </cell>
          <cell r="D10" t="str">
            <v>GuM?</v>
          </cell>
        </row>
        <row r="11">
          <cell r="B11" t="str">
            <v>Fernwärme aus KWK (erneuerbar)</v>
          </cell>
          <cell r="C11" t="str">
            <v xml:space="preserve">Nutzwärme, ab Holz-WKK </v>
          </cell>
          <cell r="E11" t="str">
            <v>MJ</v>
          </cell>
          <cell r="F11">
            <v>0</v>
          </cell>
          <cell r="G11">
            <v>0</v>
          </cell>
          <cell r="H11">
            <v>0.03</v>
          </cell>
          <cell r="I11">
            <v>0</v>
          </cell>
          <cell r="J11">
            <v>0</v>
          </cell>
        </row>
        <row r="12">
          <cell r="B12" t="str">
            <v>Fernwärme aus KWK (nicht erneuerbar)</v>
          </cell>
          <cell r="C12" t="str">
            <v>Nutzwärme, ab Erdgas-BHKW</v>
          </cell>
          <cell r="E12" t="str">
            <v>MJ</v>
          </cell>
          <cell r="F12">
            <v>0.03</v>
          </cell>
          <cell r="G12">
            <v>0</v>
          </cell>
          <cell r="H12">
            <v>0.41</v>
          </cell>
          <cell r="I12">
            <v>0.03</v>
          </cell>
          <cell r="J12">
            <v>0</v>
          </cell>
        </row>
        <row r="13">
          <cell r="B13" t="str">
            <v>Abwärme</v>
          </cell>
          <cell r="E13" t="str">
            <v>MJ</v>
          </cell>
          <cell r="F13">
            <v>0</v>
          </cell>
          <cell r="G13">
            <v>0</v>
          </cell>
          <cell r="H13">
            <v>0</v>
          </cell>
          <cell r="I13">
            <v>0</v>
          </cell>
          <cell r="J13">
            <v>0</v>
          </cell>
        </row>
        <row r="14">
          <cell r="B14" t="str">
            <v>Solarthermie</v>
          </cell>
          <cell r="D14" t="str">
            <v>nur Hilfsstrom</v>
          </cell>
          <cell r="E14" t="str">
            <v>kWh</v>
          </cell>
          <cell r="F14">
            <v>0</v>
          </cell>
          <cell r="H14">
            <v>0</v>
          </cell>
        </row>
        <row r="15">
          <cell r="B15" t="str">
            <v>Pellets</v>
          </cell>
          <cell r="C15" t="str">
            <v>Pellets, Holzmix, in Feuerung 50kW</v>
          </cell>
          <cell r="E15" t="str">
            <v>MJ</v>
          </cell>
          <cell r="F15">
            <v>0.01</v>
          </cell>
          <cell r="G15">
            <v>0</v>
          </cell>
          <cell r="H15">
            <v>0.22</v>
          </cell>
          <cell r="I15">
            <v>0.01</v>
          </cell>
          <cell r="J15">
            <v>0</v>
          </cell>
        </row>
        <row r="16">
          <cell r="B16" t="str">
            <v>Hackschnitzel</v>
          </cell>
          <cell r="C16" t="str">
            <v>Hackschnitzel, Mix, in Feuerung 50 kW (ohne Ofen)</v>
          </cell>
          <cell r="E16" t="str">
            <v>MJ</v>
          </cell>
          <cell r="F16">
            <v>0</v>
          </cell>
          <cell r="G16">
            <v>0</v>
          </cell>
          <cell r="H16">
            <v>7.0000000000000007E-2</v>
          </cell>
          <cell r="I16">
            <v>7.0000000000000007E-2</v>
          </cell>
          <cell r="J16">
            <v>0</v>
          </cell>
        </row>
        <row r="17">
          <cell r="B17" t="str">
            <v>Gas konventionell</v>
          </cell>
          <cell r="C17" t="str">
            <v>Natural gas, burned in boiler fan burner non-modulating &lt;100kW/RER S</v>
          </cell>
          <cell r="E17" t="str">
            <v>MJ</v>
          </cell>
          <cell r="F17">
            <v>7.0000000000000007E-2</v>
          </cell>
          <cell r="G17">
            <v>0</v>
          </cell>
          <cell r="H17">
            <v>1.17</v>
          </cell>
          <cell r="I17">
            <v>7.0000000000000007E-2</v>
          </cell>
          <cell r="J17">
            <v>0</v>
          </cell>
        </row>
        <row r="18">
          <cell r="B18" t="str">
            <v>Gasbrennwert</v>
          </cell>
          <cell r="C18" t="str">
            <v>Natural gas, burned in boiler fan burner non-modulating &lt;100kW/RER S</v>
          </cell>
          <cell r="E18" t="str">
            <v>MJ</v>
          </cell>
          <cell r="F18">
            <v>7.0000000000000007E-2</v>
          </cell>
          <cell r="G18">
            <v>0</v>
          </cell>
          <cell r="H18">
            <v>1.17</v>
          </cell>
          <cell r="I18">
            <v>7.0000000000000007E-2</v>
          </cell>
          <cell r="J18">
            <v>0</v>
          </cell>
        </row>
        <row r="19">
          <cell r="B19" t="str">
            <v>Wärmepumpe (JAZ = 4)</v>
          </cell>
          <cell r="E19" t="str">
            <v>MJ</v>
          </cell>
          <cell r="F19">
            <v>0.11</v>
          </cell>
          <cell r="H19">
            <v>1.49</v>
          </cell>
        </row>
        <row r="20">
          <cell r="B20" t="str">
            <v>Wärmepumpe (JAZ = 3,5)</v>
          </cell>
          <cell r="E20" t="str">
            <v>MJ</v>
          </cell>
          <cell r="F20">
            <v>0.11</v>
          </cell>
          <cell r="H20">
            <v>1.49</v>
          </cell>
        </row>
        <row r="21">
          <cell r="B21" t="str">
            <v>Luft-Wärmepumpe (JAZ = 2,7)</v>
          </cell>
          <cell r="E21" t="str">
            <v>MJ</v>
          </cell>
          <cell r="F21">
            <v>0.11</v>
          </cell>
          <cell r="H21">
            <v>1.49</v>
          </cell>
        </row>
        <row r="22">
          <cell r="B22" t="str">
            <v>Eigene Daten (Heizung)</v>
          </cell>
          <cell r="E22" t="str">
            <v>Ökodaten: MJ/€: kWh</v>
          </cell>
        </row>
        <row r="23">
          <cell r="B23" t="str">
            <v xml:space="preserve">Warmwasserbereitung mit der Heizung </v>
          </cell>
          <cell r="E23" t="str">
            <v>kWh</v>
          </cell>
          <cell r="F23">
            <v>0.39600000000000002</v>
          </cell>
          <cell r="H23">
            <v>5.3639999999999999</v>
          </cell>
        </row>
        <row r="24">
          <cell r="B24" t="str">
            <v>elektrisch zentral</v>
          </cell>
          <cell r="E24" t="str">
            <v>kWh</v>
          </cell>
          <cell r="F24">
            <v>0.39600000000000002</v>
          </cell>
          <cell r="H24">
            <v>5.3639999999999999</v>
          </cell>
        </row>
        <row r="25">
          <cell r="B25" t="str">
            <v>elektrisch dezentral</v>
          </cell>
          <cell r="E25" t="str">
            <v>kWh</v>
          </cell>
          <cell r="F25">
            <v>0.39600000000000002</v>
          </cell>
          <cell r="H25">
            <v>5.3639999999999999</v>
          </cell>
        </row>
        <row r="26">
          <cell r="B26" t="str">
            <v>Eigene Daten (Warmwasser)</v>
          </cell>
          <cell r="E26" t="str">
            <v>kWh</v>
          </cell>
        </row>
        <row r="27">
          <cell r="B27" t="str">
            <v>Fernkälte</v>
          </cell>
          <cell r="E27" t="str">
            <v>kWh</v>
          </cell>
        </row>
        <row r="28">
          <cell r="B28" t="str">
            <v>Absorptionskältemaschine (FW)</v>
          </cell>
          <cell r="D28" t="str">
            <v>Fernwärme Mix+ Hilfsstrom? Werte aus Fernwärme Mix Default/3,6</v>
          </cell>
          <cell r="E28" t="str">
            <v>kWh</v>
          </cell>
          <cell r="F28">
            <v>5.5555555555555558E-3</v>
          </cell>
          <cell r="G28">
            <v>0</v>
          </cell>
          <cell r="H28">
            <v>6.1111111111111109E-2</v>
          </cell>
          <cell r="I28">
            <v>5.5555555555555558E-3</v>
          </cell>
          <cell r="J28">
            <v>0</v>
          </cell>
        </row>
        <row r="29">
          <cell r="B29" t="str">
            <v>Absorptionskältemaschine (Gas)</v>
          </cell>
          <cell r="D29" t="str">
            <v>Werte aus Gas konventionell/3,6</v>
          </cell>
          <cell r="E29" t="str">
            <v>kWh</v>
          </cell>
          <cell r="F29">
            <v>1.9444444444444445E-2</v>
          </cell>
          <cell r="G29">
            <v>0</v>
          </cell>
          <cell r="H29">
            <v>0.32499999999999996</v>
          </cell>
          <cell r="I29">
            <v>1.9444444444444445E-2</v>
          </cell>
          <cell r="J29">
            <v>0</v>
          </cell>
        </row>
        <row r="30">
          <cell r="B30" t="str">
            <v>Absorptionskältemaschine Solar/Fernwärme</v>
          </cell>
        </row>
        <row r="31">
          <cell r="B31" t="str">
            <v>Absorptionskältemaschine Solar/Gas</v>
          </cell>
        </row>
        <row r="32">
          <cell r="B32" t="str">
            <v>Free Cooling (Lüftungsanlage)</v>
          </cell>
          <cell r="D32" t="str">
            <v>nur Pumpenhilfsstrom</v>
          </cell>
          <cell r="E32" t="str">
            <v>kWh</v>
          </cell>
          <cell r="F32">
            <v>0.39600000000000002</v>
          </cell>
          <cell r="H32">
            <v>5.3639999999999999</v>
          </cell>
        </row>
        <row r="33">
          <cell r="B33" t="str">
            <v>Free Cooling (Grundwasser)</v>
          </cell>
          <cell r="D33" t="str">
            <v>nur Pumpenhilfsstrom</v>
          </cell>
          <cell r="E33" t="str">
            <v>kWh</v>
          </cell>
          <cell r="F33">
            <v>0.39600000000000002</v>
          </cell>
          <cell r="H33">
            <v>5.3639999999999999</v>
          </cell>
        </row>
        <row r="34">
          <cell r="B34" t="str">
            <v>Kompressionskältemaschine (SEER=2,5)</v>
          </cell>
          <cell r="D34" t="str">
            <v>Strom</v>
          </cell>
          <cell r="E34" t="str">
            <v>kWh</v>
          </cell>
          <cell r="F34">
            <v>0.39600000000000002</v>
          </cell>
          <cell r="H34">
            <v>5.3639999999999999</v>
          </cell>
        </row>
        <row r="35">
          <cell r="B35" t="str">
            <v>Turbokältemaschine (SEER=6)</v>
          </cell>
          <cell r="D35" t="str">
            <v>Strom</v>
          </cell>
          <cell r="E35" t="str">
            <v>kWh</v>
          </cell>
          <cell r="F35">
            <v>0.39600000000000002</v>
          </cell>
          <cell r="H35">
            <v>5.3639999999999999</v>
          </cell>
        </row>
        <row r="36">
          <cell r="B36" t="str">
            <v>keine Kühlung vorgesehen</v>
          </cell>
          <cell r="F36">
            <v>0</v>
          </cell>
          <cell r="G36">
            <v>0</v>
          </cell>
          <cell r="H36">
            <v>0</v>
          </cell>
          <cell r="I36">
            <v>0</v>
          </cell>
          <cell r="J36">
            <v>0</v>
          </cell>
        </row>
        <row r="37">
          <cell r="B37" t="str">
            <v>Eigene Daten (Kühlung)</v>
          </cell>
          <cell r="E37" t="str">
            <v>kWh</v>
          </cell>
        </row>
        <row r="38">
          <cell r="B38" t="str">
            <v>keine Angabe</v>
          </cell>
          <cell r="F38">
            <v>0</v>
          </cell>
          <cell r="G38">
            <v>0</v>
          </cell>
          <cell r="H38">
            <v>0</v>
          </cell>
          <cell r="I38">
            <v>0</v>
          </cell>
          <cell r="J38">
            <v>0</v>
          </cell>
        </row>
      </sheetData>
      <sheetData sheetId="22">
        <row r="2">
          <cell r="B2" t="str">
            <v>Bitte auswählen</v>
          </cell>
          <cell r="C2" t="str">
            <v>Bitte auswählen</v>
          </cell>
          <cell r="D2" t="str">
            <v>Bitte auswählen</v>
          </cell>
          <cell r="E2" t="str">
            <v>Bitte auswählen</v>
          </cell>
          <cell r="F2" t="str">
            <v>Bitte auswählen</v>
          </cell>
          <cell r="G2" t="str">
            <v>Bitte auswählen</v>
          </cell>
        </row>
        <row r="3">
          <cell r="B3" t="str">
            <v>Bürogebäude</v>
          </cell>
          <cell r="C3" t="str">
            <v>brutto (inkl. USt.)</v>
          </cell>
          <cell r="D3" t="str">
            <v>sehr niedrig</v>
          </cell>
          <cell r="E3" t="str">
            <v>keine</v>
          </cell>
          <cell r="F3" t="str">
            <v>ja</v>
          </cell>
          <cell r="G3" t="str">
            <v xml:space="preserve">mechanische Lüftung mit/ohne Wärmerückgewinnung </v>
          </cell>
        </row>
        <row r="4">
          <cell r="B4" t="str">
            <v>Schule/Kindergarten</v>
          </cell>
          <cell r="C4" t="str">
            <v>netto (exkl. USt.)</v>
          </cell>
          <cell r="D4" t="str">
            <v>niedrig</v>
          </cell>
          <cell r="E4" t="str">
            <v>niedrig</v>
          </cell>
          <cell r="F4" t="str">
            <v>nein</v>
          </cell>
          <cell r="G4" t="str">
            <v>Abluftanlage (bedarfsorientiert)</v>
          </cell>
        </row>
        <row r="5">
          <cell r="B5" t="str">
            <v>Mehrgeschoßiger Wohnbau</v>
          </cell>
          <cell r="D5" t="str">
            <v>mittel</v>
          </cell>
          <cell r="E5" t="str">
            <v>mittel</v>
          </cell>
          <cell r="G5" t="str">
            <v>Fensterlüftung</v>
          </cell>
        </row>
        <row r="6">
          <cell r="D6" t="str">
            <v>hoch</v>
          </cell>
          <cell r="E6" t="str">
            <v>hoch</v>
          </cell>
        </row>
        <row r="8">
          <cell r="B8" t="str">
            <v>Bitte auswählen</v>
          </cell>
        </row>
        <row r="9">
          <cell r="B9" t="str">
            <v>PV-Eigenverbrauch</v>
          </cell>
          <cell r="G9" t="str">
            <v>Wärmeversorgung</v>
          </cell>
          <cell r="H9" t="str">
            <v>sehr niedrig</v>
          </cell>
          <cell r="I9" t="str">
            <v>niedrig</v>
          </cell>
          <cell r="J9" t="str">
            <v>mittel</v>
          </cell>
          <cell r="K9" t="str">
            <v>hoch</v>
          </cell>
          <cell r="L9">
            <v>0</v>
          </cell>
        </row>
        <row r="10">
          <cell r="B10" t="str">
            <v>Ökostrom</v>
          </cell>
          <cell r="L10">
            <v>0.219</v>
          </cell>
        </row>
        <row r="11">
          <cell r="B11" t="str">
            <v>AT Mix</v>
          </cell>
          <cell r="L11">
            <v>0.18</v>
          </cell>
        </row>
        <row r="12">
          <cell r="B12" t="str">
            <v>UCTE Mix</v>
          </cell>
          <cell r="L12">
            <v>0.18</v>
          </cell>
        </row>
        <row r="13">
          <cell r="B13" t="str">
            <v>Eigene Daten (Strom)</v>
          </cell>
          <cell r="L13">
            <v>0.18</v>
          </cell>
        </row>
        <row r="14">
          <cell r="D14" t="str">
            <v>Nutzungsgrad Versorgungs-system</v>
          </cell>
          <cell r="E14" t="str">
            <v>Nutzungsgrad Versorgungs-system</v>
          </cell>
          <cell r="F14" t="str">
            <v>HEB (Endenergie) Strom+FW</v>
          </cell>
          <cell r="G14" t="str">
            <v>davon Hilfsstrom Wärmeversorgung</v>
          </cell>
          <cell r="H14" t="str">
            <v>davon Hilfsstrom Abgabe/Verteilung</v>
          </cell>
        </row>
        <row r="15">
          <cell r="B15" t="str">
            <v>Bitte auswählen</v>
          </cell>
        </row>
        <row r="16">
          <cell r="B16" t="str">
            <v>Fernwärme Mix Default</v>
          </cell>
          <cell r="D16">
            <v>1.0526315789473684</v>
          </cell>
          <cell r="E16">
            <v>1.0526315789473684</v>
          </cell>
          <cell r="G16">
            <v>0</v>
          </cell>
          <cell r="H16">
            <v>0.02</v>
          </cell>
          <cell r="I16">
            <v>0.02</v>
          </cell>
          <cell r="J16">
            <v>0.04</v>
          </cell>
          <cell r="K16">
            <v>0.08</v>
          </cell>
          <cell r="L16">
            <v>9.2604000000000006E-2</v>
          </cell>
        </row>
        <row r="17">
          <cell r="B17" t="str">
            <v>Fernwärme aus Heizwerk (erneuerbar)</v>
          </cell>
          <cell r="D17">
            <v>1.0526315789473684</v>
          </cell>
          <cell r="E17">
            <v>1.0526315789473684</v>
          </cell>
          <cell r="G17">
            <v>0</v>
          </cell>
          <cell r="H17">
            <v>0.02</v>
          </cell>
          <cell r="I17">
            <v>0.02</v>
          </cell>
          <cell r="J17">
            <v>0.04</v>
          </cell>
          <cell r="K17">
            <v>0.08</v>
          </cell>
          <cell r="L17">
            <v>9.2604000000000006E-2</v>
          </cell>
        </row>
        <row r="18">
          <cell r="B18" t="str">
            <v>Fernwärme aus Heizwerk (nicht erneuerbar)</v>
          </cell>
          <cell r="D18">
            <v>1.0526315789473684</v>
          </cell>
          <cell r="E18">
            <v>1.0526315789473684</v>
          </cell>
          <cell r="G18">
            <v>0</v>
          </cell>
          <cell r="H18">
            <v>0.02</v>
          </cell>
          <cell r="I18">
            <v>0.02</v>
          </cell>
          <cell r="J18">
            <v>0.04</v>
          </cell>
          <cell r="K18">
            <v>0.08</v>
          </cell>
          <cell r="L18">
            <v>9.2604000000000006E-2</v>
          </cell>
        </row>
        <row r="19">
          <cell r="B19" t="str">
            <v>Fernwärme aus KWK (erneuerbar)</v>
          </cell>
          <cell r="D19">
            <v>1.0526315789473684</v>
          </cell>
          <cell r="E19">
            <v>1.0526315789473684</v>
          </cell>
          <cell r="G19">
            <v>0</v>
          </cell>
          <cell r="H19">
            <v>0.02</v>
          </cell>
          <cell r="I19">
            <v>0.02</v>
          </cell>
          <cell r="J19">
            <v>0.04</v>
          </cell>
          <cell r="K19">
            <v>0.08</v>
          </cell>
          <cell r="L19">
            <v>9.2604000000000006E-2</v>
          </cell>
        </row>
        <row r="20">
          <cell r="B20" t="str">
            <v>Fernwärme aus KWK (nicht erneuerbar)</v>
          </cell>
          <cell r="D20">
            <v>1.0526315789473684</v>
          </cell>
          <cell r="E20">
            <v>1.0526315789473684</v>
          </cell>
          <cell r="G20">
            <v>0</v>
          </cell>
          <cell r="H20">
            <v>0.02</v>
          </cell>
          <cell r="I20">
            <v>0.02</v>
          </cell>
          <cell r="J20">
            <v>0.04</v>
          </cell>
          <cell r="K20">
            <v>0.08</v>
          </cell>
          <cell r="L20">
            <v>9.2604000000000006E-2</v>
          </cell>
        </row>
        <row r="21">
          <cell r="B21" t="str">
            <v>Abwärme</v>
          </cell>
          <cell r="D21">
            <v>1.0526315789473684</v>
          </cell>
          <cell r="E21">
            <v>1.0526315789473684</v>
          </cell>
          <cell r="G21">
            <v>0</v>
          </cell>
          <cell r="H21">
            <v>0.02</v>
          </cell>
          <cell r="I21">
            <v>0.02</v>
          </cell>
          <cell r="J21">
            <v>0.04</v>
          </cell>
          <cell r="K21">
            <v>0.08</v>
          </cell>
          <cell r="L21">
            <v>0</v>
          </cell>
        </row>
        <row r="22">
          <cell r="B22" t="str">
            <v>Solarthermie</v>
          </cell>
          <cell r="D22">
            <v>1</v>
          </cell>
          <cell r="E22">
            <v>0.02</v>
          </cell>
          <cell r="G22">
            <v>0.02</v>
          </cell>
          <cell r="H22">
            <v>0.02</v>
          </cell>
          <cell r="I22">
            <v>0.02</v>
          </cell>
          <cell r="J22">
            <v>0.04</v>
          </cell>
          <cell r="K22">
            <v>0.08</v>
          </cell>
          <cell r="L22">
            <v>0</v>
          </cell>
        </row>
        <row r="23">
          <cell r="B23" t="str">
            <v>Pellets</v>
          </cell>
          <cell r="D23">
            <v>1.25</v>
          </cell>
          <cell r="E23">
            <v>1.25</v>
          </cell>
          <cell r="G23">
            <v>0.05</v>
          </cell>
          <cell r="H23">
            <v>0.02</v>
          </cell>
          <cell r="I23">
            <v>0.02</v>
          </cell>
          <cell r="J23">
            <v>0.04</v>
          </cell>
          <cell r="K23">
            <v>0.08</v>
          </cell>
          <cell r="L23">
            <v>5.4204000000000002E-2</v>
          </cell>
        </row>
        <row r="24">
          <cell r="B24" t="str">
            <v>Hackschnitzel</v>
          </cell>
          <cell r="D24">
            <v>1.25</v>
          </cell>
          <cell r="E24">
            <v>1.25</v>
          </cell>
          <cell r="G24">
            <v>0.05</v>
          </cell>
          <cell r="H24">
            <v>0.02</v>
          </cell>
          <cell r="I24">
            <v>0.02</v>
          </cell>
          <cell r="J24">
            <v>0.04</v>
          </cell>
          <cell r="K24">
            <v>0.08</v>
          </cell>
          <cell r="L24">
            <v>4.6199999999999998E-2</v>
          </cell>
        </row>
        <row r="25">
          <cell r="B25" t="str">
            <v>Gasbrennwert</v>
          </cell>
          <cell r="D25">
            <v>1.0526315789473684</v>
          </cell>
          <cell r="E25">
            <v>1.0526315789473684</v>
          </cell>
          <cell r="G25">
            <v>0.02</v>
          </cell>
          <cell r="H25">
            <v>0.02</v>
          </cell>
          <cell r="I25">
            <v>0.02</v>
          </cell>
          <cell r="J25">
            <v>0.04</v>
          </cell>
          <cell r="K25">
            <v>0.08</v>
          </cell>
          <cell r="L25">
            <v>7.2996000000000005E-2</v>
          </cell>
        </row>
        <row r="26">
          <cell r="B26" t="str">
            <v>Gas konventionell</v>
          </cell>
          <cell r="D26">
            <v>1.1764705882352942</v>
          </cell>
          <cell r="E26">
            <v>1.1764705882352942</v>
          </cell>
          <cell r="G26">
            <v>0.02</v>
          </cell>
          <cell r="H26">
            <v>0.02</v>
          </cell>
          <cell r="I26">
            <v>0.02</v>
          </cell>
          <cell r="J26">
            <v>0.04</v>
          </cell>
          <cell r="K26">
            <v>0.08</v>
          </cell>
          <cell r="L26">
            <v>7.2996000000000005E-2</v>
          </cell>
        </row>
        <row r="27">
          <cell r="B27" t="str">
            <v>Wärmepumpe (JAZ = 4)</v>
          </cell>
          <cell r="D27">
            <v>0.25</v>
          </cell>
          <cell r="E27">
            <v>0.25</v>
          </cell>
          <cell r="G27">
            <v>0.04</v>
          </cell>
          <cell r="H27">
            <v>0.02</v>
          </cell>
          <cell r="I27">
            <v>0.02</v>
          </cell>
          <cell r="J27">
            <v>0.04</v>
          </cell>
          <cell r="K27">
            <v>0.08</v>
          </cell>
          <cell r="L27">
            <v>0.18</v>
          </cell>
        </row>
        <row r="28">
          <cell r="B28" t="str">
            <v>Wärmepumpe (JAZ = 3,5)</v>
          </cell>
          <cell r="D28">
            <v>0.2857142857142857</v>
          </cell>
          <cell r="E28">
            <v>0.2857142857142857</v>
          </cell>
          <cell r="G28">
            <v>0.04</v>
          </cell>
          <cell r="H28">
            <v>0.02</v>
          </cell>
          <cell r="I28">
            <v>0.02</v>
          </cell>
          <cell r="J28">
            <v>0.04</v>
          </cell>
          <cell r="K28">
            <v>0.08</v>
          </cell>
          <cell r="L28">
            <v>0.18</v>
          </cell>
        </row>
        <row r="29">
          <cell r="B29" t="str">
            <v>Luft-Wärmepumpe (JAZ = 2,7)</v>
          </cell>
          <cell r="D29">
            <v>0.37037037037037035</v>
          </cell>
          <cell r="E29">
            <v>0.37037037037037035</v>
          </cell>
          <cell r="G29">
            <v>0.02</v>
          </cell>
          <cell r="H29">
            <v>0.02</v>
          </cell>
          <cell r="I29">
            <v>0.02</v>
          </cell>
          <cell r="J29">
            <v>0.04</v>
          </cell>
          <cell r="K29">
            <v>0.08</v>
          </cell>
          <cell r="L29">
            <v>0.18</v>
          </cell>
        </row>
        <row r="30">
          <cell r="B30" t="str">
            <v>Eigene Daten (Heizung)</v>
          </cell>
          <cell r="D30">
            <v>0</v>
          </cell>
          <cell r="E30">
            <v>0</v>
          </cell>
          <cell r="G30">
            <v>0</v>
          </cell>
          <cell r="H30">
            <v>0.02</v>
          </cell>
          <cell r="I30">
            <v>0.02</v>
          </cell>
          <cell r="J30">
            <v>0.04</v>
          </cell>
          <cell r="K30">
            <v>0.08</v>
          </cell>
          <cell r="L30">
            <v>0</v>
          </cell>
        </row>
        <row r="31">
          <cell r="B31" t="str">
            <v>keine Angabe</v>
          </cell>
          <cell r="D31">
            <v>0</v>
          </cell>
          <cell r="E31">
            <v>0</v>
          </cell>
          <cell r="G31">
            <v>0</v>
          </cell>
          <cell r="H31">
            <v>0</v>
          </cell>
          <cell r="I31">
            <v>0</v>
          </cell>
          <cell r="J31">
            <v>0</v>
          </cell>
          <cell r="K31">
            <v>0</v>
          </cell>
          <cell r="L31">
            <v>0</v>
          </cell>
        </row>
        <row r="32">
          <cell r="B32" t="str">
            <v>Bitte auswählen</v>
          </cell>
          <cell r="G32" t="str">
            <v>Hilfsstrom</v>
          </cell>
          <cell r="H32" t="str">
            <v>sehr niedrig</v>
          </cell>
          <cell r="I32" t="str">
            <v>niedrig</v>
          </cell>
          <cell r="J32" t="str">
            <v>mittel</v>
          </cell>
          <cell r="K32" t="str">
            <v>hoch</v>
          </cell>
        </row>
        <row r="33">
          <cell r="B33" t="str">
            <v xml:space="preserve">Warmwasserbereitung mit der Heizung </v>
          </cell>
          <cell r="D33">
            <v>0.2857142857142857</v>
          </cell>
          <cell r="E33">
            <v>0.2857142857142857</v>
          </cell>
          <cell r="G33">
            <v>0.06</v>
          </cell>
          <cell r="H33">
            <v>0</v>
          </cell>
          <cell r="I33">
            <v>0</v>
          </cell>
          <cell r="J33">
            <v>0</v>
          </cell>
          <cell r="K33">
            <v>0</v>
          </cell>
          <cell r="L33">
            <v>0.18</v>
          </cell>
        </row>
        <row r="34">
          <cell r="B34" t="str">
            <v>Solarthermie</v>
          </cell>
          <cell r="D34">
            <v>1</v>
          </cell>
          <cell r="E34">
            <v>0.02</v>
          </cell>
          <cell r="G34">
            <v>0.02</v>
          </cell>
          <cell r="H34">
            <v>0.02</v>
          </cell>
          <cell r="I34">
            <v>0.02</v>
          </cell>
          <cell r="J34">
            <v>0.04</v>
          </cell>
          <cell r="K34">
            <v>0.08</v>
          </cell>
          <cell r="L34">
            <v>0</v>
          </cell>
        </row>
        <row r="35">
          <cell r="B35" t="str">
            <v>elektrisch zentral</v>
          </cell>
          <cell r="D35">
            <v>1</v>
          </cell>
          <cell r="E35">
            <v>1</v>
          </cell>
          <cell r="G35">
            <v>0.02</v>
          </cell>
          <cell r="H35">
            <v>0.02</v>
          </cell>
          <cell r="I35">
            <v>0.02</v>
          </cell>
          <cell r="J35">
            <v>0.04</v>
          </cell>
          <cell r="K35">
            <v>0.08</v>
          </cell>
          <cell r="L35">
            <v>0.18</v>
          </cell>
        </row>
        <row r="36">
          <cell r="B36" t="str">
            <v>elektrisch dezentral</v>
          </cell>
          <cell r="D36">
            <v>1</v>
          </cell>
          <cell r="E36">
            <v>1</v>
          </cell>
          <cell r="G36">
            <v>0.02</v>
          </cell>
          <cell r="H36">
            <v>0</v>
          </cell>
          <cell r="I36">
            <v>0</v>
          </cell>
          <cell r="J36">
            <v>0</v>
          </cell>
          <cell r="K36">
            <v>0</v>
          </cell>
          <cell r="L36">
            <v>0.18</v>
          </cell>
        </row>
        <row r="37">
          <cell r="B37" t="str">
            <v>Eigene Daten (Warmwasser)</v>
          </cell>
          <cell r="D37">
            <v>0</v>
          </cell>
          <cell r="E37">
            <v>0</v>
          </cell>
          <cell r="G37">
            <v>0</v>
          </cell>
          <cell r="H37">
            <v>0.02</v>
          </cell>
          <cell r="I37">
            <v>0.02</v>
          </cell>
          <cell r="J37">
            <v>0.04</v>
          </cell>
          <cell r="K37">
            <v>0.08</v>
          </cell>
          <cell r="L37">
            <v>0</v>
          </cell>
        </row>
        <row r="38">
          <cell r="B38" t="str">
            <v>keine Angabe</v>
          </cell>
          <cell r="D38">
            <v>0</v>
          </cell>
          <cell r="E38">
            <v>0</v>
          </cell>
          <cell r="G38">
            <v>0</v>
          </cell>
          <cell r="H38">
            <v>0</v>
          </cell>
          <cell r="I38">
            <v>0</v>
          </cell>
          <cell r="J38">
            <v>0</v>
          </cell>
          <cell r="K38">
            <v>0</v>
          </cell>
          <cell r="L38">
            <v>0</v>
          </cell>
        </row>
        <row r="39">
          <cell r="B39" t="str">
            <v>Bitte auswählen</v>
          </cell>
        </row>
        <row r="40">
          <cell r="B40" t="str">
            <v>Fernkälte</v>
          </cell>
          <cell r="E40">
            <v>1.0526315789473684</v>
          </cell>
          <cell r="G40">
            <v>0.06</v>
          </cell>
          <cell r="L40">
            <v>0</v>
          </cell>
        </row>
        <row r="41">
          <cell r="B41" t="str">
            <v>Absorptionskältemaschine (FW)</v>
          </cell>
          <cell r="E41">
            <v>1.742</v>
          </cell>
          <cell r="G41">
            <v>0.04</v>
          </cell>
          <cell r="L41">
            <v>9.2604000000000006E-2</v>
          </cell>
        </row>
        <row r="42">
          <cell r="B42" t="str">
            <v>Absorptionskältemaschine (Gas)</v>
          </cell>
          <cell r="E42">
            <v>1.742</v>
          </cell>
          <cell r="G42">
            <v>0.04</v>
          </cell>
          <cell r="L42">
            <v>7.2996000000000005E-2</v>
          </cell>
        </row>
        <row r="43">
          <cell r="B43" t="str">
            <v>Absorptionskältemaschine Solar/Fernwärme</v>
          </cell>
          <cell r="F43" t="str">
            <v>abzüglich Solaranteil</v>
          </cell>
        </row>
        <row r="44">
          <cell r="B44" t="str">
            <v>Absorptionskältemaschine Solar/Gas</v>
          </cell>
          <cell r="F44" t="str">
            <v>abzüglich Solaranteil</v>
          </cell>
        </row>
        <row r="45">
          <cell r="B45" t="str">
            <v>Free Cooling (Lüftungsanlage)</v>
          </cell>
          <cell r="E45">
            <v>7.0000000000000007E-2</v>
          </cell>
          <cell r="G45">
            <v>0</v>
          </cell>
          <cell r="H45">
            <v>0</v>
          </cell>
          <cell r="I45">
            <v>0</v>
          </cell>
          <cell r="J45">
            <v>0</v>
          </cell>
          <cell r="K45">
            <v>0</v>
          </cell>
          <cell r="L45">
            <v>0.18</v>
          </cell>
        </row>
        <row r="46">
          <cell r="B46" t="str">
            <v>Free Cooling (Grundwasser)</v>
          </cell>
          <cell r="E46">
            <v>0.05</v>
          </cell>
          <cell r="G46">
            <v>0</v>
          </cell>
          <cell r="H46">
            <v>0</v>
          </cell>
          <cell r="I46">
            <v>0</v>
          </cell>
          <cell r="J46">
            <v>0</v>
          </cell>
          <cell r="K46">
            <v>0</v>
          </cell>
          <cell r="L46">
            <v>0.18</v>
          </cell>
        </row>
        <row r="47">
          <cell r="B47" t="str">
            <v>Kompressionskältemaschine (SEER=2,5)</v>
          </cell>
          <cell r="E47">
            <v>0.4</v>
          </cell>
          <cell r="G47">
            <v>0</v>
          </cell>
          <cell r="L47">
            <v>0.18</v>
          </cell>
        </row>
        <row r="48">
          <cell r="B48" t="str">
            <v>Turbokältemaschine (SEER=6)</v>
          </cell>
          <cell r="E48">
            <v>0.16666666666666666</v>
          </cell>
          <cell r="G48">
            <v>0</v>
          </cell>
          <cell r="L48">
            <v>0.18</v>
          </cell>
        </row>
        <row r="49">
          <cell r="B49" t="str">
            <v>keine Kühlung vorgesehen</v>
          </cell>
          <cell r="E49">
            <v>0</v>
          </cell>
          <cell r="G49">
            <v>0</v>
          </cell>
          <cell r="L49">
            <v>0</v>
          </cell>
        </row>
        <row r="50">
          <cell r="B50" t="str">
            <v>Eigene Daten (Kühlung)</v>
          </cell>
          <cell r="E50">
            <v>0</v>
          </cell>
          <cell r="G50">
            <v>0</v>
          </cell>
          <cell r="L50">
            <v>0</v>
          </cell>
        </row>
        <row r="107">
          <cell r="A107" t="str">
            <v>keine</v>
          </cell>
          <cell r="B107">
            <v>0</v>
          </cell>
          <cell r="C107">
            <v>0</v>
          </cell>
        </row>
        <row r="108">
          <cell r="A108" t="str">
            <v>niedrig</v>
          </cell>
          <cell r="B108">
            <v>100</v>
          </cell>
          <cell r="C108">
            <v>70</v>
          </cell>
        </row>
        <row r="109">
          <cell r="A109" t="str">
            <v>mittel</v>
          </cell>
          <cell r="B109">
            <v>300</v>
          </cell>
          <cell r="C109">
            <v>130</v>
          </cell>
        </row>
        <row r="110">
          <cell r="A110" t="str">
            <v>hoch</v>
          </cell>
          <cell r="B110">
            <v>600</v>
          </cell>
          <cell r="C110">
            <v>170</v>
          </cell>
        </row>
      </sheetData>
      <sheetData sheetId="23">
        <row r="4">
          <cell r="C4" t="str">
            <v>E</v>
          </cell>
          <cell r="D4" t="str">
            <v>Objekt-Errichtung</v>
          </cell>
        </row>
        <row r="5">
          <cell r="C5" t="str">
            <v>E2</v>
          </cell>
          <cell r="D5" t="str">
            <v>Bauwerk - Rohbau</v>
          </cell>
        </row>
        <row r="6">
          <cell r="C6" t="str">
            <v>E2.C</v>
          </cell>
          <cell r="D6" t="str">
            <v>Gründungen, Bodenkonstruktionen</v>
          </cell>
        </row>
        <row r="7">
          <cell r="C7" t="str">
            <v>E2.C.03</v>
          </cell>
          <cell r="D7" t="str">
            <v>Flachgründungen</v>
          </cell>
        </row>
        <row r="8">
          <cell r="C8" t="str">
            <v>E2.C.03a</v>
          </cell>
          <cell r="D8" t="str">
            <v>Fundamentplatte inkl. Rollierung</v>
          </cell>
          <cell r="G8">
            <v>0</v>
          </cell>
          <cell r="H8">
            <v>0</v>
          </cell>
          <cell r="I8">
            <v>0</v>
          </cell>
          <cell r="J8">
            <v>0</v>
          </cell>
          <cell r="K8">
            <v>0</v>
          </cell>
          <cell r="L8">
            <v>0</v>
          </cell>
          <cell r="M8" t="str">
            <v>k.A.</v>
          </cell>
          <cell r="N8">
            <v>0</v>
          </cell>
          <cell r="O8">
            <v>0</v>
          </cell>
          <cell r="P8">
            <v>0</v>
          </cell>
          <cell r="Q8">
            <v>0</v>
          </cell>
          <cell r="R8">
            <v>0</v>
          </cell>
        </row>
        <row r="9">
          <cell r="C9" t="str">
            <v>E2.C.03b</v>
          </cell>
          <cell r="D9" t="str">
            <v>Wärmedämmung</v>
          </cell>
          <cell r="G9">
            <v>0</v>
          </cell>
          <cell r="H9">
            <v>1202.8900000000001</v>
          </cell>
          <cell r="I9">
            <v>0</v>
          </cell>
          <cell r="J9">
            <v>0</v>
          </cell>
          <cell r="K9">
            <v>0</v>
          </cell>
          <cell r="L9">
            <v>1202.8900000000001</v>
          </cell>
          <cell r="M9">
            <v>100</v>
          </cell>
          <cell r="N9">
            <v>0</v>
          </cell>
          <cell r="O9">
            <v>1202.8900000000001</v>
          </cell>
          <cell r="P9">
            <v>0</v>
          </cell>
          <cell r="Q9">
            <v>0</v>
          </cell>
          <cell r="R9">
            <v>0</v>
          </cell>
        </row>
        <row r="10">
          <cell r="C10" t="str">
            <v>E2.C.03c</v>
          </cell>
          <cell r="D10" t="str">
            <v>Bodenaufbau (Estrich)</v>
          </cell>
          <cell r="G10">
            <v>0</v>
          </cell>
          <cell r="H10">
            <v>0</v>
          </cell>
          <cell r="I10">
            <v>0</v>
          </cell>
          <cell r="J10">
            <v>0</v>
          </cell>
          <cell r="K10">
            <v>0</v>
          </cell>
          <cell r="L10">
            <v>0</v>
          </cell>
          <cell r="M10" t="str">
            <v>k.A.</v>
          </cell>
          <cell r="N10">
            <v>0</v>
          </cell>
          <cell r="O10">
            <v>0</v>
          </cell>
          <cell r="P10">
            <v>0</v>
          </cell>
          <cell r="Q10">
            <v>0</v>
          </cell>
          <cell r="R10">
            <v>0</v>
          </cell>
        </row>
        <row r="11">
          <cell r="C11" t="str">
            <v>E2.C.04</v>
          </cell>
          <cell r="D11" t="str">
            <v>Bodenkonstruktionen</v>
          </cell>
        </row>
        <row r="12">
          <cell r="C12" t="str">
            <v>E2.C.04a</v>
          </cell>
          <cell r="D12" t="str">
            <v>Bodenplatte inkl. Rollierung</v>
          </cell>
          <cell r="G12">
            <v>0</v>
          </cell>
          <cell r="H12">
            <v>0</v>
          </cell>
          <cell r="I12">
            <v>11110.905000000001</v>
          </cell>
          <cell r="J12">
            <v>452413.26</v>
          </cell>
          <cell r="K12">
            <v>0</v>
          </cell>
          <cell r="L12">
            <v>463524.16499999998</v>
          </cell>
          <cell r="M12">
            <v>100</v>
          </cell>
          <cell r="N12">
            <v>0</v>
          </cell>
          <cell r="O12">
            <v>0</v>
          </cell>
          <cell r="P12">
            <v>11110.905000000001</v>
          </cell>
          <cell r="Q12">
            <v>452413.26</v>
          </cell>
          <cell r="R12">
            <v>0</v>
          </cell>
        </row>
        <row r="13">
          <cell r="C13" t="str">
            <v>E2.C.04b</v>
          </cell>
          <cell r="D13" t="str">
            <v>Wärmedämmung</v>
          </cell>
          <cell r="G13">
            <v>0</v>
          </cell>
          <cell r="H13">
            <v>3165.5</v>
          </cell>
          <cell r="I13">
            <v>0</v>
          </cell>
          <cell r="J13">
            <v>0</v>
          </cell>
          <cell r="K13">
            <v>0</v>
          </cell>
          <cell r="L13">
            <v>3165.5</v>
          </cell>
          <cell r="M13">
            <v>50</v>
          </cell>
          <cell r="N13">
            <v>0</v>
          </cell>
          <cell r="O13">
            <v>3165.5</v>
          </cell>
          <cell r="P13">
            <v>0</v>
          </cell>
          <cell r="Q13">
            <v>0</v>
          </cell>
          <cell r="R13">
            <v>0</v>
          </cell>
        </row>
        <row r="14">
          <cell r="C14" t="str">
            <v>E2.C.04c</v>
          </cell>
          <cell r="D14" t="str">
            <v>Bodenaufbau (Estrich)</v>
          </cell>
          <cell r="G14">
            <v>0</v>
          </cell>
          <cell r="H14">
            <v>4020.1849999999999</v>
          </cell>
          <cell r="I14">
            <v>0</v>
          </cell>
          <cell r="J14">
            <v>75972</v>
          </cell>
          <cell r="K14">
            <v>1291.5240000000001</v>
          </cell>
          <cell r="L14">
            <v>81283.708999999988</v>
          </cell>
          <cell r="M14">
            <v>50</v>
          </cell>
          <cell r="N14">
            <v>0</v>
          </cell>
          <cell r="O14">
            <v>4020.1849999999999</v>
          </cell>
          <cell r="P14">
            <v>0</v>
          </cell>
          <cell r="Q14">
            <v>75972</v>
          </cell>
          <cell r="R14">
            <v>1291.5240000000001</v>
          </cell>
        </row>
        <row r="15">
          <cell r="C15" t="str">
            <v>E2.C.05</v>
          </cell>
          <cell r="D15" t="str">
            <v xml:space="preserve">Bauwerksabdichtungen </v>
          </cell>
          <cell r="G15">
            <v>0</v>
          </cell>
          <cell r="H15">
            <v>0</v>
          </cell>
          <cell r="I15">
            <v>0</v>
          </cell>
          <cell r="J15">
            <v>0</v>
          </cell>
          <cell r="K15">
            <v>0</v>
          </cell>
          <cell r="L15">
            <v>0</v>
          </cell>
          <cell r="M15" t="str">
            <v>k.A.</v>
          </cell>
          <cell r="N15">
            <v>0</v>
          </cell>
          <cell r="O15">
            <v>0</v>
          </cell>
          <cell r="P15">
            <v>0</v>
          </cell>
          <cell r="Q15">
            <v>0</v>
          </cell>
          <cell r="R15">
            <v>0</v>
          </cell>
        </row>
        <row r="16">
          <cell r="C16" t="str">
            <v>E2.C.Fun</v>
          </cell>
          <cell r="D16" t="str">
            <v>Beton und Stahl für Fundament</v>
          </cell>
        </row>
        <row r="17">
          <cell r="C17" t="str">
            <v>E2.C.Fun.a</v>
          </cell>
          <cell r="D17" t="str">
            <v>Normalbeton</v>
          </cell>
          <cell r="G17">
            <v>0</v>
          </cell>
          <cell r="H17">
            <v>0</v>
          </cell>
          <cell r="I17">
            <v>0</v>
          </cell>
          <cell r="J17">
            <v>0</v>
          </cell>
          <cell r="K17">
            <v>0</v>
          </cell>
          <cell r="L17">
            <v>0</v>
          </cell>
          <cell r="M17">
            <v>100</v>
          </cell>
          <cell r="N17">
            <v>0</v>
          </cell>
          <cell r="O17">
            <v>0</v>
          </cell>
          <cell r="P17">
            <v>0</v>
          </cell>
          <cell r="Q17">
            <v>0</v>
          </cell>
          <cell r="R17">
            <v>0</v>
          </cell>
        </row>
        <row r="18">
          <cell r="C18" t="str">
            <v>E2.C.Fun.b</v>
          </cell>
          <cell r="D18" t="str">
            <v>Armierungsstahl</v>
          </cell>
          <cell r="G18">
            <v>0</v>
          </cell>
          <cell r="H18">
            <v>0</v>
          </cell>
          <cell r="I18">
            <v>0</v>
          </cell>
          <cell r="J18">
            <v>0</v>
          </cell>
          <cell r="K18">
            <v>0</v>
          </cell>
          <cell r="L18">
            <v>0</v>
          </cell>
          <cell r="M18">
            <v>100</v>
          </cell>
          <cell r="N18">
            <v>0</v>
          </cell>
          <cell r="O18">
            <v>0</v>
          </cell>
          <cell r="P18">
            <v>0</v>
          </cell>
          <cell r="Q18">
            <v>0</v>
          </cell>
          <cell r="R18">
            <v>0</v>
          </cell>
        </row>
        <row r="19">
          <cell r="C19" t="str">
            <v>E2.C.Fun.c</v>
          </cell>
          <cell r="D19" t="str">
            <v>Kies</v>
          </cell>
          <cell r="G19">
            <v>0</v>
          </cell>
          <cell r="H19">
            <v>0</v>
          </cell>
          <cell r="I19">
            <v>0</v>
          </cell>
          <cell r="J19">
            <v>0</v>
          </cell>
          <cell r="K19">
            <v>0</v>
          </cell>
          <cell r="L19">
            <v>227916</v>
          </cell>
          <cell r="M19">
            <v>100</v>
          </cell>
          <cell r="N19">
            <v>0</v>
          </cell>
          <cell r="O19">
            <v>0</v>
          </cell>
          <cell r="P19">
            <v>0</v>
          </cell>
          <cell r="Q19">
            <v>0</v>
          </cell>
          <cell r="R19">
            <v>0</v>
          </cell>
        </row>
        <row r="20">
          <cell r="C20" t="str">
            <v>E2.D</v>
          </cell>
          <cell r="D20" t="str">
            <v>Horizontale Baukonstruktionen</v>
          </cell>
        </row>
        <row r="21">
          <cell r="C21" t="str">
            <v>E2.D.01</v>
          </cell>
          <cell r="D21" t="str">
            <v>Deckenkonstruktionen</v>
          </cell>
        </row>
        <row r="22">
          <cell r="C22" t="str">
            <v>E2.D.01.K</v>
          </cell>
          <cell r="D22" t="str">
            <v>Kellerdecke (KD)</v>
          </cell>
          <cell r="G22">
            <v>0</v>
          </cell>
          <cell r="H22">
            <v>0</v>
          </cell>
          <cell r="I22">
            <v>0</v>
          </cell>
          <cell r="J22">
            <v>0</v>
          </cell>
          <cell r="K22">
            <v>0</v>
          </cell>
          <cell r="L22">
            <v>0</v>
          </cell>
          <cell r="M22">
            <v>100</v>
          </cell>
          <cell r="N22">
            <v>0</v>
          </cell>
          <cell r="O22">
            <v>0</v>
          </cell>
          <cell r="P22">
            <v>0</v>
          </cell>
          <cell r="Q22">
            <v>0</v>
          </cell>
          <cell r="R22">
            <v>0</v>
          </cell>
        </row>
        <row r="23">
          <cell r="C23" t="str">
            <v>E2.D.01.Ka</v>
          </cell>
          <cell r="D23" t="str">
            <v>Wärmedämmung für KD</v>
          </cell>
          <cell r="G23">
            <v>0</v>
          </cell>
          <cell r="H23">
            <v>0</v>
          </cell>
          <cell r="I23">
            <v>0</v>
          </cell>
          <cell r="J23">
            <v>0</v>
          </cell>
          <cell r="K23">
            <v>0</v>
          </cell>
          <cell r="L23">
            <v>0</v>
          </cell>
          <cell r="M23" t="str">
            <v>k.A.</v>
          </cell>
          <cell r="N23">
            <v>0</v>
          </cell>
          <cell r="O23">
            <v>0</v>
          </cell>
          <cell r="P23">
            <v>0</v>
          </cell>
          <cell r="Q23">
            <v>0</v>
          </cell>
          <cell r="R23">
            <v>0</v>
          </cell>
        </row>
        <row r="24">
          <cell r="C24" t="str">
            <v>E2.D.01.Kc</v>
          </cell>
          <cell r="D24" t="str">
            <v>Estrich auf KD</v>
          </cell>
          <cell r="G24">
            <v>0</v>
          </cell>
          <cell r="H24">
            <v>0</v>
          </cell>
          <cell r="I24">
            <v>0</v>
          </cell>
          <cell r="J24">
            <v>0</v>
          </cell>
          <cell r="K24">
            <v>0</v>
          </cell>
          <cell r="L24">
            <v>0</v>
          </cell>
          <cell r="M24" t="str">
            <v>k.A.</v>
          </cell>
          <cell r="N24">
            <v>0</v>
          </cell>
          <cell r="O24">
            <v>0</v>
          </cell>
          <cell r="P24">
            <v>0</v>
          </cell>
          <cell r="Q24">
            <v>0</v>
          </cell>
          <cell r="R24">
            <v>0</v>
          </cell>
        </row>
        <row r="25">
          <cell r="C25" t="str">
            <v>E2.D.01.G</v>
          </cell>
          <cell r="D25" t="str">
            <v>Geschoßdecken (GD)</v>
          </cell>
          <cell r="G25">
            <v>0</v>
          </cell>
          <cell r="H25">
            <v>0</v>
          </cell>
          <cell r="I25">
            <v>0</v>
          </cell>
          <cell r="J25">
            <v>0</v>
          </cell>
          <cell r="K25">
            <v>0</v>
          </cell>
          <cell r="L25">
            <v>0</v>
          </cell>
          <cell r="M25">
            <v>100</v>
          </cell>
          <cell r="N25">
            <v>0</v>
          </cell>
          <cell r="O25">
            <v>0</v>
          </cell>
          <cell r="P25">
            <v>0</v>
          </cell>
          <cell r="Q25">
            <v>0</v>
          </cell>
          <cell r="R25">
            <v>0</v>
          </cell>
        </row>
        <row r="26">
          <cell r="C26" t="str">
            <v>E2.D.01.Ga</v>
          </cell>
          <cell r="D26" t="str">
            <v>Estrich auf GD</v>
          </cell>
          <cell r="G26">
            <v>0</v>
          </cell>
          <cell r="H26">
            <v>0</v>
          </cell>
          <cell r="I26">
            <v>0</v>
          </cell>
          <cell r="J26">
            <v>0</v>
          </cell>
          <cell r="K26">
            <v>0</v>
          </cell>
          <cell r="L26">
            <v>0</v>
          </cell>
          <cell r="M26" t="str">
            <v>k.A.</v>
          </cell>
          <cell r="N26">
            <v>0</v>
          </cell>
          <cell r="O26">
            <v>0</v>
          </cell>
          <cell r="P26">
            <v>0</v>
          </cell>
          <cell r="Q26">
            <v>0</v>
          </cell>
          <cell r="R26">
            <v>0</v>
          </cell>
        </row>
        <row r="27">
          <cell r="C27" t="str">
            <v>E2.D.01.A</v>
          </cell>
          <cell r="D27" t="str">
            <v>Vorkragende Decken (AD)</v>
          </cell>
          <cell r="G27">
            <v>0</v>
          </cell>
          <cell r="H27">
            <v>0</v>
          </cell>
          <cell r="I27">
            <v>0</v>
          </cell>
          <cell r="J27">
            <v>0</v>
          </cell>
          <cell r="K27">
            <v>0</v>
          </cell>
          <cell r="L27">
            <v>0</v>
          </cell>
          <cell r="M27">
            <v>100</v>
          </cell>
          <cell r="N27">
            <v>0</v>
          </cell>
          <cell r="O27">
            <v>0</v>
          </cell>
          <cell r="P27">
            <v>0</v>
          </cell>
          <cell r="Q27">
            <v>0</v>
          </cell>
          <cell r="R27">
            <v>0</v>
          </cell>
        </row>
        <row r="28">
          <cell r="C28" t="str">
            <v>E2.D.01.Aa</v>
          </cell>
          <cell r="D28" t="str">
            <v>Wärmedämmung auf AD</v>
          </cell>
          <cell r="G28">
            <v>0</v>
          </cell>
          <cell r="H28">
            <v>0</v>
          </cell>
          <cell r="I28">
            <v>0</v>
          </cell>
          <cell r="J28">
            <v>0</v>
          </cell>
          <cell r="K28">
            <v>0</v>
          </cell>
          <cell r="L28">
            <v>0</v>
          </cell>
          <cell r="M28" t="str">
            <v>k.A.</v>
          </cell>
          <cell r="N28">
            <v>0</v>
          </cell>
          <cell r="O28">
            <v>0</v>
          </cell>
          <cell r="P28">
            <v>0</v>
          </cell>
          <cell r="Q28">
            <v>0</v>
          </cell>
          <cell r="R28">
            <v>0</v>
          </cell>
        </row>
        <row r="29">
          <cell r="C29" t="str">
            <v>E2.D.01.Ac</v>
          </cell>
          <cell r="D29" t="str">
            <v>Estrich auf AD</v>
          </cell>
          <cell r="G29">
            <v>0</v>
          </cell>
          <cell r="H29">
            <v>0</v>
          </cell>
          <cell r="I29">
            <v>0</v>
          </cell>
          <cell r="J29">
            <v>0</v>
          </cell>
          <cell r="K29">
            <v>0</v>
          </cell>
          <cell r="L29">
            <v>0</v>
          </cell>
          <cell r="M29" t="str">
            <v>k.A.</v>
          </cell>
          <cell r="N29">
            <v>0</v>
          </cell>
          <cell r="O29">
            <v>0</v>
          </cell>
          <cell r="P29">
            <v>0</v>
          </cell>
          <cell r="Q29">
            <v>0</v>
          </cell>
          <cell r="R29">
            <v>0</v>
          </cell>
        </row>
        <row r="30">
          <cell r="C30" t="str">
            <v>E2.D.02</v>
          </cell>
          <cell r="D30" t="str">
            <v>Treppenkonstruktionen</v>
          </cell>
          <cell r="G30">
            <v>0</v>
          </cell>
          <cell r="H30">
            <v>0</v>
          </cell>
          <cell r="I30">
            <v>0</v>
          </cell>
          <cell r="J30">
            <v>0</v>
          </cell>
          <cell r="K30">
            <v>0</v>
          </cell>
          <cell r="L30">
            <v>0</v>
          </cell>
          <cell r="M30">
            <v>100</v>
          </cell>
          <cell r="N30">
            <v>0</v>
          </cell>
          <cell r="O30">
            <v>0</v>
          </cell>
          <cell r="P30">
            <v>0</v>
          </cell>
          <cell r="Q30">
            <v>0</v>
          </cell>
          <cell r="R30">
            <v>0</v>
          </cell>
        </row>
        <row r="31">
          <cell r="C31" t="str">
            <v>E2.D.03</v>
          </cell>
          <cell r="D31" t="str">
            <v>Dachkonstruktionen</v>
          </cell>
        </row>
        <row r="32">
          <cell r="D32" t="str">
            <v>Dachkonstruktion 1</v>
          </cell>
        </row>
        <row r="33">
          <cell r="C33" t="str">
            <v>E2.D.03.a</v>
          </cell>
          <cell r="D33" t="str">
            <v>Dach</v>
          </cell>
          <cell r="G33">
            <v>9471.1760000000013</v>
          </cell>
          <cell r="H33">
            <v>126.62</v>
          </cell>
          <cell r="I33">
            <v>0</v>
          </cell>
          <cell r="J33">
            <v>0</v>
          </cell>
          <cell r="K33">
            <v>0</v>
          </cell>
          <cell r="L33">
            <v>9597.7960000000003</v>
          </cell>
          <cell r="M33">
            <v>50</v>
          </cell>
          <cell r="N33">
            <v>9471.1760000000013</v>
          </cell>
          <cell r="O33">
            <v>126.62</v>
          </cell>
          <cell r="P33">
            <v>0</v>
          </cell>
          <cell r="Q33">
            <v>0</v>
          </cell>
          <cell r="R33">
            <v>0</v>
          </cell>
        </row>
        <row r="34">
          <cell r="C34" t="str">
            <v>E2.D.03.a1</v>
          </cell>
          <cell r="D34" t="str">
            <v>Dämmung</v>
          </cell>
          <cell r="G34">
            <v>0</v>
          </cell>
          <cell r="H34">
            <v>13730.6728</v>
          </cell>
          <cell r="I34">
            <v>0</v>
          </cell>
          <cell r="J34">
            <v>0</v>
          </cell>
          <cell r="K34">
            <v>0</v>
          </cell>
          <cell r="L34">
            <v>13730.6728</v>
          </cell>
          <cell r="M34">
            <v>50</v>
          </cell>
          <cell r="N34">
            <v>0</v>
          </cell>
          <cell r="O34">
            <v>13730.6728</v>
          </cell>
          <cell r="P34">
            <v>0</v>
          </cell>
          <cell r="Q34">
            <v>0</v>
          </cell>
          <cell r="R34">
            <v>0</v>
          </cell>
        </row>
        <row r="35">
          <cell r="C35" t="str">
            <v>E2.D.03.a2</v>
          </cell>
          <cell r="D35" t="str">
            <v>Unterdach</v>
          </cell>
          <cell r="G35">
            <v>0</v>
          </cell>
          <cell r="H35">
            <v>0</v>
          </cell>
          <cell r="I35">
            <v>0</v>
          </cell>
          <cell r="J35">
            <v>0</v>
          </cell>
          <cell r="K35">
            <v>0</v>
          </cell>
          <cell r="L35">
            <v>0</v>
          </cell>
          <cell r="M35" t="str">
            <v>k.A.</v>
          </cell>
          <cell r="N35">
            <v>0</v>
          </cell>
          <cell r="O35">
            <v>0</v>
          </cell>
          <cell r="P35">
            <v>0</v>
          </cell>
          <cell r="Q35">
            <v>0</v>
          </cell>
          <cell r="R35">
            <v>0</v>
          </cell>
        </row>
        <row r="36">
          <cell r="C36" t="str">
            <v>E2.D.03.a3</v>
          </cell>
          <cell r="D36" t="str">
            <v>Dachabdichtung</v>
          </cell>
          <cell r="G36">
            <v>0</v>
          </cell>
          <cell r="H36">
            <v>0</v>
          </cell>
          <cell r="I36">
            <v>0</v>
          </cell>
          <cell r="J36">
            <v>0</v>
          </cell>
          <cell r="K36">
            <v>6527.2610000000004</v>
          </cell>
          <cell r="L36">
            <v>6527.2610000000004</v>
          </cell>
          <cell r="M36">
            <v>100</v>
          </cell>
          <cell r="N36">
            <v>0</v>
          </cell>
          <cell r="O36">
            <v>0</v>
          </cell>
          <cell r="P36">
            <v>0</v>
          </cell>
          <cell r="Q36">
            <v>0</v>
          </cell>
          <cell r="R36">
            <v>6527.2610000000004</v>
          </cell>
        </row>
        <row r="37">
          <cell r="D37" t="str">
            <v>Dachkonstruktion 2</v>
          </cell>
        </row>
        <row r="38">
          <cell r="C38" t="str">
            <v>E2.D.03.b</v>
          </cell>
          <cell r="D38" t="str">
            <v>Dach</v>
          </cell>
          <cell r="G38">
            <v>0</v>
          </cell>
          <cell r="H38">
            <v>0</v>
          </cell>
          <cell r="I38">
            <v>0</v>
          </cell>
          <cell r="J38">
            <v>0</v>
          </cell>
          <cell r="K38">
            <v>0</v>
          </cell>
          <cell r="L38">
            <v>0</v>
          </cell>
          <cell r="M38" t="str">
            <v>k.A.</v>
          </cell>
          <cell r="N38">
            <v>0</v>
          </cell>
          <cell r="O38">
            <v>0</v>
          </cell>
          <cell r="P38">
            <v>0</v>
          </cell>
          <cell r="Q38">
            <v>0</v>
          </cell>
          <cell r="R38">
            <v>0</v>
          </cell>
        </row>
        <row r="39">
          <cell r="C39" t="str">
            <v>E2.D.03.b1</v>
          </cell>
          <cell r="D39" t="str">
            <v>Dämmung</v>
          </cell>
          <cell r="G39">
            <v>0</v>
          </cell>
          <cell r="H39">
            <v>0</v>
          </cell>
          <cell r="I39">
            <v>0</v>
          </cell>
          <cell r="J39">
            <v>0</v>
          </cell>
          <cell r="K39">
            <v>0</v>
          </cell>
          <cell r="L39">
            <v>0</v>
          </cell>
          <cell r="M39" t="str">
            <v>k.A.</v>
          </cell>
          <cell r="N39">
            <v>0</v>
          </cell>
          <cell r="O39">
            <v>0</v>
          </cell>
          <cell r="P39">
            <v>0</v>
          </cell>
          <cell r="Q39">
            <v>0</v>
          </cell>
          <cell r="R39">
            <v>0</v>
          </cell>
        </row>
        <row r="40">
          <cell r="C40" t="str">
            <v>E2.D.03.b2</v>
          </cell>
          <cell r="D40" t="str">
            <v>Unterdach</v>
          </cell>
          <cell r="G40">
            <v>0</v>
          </cell>
          <cell r="H40">
            <v>0</v>
          </cell>
          <cell r="I40">
            <v>0</v>
          </cell>
          <cell r="J40">
            <v>0</v>
          </cell>
          <cell r="K40">
            <v>0</v>
          </cell>
          <cell r="L40">
            <v>0</v>
          </cell>
          <cell r="M40" t="str">
            <v>k.A.</v>
          </cell>
          <cell r="N40">
            <v>0</v>
          </cell>
          <cell r="O40">
            <v>0</v>
          </cell>
          <cell r="P40">
            <v>0</v>
          </cell>
          <cell r="Q40">
            <v>0</v>
          </cell>
          <cell r="R40">
            <v>0</v>
          </cell>
        </row>
        <row r="41">
          <cell r="C41" t="str">
            <v>E2.D.03.b3</v>
          </cell>
          <cell r="D41" t="str">
            <v>Dachabdichtung</v>
          </cell>
          <cell r="G41">
            <v>0</v>
          </cell>
          <cell r="H41">
            <v>0</v>
          </cell>
          <cell r="I41">
            <v>0</v>
          </cell>
          <cell r="J41">
            <v>0</v>
          </cell>
          <cell r="K41">
            <v>0</v>
          </cell>
          <cell r="L41">
            <v>0</v>
          </cell>
          <cell r="M41" t="str">
            <v>k.A.</v>
          </cell>
          <cell r="N41">
            <v>0</v>
          </cell>
          <cell r="O41">
            <v>0</v>
          </cell>
          <cell r="P41">
            <v>0</v>
          </cell>
          <cell r="Q41">
            <v>0</v>
          </cell>
          <cell r="R41">
            <v>0</v>
          </cell>
        </row>
        <row r="42">
          <cell r="C42" t="str">
            <v>E2.E</v>
          </cell>
          <cell r="D42" t="str">
            <v>Vertikale Baukonstruktionen</v>
          </cell>
        </row>
        <row r="43">
          <cell r="C43" t="str">
            <v>E2.E.01</v>
          </cell>
          <cell r="D43" t="str">
            <v>Aussenwandkonstruktionen</v>
          </cell>
        </row>
        <row r="44">
          <cell r="C44" t="str">
            <v>E2.E.01.a</v>
          </cell>
          <cell r="D44" t="str">
            <v>Aussenwandkonstruktion 1</v>
          </cell>
          <cell r="G44">
            <v>0</v>
          </cell>
          <cell r="H44">
            <v>0</v>
          </cell>
          <cell r="I44">
            <v>3922.8567300000004</v>
          </cell>
          <cell r="J44">
            <v>80155.921560000017</v>
          </cell>
          <cell r="K44">
            <v>0</v>
          </cell>
          <cell r="L44">
            <v>84078.778290000017</v>
          </cell>
          <cell r="M44">
            <v>100</v>
          </cell>
          <cell r="N44">
            <v>0</v>
          </cell>
          <cell r="O44">
            <v>0</v>
          </cell>
          <cell r="P44">
            <v>3922.8567300000004</v>
          </cell>
          <cell r="Q44">
            <v>80155.921560000017</v>
          </cell>
          <cell r="R44">
            <v>0</v>
          </cell>
        </row>
        <row r="45">
          <cell r="C45" t="str">
            <v>E2.E.01.b</v>
          </cell>
          <cell r="D45" t="str">
            <v>Aussenwandkonstruktion 2</v>
          </cell>
          <cell r="G45">
            <v>0</v>
          </cell>
          <cell r="H45">
            <v>0</v>
          </cell>
          <cell r="I45">
            <v>0</v>
          </cell>
          <cell r="J45">
            <v>0</v>
          </cell>
          <cell r="K45">
            <v>0</v>
          </cell>
          <cell r="L45">
            <v>0</v>
          </cell>
          <cell r="M45" t="str">
            <v>k.A.</v>
          </cell>
          <cell r="N45">
            <v>0</v>
          </cell>
          <cell r="O45">
            <v>0</v>
          </cell>
          <cell r="P45">
            <v>0</v>
          </cell>
          <cell r="Q45">
            <v>0</v>
          </cell>
          <cell r="R45">
            <v>0</v>
          </cell>
        </row>
        <row r="46">
          <cell r="C46" t="str">
            <v>E2.E.01.d</v>
          </cell>
          <cell r="D46" t="str">
            <v>Aussenwandkonstruktionen Holzleichtbau</v>
          </cell>
          <cell r="G46">
            <v>5342.3560169999992</v>
          </cell>
          <cell r="H46">
            <v>51.651899999999991</v>
          </cell>
          <cell r="I46">
            <v>0</v>
          </cell>
          <cell r="J46">
            <v>0</v>
          </cell>
          <cell r="K46">
            <v>0</v>
          </cell>
          <cell r="L46">
            <v>5394.007916999999</v>
          </cell>
          <cell r="M46">
            <v>50</v>
          </cell>
          <cell r="N46">
            <v>5342.3560169999992</v>
          </cell>
          <cell r="O46">
            <v>51.651899999999991</v>
          </cell>
          <cell r="P46">
            <v>0</v>
          </cell>
          <cell r="Q46">
            <v>0</v>
          </cell>
          <cell r="R46">
            <v>0</v>
          </cell>
        </row>
        <row r="47">
          <cell r="C47" t="str">
            <v>E2.E.01.f</v>
          </cell>
          <cell r="D47" t="str">
            <v>Erdberührte Außenwände</v>
          </cell>
          <cell r="G47">
            <v>0</v>
          </cell>
          <cell r="H47">
            <v>0</v>
          </cell>
          <cell r="I47">
            <v>0</v>
          </cell>
          <cell r="J47">
            <v>0</v>
          </cell>
          <cell r="K47">
            <v>0</v>
          </cell>
          <cell r="L47">
            <v>0</v>
          </cell>
          <cell r="M47" t="str">
            <v>k.A.</v>
          </cell>
          <cell r="N47">
            <v>0</v>
          </cell>
          <cell r="O47">
            <v>0</v>
          </cell>
          <cell r="P47">
            <v>0</v>
          </cell>
          <cell r="Q47">
            <v>0</v>
          </cell>
          <cell r="R47">
            <v>0</v>
          </cell>
        </row>
        <row r="48">
          <cell r="C48" t="str">
            <v>E2.E.02</v>
          </cell>
          <cell r="D48" t="str">
            <v>Innenwandkonstruktionen</v>
          </cell>
        </row>
        <row r="49">
          <cell r="C49" t="str">
            <v>E2.E.02a</v>
          </cell>
          <cell r="D49" t="str">
            <v>Innenwandkonstruktion 1</v>
          </cell>
          <cell r="G49">
            <v>4519.2</v>
          </cell>
          <cell r="H49">
            <v>0</v>
          </cell>
          <cell r="I49">
            <v>117.6875</v>
          </cell>
          <cell r="J49">
            <v>0</v>
          </cell>
          <cell r="K49">
            <v>42404.421888140998</v>
          </cell>
          <cell r="L49">
            <v>47041.294300000001</v>
          </cell>
          <cell r="M49">
            <v>50</v>
          </cell>
          <cell r="N49">
            <v>4519.2</v>
          </cell>
          <cell r="O49">
            <v>0</v>
          </cell>
          <cell r="P49">
            <v>117.6875</v>
          </cell>
          <cell r="Q49">
            <v>0</v>
          </cell>
          <cell r="R49">
            <v>42404.421888140998</v>
          </cell>
        </row>
        <row r="50">
          <cell r="C50" t="str">
            <v>E2.E.02b</v>
          </cell>
          <cell r="D50" t="str">
            <v>Innenwandkonstruktion 2</v>
          </cell>
          <cell r="G50">
            <v>0</v>
          </cell>
          <cell r="H50">
            <v>0</v>
          </cell>
          <cell r="I50">
            <v>0</v>
          </cell>
          <cell r="J50">
            <v>0</v>
          </cell>
          <cell r="K50">
            <v>0</v>
          </cell>
          <cell r="L50">
            <v>0</v>
          </cell>
          <cell r="M50" t="str">
            <v>k.A.</v>
          </cell>
          <cell r="N50">
            <v>0</v>
          </cell>
          <cell r="O50">
            <v>0</v>
          </cell>
          <cell r="P50">
            <v>0</v>
          </cell>
          <cell r="Q50">
            <v>0</v>
          </cell>
          <cell r="R50">
            <v>0</v>
          </cell>
        </row>
        <row r="51">
          <cell r="C51" t="str">
            <v>E2.E.02c</v>
          </cell>
          <cell r="D51" t="str">
            <v>Innenwandkonstruktion 3</v>
          </cell>
          <cell r="G51">
            <v>0</v>
          </cell>
          <cell r="H51">
            <v>0</v>
          </cell>
          <cell r="I51">
            <v>0</v>
          </cell>
          <cell r="J51">
            <v>0</v>
          </cell>
          <cell r="K51">
            <v>0</v>
          </cell>
          <cell r="L51">
            <v>0</v>
          </cell>
          <cell r="M51" t="str">
            <v>k.A.</v>
          </cell>
          <cell r="N51">
            <v>0</v>
          </cell>
          <cell r="O51">
            <v>0</v>
          </cell>
          <cell r="P51">
            <v>0</v>
          </cell>
          <cell r="Q51">
            <v>0</v>
          </cell>
          <cell r="R51">
            <v>0</v>
          </cell>
        </row>
        <row r="52">
          <cell r="C52" t="str">
            <v>E2.E.03</v>
          </cell>
          <cell r="D52" t="str">
            <v>Stützenkonstruktionen</v>
          </cell>
          <cell r="G52">
            <v>0</v>
          </cell>
          <cell r="H52">
            <v>0</v>
          </cell>
          <cell r="I52">
            <v>0</v>
          </cell>
          <cell r="J52">
            <v>0</v>
          </cell>
          <cell r="K52">
            <v>0</v>
          </cell>
          <cell r="L52">
            <v>0</v>
          </cell>
          <cell r="M52" t="str">
            <v>k.A.</v>
          </cell>
          <cell r="N52">
            <v>0</v>
          </cell>
          <cell r="O52">
            <v>0</v>
          </cell>
          <cell r="P52">
            <v>0</v>
          </cell>
          <cell r="Q52">
            <v>0</v>
          </cell>
          <cell r="R52">
            <v>0</v>
          </cell>
        </row>
        <row r="53">
          <cell r="C53" t="str">
            <v>E3</v>
          </cell>
          <cell r="D53" t="str">
            <v>Bauwerk - Technik</v>
          </cell>
        </row>
        <row r="54">
          <cell r="C54" t="str">
            <v>E3.C</v>
          </cell>
          <cell r="D54" t="str">
            <v>Wärmeversorgungsanlagen</v>
          </cell>
        </row>
        <row r="55">
          <cell r="C55" t="str">
            <v>E3.C.01</v>
          </cell>
          <cell r="D55" t="str">
            <v>Wärmeerzeugungsanlagen</v>
          </cell>
        </row>
        <row r="56">
          <cell r="C56" t="str">
            <v>E3.F</v>
          </cell>
          <cell r="D56" t="str">
            <v>Starkstromanlagen</v>
          </cell>
        </row>
        <row r="57">
          <cell r="C57" t="str">
            <v>E3.F.02</v>
          </cell>
          <cell r="D57" t="str">
            <v>Eigenstromversorgung</v>
          </cell>
        </row>
        <row r="58">
          <cell r="C58" t="str">
            <v>E4</v>
          </cell>
          <cell r="D58" t="str">
            <v>Bauwerk - Ausbau</v>
          </cell>
        </row>
        <row r="59">
          <cell r="C59" t="str">
            <v>E4.B</v>
          </cell>
          <cell r="D59" t="str">
            <v>Dachverkleidung</v>
          </cell>
        </row>
        <row r="60">
          <cell r="C60" t="str">
            <v>E4.B.01</v>
          </cell>
          <cell r="D60" t="str">
            <v>Dachbeläge</v>
          </cell>
        </row>
        <row r="61">
          <cell r="C61" t="str">
            <v>E4.B.01.a</v>
          </cell>
          <cell r="D61" t="str">
            <v>Dachbelag 1</v>
          </cell>
          <cell r="G61">
            <v>0</v>
          </cell>
          <cell r="H61">
            <v>88.634000000000015</v>
          </cell>
          <cell r="I61">
            <v>0</v>
          </cell>
          <cell r="J61">
            <v>0</v>
          </cell>
          <cell r="K61">
            <v>68374.8</v>
          </cell>
          <cell r="L61">
            <v>68463.434000000008</v>
          </cell>
          <cell r="M61">
            <v>25</v>
          </cell>
          <cell r="N61">
            <v>0</v>
          </cell>
          <cell r="O61">
            <v>177.26800000000003</v>
          </cell>
          <cell r="P61">
            <v>0</v>
          </cell>
          <cell r="Q61">
            <v>0</v>
          </cell>
          <cell r="R61">
            <v>136749.6</v>
          </cell>
        </row>
        <row r="62">
          <cell r="C62" t="str">
            <v>E4.B.01.b</v>
          </cell>
          <cell r="D62" t="str">
            <v>Dachbelag 2</v>
          </cell>
          <cell r="G62">
            <v>0</v>
          </cell>
          <cell r="H62">
            <v>0</v>
          </cell>
          <cell r="I62">
            <v>0</v>
          </cell>
          <cell r="J62">
            <v>0</v>
          </cell>
          <cell r="K62">
            <v>0</v>
          </cell>
          <cell r="L62">
            <v>0</v>
          </cell>
          <cell r="M62" t="str">
            <v>k.A.</v>
          </cell>
          <cell r="N62">
            <v>0</v>
          </cell>
          <cell r="O62">
            <v>0</v>
          </cell>
          <cell r="P62">
            <v>0</v>
          </cell>
          <cell r="Q62">
            <v>0</v>
          </cell>
          <cell r="R62">
            <v>0</v>
          </cell>
        </row>
        <row r="63">
          <cell r="C63" t="str">
            <v>E4.B.02</v>
          </cell>
          <cell r="D63" t="str">
            <v>Dachfenster/-öffnungen</v>
          </cell>
        </row>
        <row r="64">
          <cell r="C64" t="str">
            <v>E4.B.02a</v>
          </cell>
          <cell r="D64" t="str">
            <v>Verglasung</v>
          </cell>
          <cell r="G64">
            <v>0</v>
          </cell>
          <cell r="H64">
            <v>0</v>
          </cell>
          <cell r="I64">
            <v>0</v>
          </cell>
          <cell r="J64">
            <v>0</v>
          </cell>
          <cell r="K64">
            <v>23.562000000000001</v>
          </cell>
          <cell r="L64">
            <v>23.562000000000001</v>
          </cell>
          <cell r="M64">
            <v>161.92347165959501</v>
          </cell>
          <cell r="N64">
            <v>0</v>
          </cell>
          <cell r="O64">
            <v>0</v>
          </cell>
          <cell r="P64">
            <v>0</v>
          </cell>
          <cell r="Q64">
            <v>0</v>
          </cell>
          <cell r="R64">
            <v>23.562000000000001</v>
          </cell>
        </row>
        <row r="65">
          <cell r="C65" t="str">
            <v>E4.B.02b</v>
          </cell>
          <cell r="D65" t="str">
            <v>Rahmen</v>
          </cell>
          <cell r="G65">
            <v>14.106964410000002</v>
          </cell>
          <cell r="H65">
            <v>0</v>
          </cell>
          <cell r="I65">
            <v>14.106964410000002</v>
          </cell>
          <cell r="J65">
            <v>0</v>
          </cell>
          <cell r="K65">
            <v>0</v>
          </cell>
          <cell r="L65">
            <v>28.213928820000003</v>
          </cell>
          <cell r="M65">
            <v>161.92347165959501</v>
          </cell>
          <cell r="N65">
            <v>14.106964410000002</v>
          </cell>
          <cell r="O65">
            <v>0</v>
          </cell>
          <cell r="P65">
            <v>14.106964410000002</v>
          </cell>
          <cell r="Q65">
            <v>0</v>
          </cell>
          <cell r="R65">
            <v>0</v>
          </cell>
        </row>
        <row r="66">
          <cell r="C66" t="str">
            <v>E4.C</v>
          </cell>
          <cell r="D66" t="str">
            <v>Fassadenhülle</v>
          </cell>
        </row>
        <row r="67">
          <cell r="C67" t="str">
            <v>E4.C.01</v>
          </cell>
          <cell r="D67" t="str">
            <v>Fassadenverkleidungen</v>
          </cell>
        </row>
        <row r="68">
          <cell r="C68" t="str">
            <v>E4.C.01a</v>
          </cell>
          <cell r="D68" t="str">
            <v>Putzfassade</v>
          </cell>
          <cell r="G68">
            <v>0</v>
          </cell>
          <cell r="H68">
            <v>0</v>
          </cell>
          <cell r="I68">
            <v>0</v>
          </cell>
          <cell r="J68">
            <v>0</v>
          </cell>
          <cell r="K68">
            <v>0</v>
          </cell>
          <cell r="L68">
            <v>0</v>
          </cell>
          <cell r="M68" t="str">
            <v>k.A.</v>
          </cell>
          <cell r="N68">
            <v>0</v>
          </cell>
          <cell r="O68">
            <v>0</v>
          </cell>
          <cell r="P68">
            <v>0</v>
          </cell>
          <cell r="Q68">
            <v>0</v>
          </cell>
          <cell r="R68">
            <v>0</v>
          </cell>
        </row>
        <row r="69">
          <cell r="C69" t="str">
            <v>E4.C.01b</v>
          </cell>
          <cell r="D69" t="str">
            <v>Vorgehängte Fassade</v>
          </cell>
        </row>
        <row r="70">
          <cell r="C70" t="str">
            <v>E4.C.01b1</v>
          </cell>
          <cell r="D70" t="str">
            <v>Vorgehängte Fassade - Verkleidung</v>
          </cell>
          <cell r="G70">
            <v>490.66560000000004</v>
          </cell>
          <cell r="H70">
            <v>0</v>
          </cell>
          <cell r="I70">
            <v>0</v>
          </cell>
          <cell r="J70">
            <v>0</v>
          </cell>
          <cell r="K70">
            <v>4846.08</v>
          </cell>
          <cell r="L70">
            <v>5336.7456000000002</v>
          </cell>
          <cell r="M70">
            <v>50</v>
          </cell>
          <cell r="N70">
            <v>490.66560000000004</v>
          </cell>
          <cell r="O70">
            <v>0</v>
          </cell>
          <cell r="P70">
            <v>0</v>
          </cell>
          <cell r="Q70">
            <v>0</v>
          </cell>
          <cell r="R70">
            <v>4846.08</v>
          </cell>
        </row>
        <row r="71">
          <cell r="C71" t="str">
            <v>E4.C.01b2</v>
          </cell>
          <cell r="D71" t="str">
            <v>Vorgehängte Fassade - Dämmebene</v>
          </cell>
          <cell r="G71">
            <v>0</v>
          </cell>
          <cell r="H71">
            <v>0</v>
          </cell>
          <cell r="I71">
            <v>0</v>
          </cell>
          <cell r="J71">
            <v>0</v>
          </cell>
          <cell r="K71">
            <v>0</v>
          </cell>
          <cell r="L71">
            <v>0</v>
          </cell>
          <cell r="M71">
            <v>50</v>
          </cell>
          <cell r="N71">
            <v>0</v>
          </cell>
          <cell r="O71">
            <v>0</v>
          </cell>
          <cell r="P71">
            <v>0</v>
          </cell>
          <cell r="Q71">
            <v>0</v>
          </cell>
          <cell r="R71">
            <v>0</v>
          </cell>
        </row>
        <row r="72">
          <cell r="C72" t="str">
            <v>E4.C.02</v>
          </cell>
          <cell r="D72" t="str">
            <v>Fassadenöffnungen</v>
          </cell>
        </row>
        <row r="73">
          <cell r="C73" t="str">
            <v>E4.C.02a</v>
          </cell>
          <cell r="D73" t="str">
            <v>Fenster</v>
          </cell>
        </row>
        <row r="74">
          <cell r="C74" t="str">
            <v>E4.C.02a1</v>
          </cell>
          <cell r="D74" t="str">
            <v>Fenster - Verglasung</v>
          </cell>
          <cell r="G74">
            <v>0</v>
          </cell>
          <cell r="H74">
            <v>0</v>
          </cell>
          <cell r="I74">
            <v>0</v>
          </cell>
          <cell r="J74">
            <v>0</v>
          </cell>
          <cell r="K74">
            <v>909.279</v>
          </cell>
          <cell r="L74">
            <v>909.279</v>
          </cell>
          <cell r="M74">
            <v>161.92347165959501</v>
          </cell>
          <cell r="N74">
            <v>0</v>
          </cell>
          <cell r="O74">
            <v>0</v>
          </cell>
          <cell r="P74">
            <v>0</v>
          </cell>
          <cell r="Q74">
            <v>0</v>
          </cell>
          <cell r="R74">
            <v>909.279</v>
          </cell>
        </row>
        <row r="75">
          <cell r="C75" t="str">
            <v>E4.C.02a2</v>
          </cell>
          <cell r="D75" t="str">
            <v>Fenster - Rahmen</v>
          </cell>
          <cell r="G75">
            <v>544.40058109500012</v>
          </cell>
          <cell r="H75">
            <v>0</v>
          </cell>
          <cell r="I75">
            <v>544.40058109500012</v>
          </cell>
          <cell r="J75">
            <v>0</v>
          </cell>
          <cell r="K75">
            <v>0</v>
          </cell>
          <cell r="L75">
            <v>1088.8011621900002</v>
          </cell>
          <cell r="M75">
            <v>161.92347165959501</v>
          </cell>
          <cell r="N75">
            <v>544.40058109500012</v>
          </cell>
          <cell r="O75">
            <v>0</v>
          </cell>
          <cell r="P75">
            <v>544.40058109500012</v>
          </cell>
          <cell r="Q75">
            <v>0</v>
          </cell>
          <cell r="R75">
            <v>0</v>
          </cell>
        </row>
        <row r="76">
          <cell r="C76" t="str">
            <v>E4.C.02b</v>
          </cell>
          <cell r="D76" t="str">
            <v>Türen</v>
          </cell>
        </row>
        <row r="77">
          <cell r="C77" t="str">
            <v>E4.C.04</v>
          </cell>
          <cell r="D77" t="str">
            <v>Außenhülle erdberührt</v>
          </cell>
        </row>
        <row r="78">
          <cell r="C78" t="str">
            <v>E4.C.04a</v>
          </cell>
          <cell r="D78" t="str">
            <v>Sockeldämmung</v>
          </cell>
          <cell r="G78">
            <v>0</v>
          </cell>
          <cell r="H78">
            <v>0</v>
          </cell>
          <cell r="I78">
            <v>0</v>
          </cell>
          <cell r="J78">
            <v>0</v>
          </cell>
          <cell r="K78">
            <v>0</v>
          </cell>
          <cell r="L78">
            <v>0</v>
          </cell>
          <cell r="M78">
            <v>35</v>
          </cell>
          <cell r="N78">
            <v>0</v>
          </cell>
          <cell r="O78">
            <v>0</v>
          </cell>
          <cell r="P78">
            <v>0</v>
          </cell>
          <cell r="Q78">
            <v>0</v>
          </cell>
          <cell r="R78">
            <v>0</v>
          </cell>
        </row>
        <row r="79">
          <cell r="C79" t="str">
            <v>E4.C.04b</v>
          </cell>
          <cell r="D79" t="str">
            <v>Perimeterdämmung</v>
          </cell>
          <cell r="G79">
            <v>0</v>
          </cell>
          <cell r="H79">
            <v>0</v>
          </cell>
          <cell r="I79">
            <v>0</v>
          </cell>
          <cell r="J79">
            <v>0</v>
          </cell>
          <cell r="K79">
            <v>0</v>
          </cell>
          <cell r="L79">
            <v>0</v>
          </cell>
          <cell r="M79">
            <v>35</v>
          </cell>
          <cell r="N79">
            <v>0</v>
          </cell>
          <cell r="O79">
            <v>0</v>
          </cell>
          <cell r="P79">
            <v>0</v>
          </cell>
          <cell r="Q79">
            <v>0</v>
          </cell>
          <cell r="R79">
            <v>0</v>
          </cell>
        </row>
        <row r="80">
          <cell r="C80" t="str">
            <v>E4.D</v>
          </cell>
          <cell r="D80" t="str">
            <v>Innenausbau</v>
          </cell>
        </row>
        <row r="81">
          <cell r="C81" t="str">
            <v>E4.D.01</v>
          </cell>
          <cell r="D81" t="str">
            <v>Bodenbeläge</v>
          </cell>
        </row>
        <row r="82">
          <cell r="C82" t="str">
            <v>E4.D.01a</v>
          </cell>
          <cell r="D82" t="str">
            <v>Bodenbelag 1</v>
          </cell>
          <cell r="G82">
            <v>78346.511999999988</v>
          </cell>
          <cell r="H82">
            <v>32644.379999999997</v>
          </cell>
          <cell r="I82">
            <v>0</v>
          </cell>
          <cell r="J82">
            <v>0</v>
          </cell>
          <cell r="K82">
            <v>0</v>
          </cell>
          <cell r="L82">
            <v>110990.89199999999</v>
          </cell>
          <cell r="M82">
            <v>25</v>
          </cell>
          <cell r="N82">
            <v>156693.02399999998</v>
          </cell>
          <cell r="O82">
            <v>65288.759999999995</v>
          </cell>
          <cell r="P82">
            <v>0</v>
          </cell>
          <cell r="Q82">
            <v>0</v>
          </cell>
          <cell r="R82">
            <v>0</v>
          </cell>
        </row>
        <row r="83">
          <cell r="C83" t="str">
            <v>E4.D.01b</v>
          </cell>
          <cell r="D83" t="str">
            <v>Bodenbelag 2</v>
          </cell>
          <cell r="G83">
            <v>0</v>
          </cell>
          <cell r="H83">
            <v>0</v>
          </cell>
          <cell r="I83">
            <v>0</v>
          </cell>
          <cell r="J83">
            <v>0</v>
          </cell>
          <cell r="K83">
            <v>797364.22199999983</v>
          </cell>
          <cell r="L83">
            <v>797364.22199999983</v>
          </cell>
          <cell r="M83">
            <v>25</v>
          </cell>
          <cell r="N83">
            <v>0</v>
          </cell>
          <cell r="O83">
            <v>0</v>
          </cell>
          <cell r="P83">
            <v>0</v>
          </cell>
          <cell r="Q83">
            <v>0</v>
          </cell>
          <cell r="R83">
            <v>1594728.4439999997</v>
          </cell>
        </row>
        <row r="84">
          <cell r="C84" t="str">
            <v>E4.D.01c</v>
          </cell>
          <cell r="D84" t="str">
            <v>Bodenbelag 3</v>
          </cell>
          <cell r="G84">
            <v>1755265.03525</v>
          </cell>
          <cell r="H84">
            <v>235606.04499999998</v>
          </cell>
          <cell r="I84">
            <v>0</v>
          </cell>
          <cell r="J84">
            <v>0</v>
          </cell>
          <cell r="K84">
            <v>0</v>
          </cell>
          <cell r="L84">
            <v>1990871.0802499996</v>
          </cell>
          <cell r="M84">
            <v>25</v>
          </cell>
          <cell r="N84">
            <v>3510530.0704999999</v>
          </cell>
          <cell r="O84">
            <v>471212.08999999997</v>
          </cell>
          <cell r="P84">
            <v>0</v>
          </cell>
          <cell r="Q84">
            <v>0</v>
          </cell>
          <cell r="R84">
            <v>0</v>
          </cell>
        </row>
        <row r="85">
          <cell r="C85" t="str">
            <v>E4.D.02</v>
          </cell>
          <cell r="D85" t="str">
            <v>Wandverkleidungen</v>
          </cell>
        </row>
        <row r="86">
          <cell r="C86" t="str">
            <v>E4.D.02a</v>
          </cell>
          <cell r="D86" t="str">
            <v>Wandverkleidung 1</v>
          </cell>
          <cell r="G86">
            <v>1333.59</v>
          </cell>
          <cell r="H86">
            <v>0</v>
          </cell>
          <cell r="I86">
            <v>155.58549999999997</v>
          </cell>
          <cell r="J86">
            <v>0</v>
          </cell>
          <cell r="K86">
            <v>12055.6536</v>
          </cell>
          <cell r="L86">
            <v>13544.829099999999</v>
          </cell>
          <cell r="M86">
            <v>50</v>
          </cell>
          <cell r="N86">
            <v>1333.59</v>
          </cell>
          <cell r="O86">
            <v>0</v>
          </cell>
          <cell r="P86">
            <v>155.58549999999997</v>
          </cell>
          <cell r="Q86">
            <v>0</v>
          </cell>
          <cell r="R86">
            <v>12055.6536</v>
          </cell>
        </row>
        <row r="87">
          <cell r="C87" t="str">
            <v>E4.D.02b</v>
          </cell>
          <cell r="D87" t="str">
            <v>Wandverkleidung 2</v>
          </cell>
          <cell r="G87">
            <v>0</v>
          </cell>
          <cell r="H87">
            <v>0</v>
          </cell>
          <cell r="I87">
            <v>0</v>
          </cell>
          <cell r="J87">
            <v>0</v>
          </cell>
          <cell r="K87">
            <v>0</v>
          </cell>
          <cell r="L87">
            <v>0</v>
          </cell>
          <cell r="M87" t="str">
            <v>k.A.</v>
          </cell>
          <cell r="N87">
            <v>0</v>
          </cell>
          <cell r="O87">
            <v>0</v>
          </cell>
          <cell r="P87">
            <v>0</v>
          </cell>
          <cell r="Q87">
            <v>0</v>
          </cell>
          <cell r="R87">
            <v>0</v>
          </cell>
        </row>
        <row r="88">
          <cell r="C88" t="str">
            <v>E4.D.03</v>
          </cell>
          <cell r="D88" t="str">
            <v>Deckenverkleidungen</v>
          </cell>
        </row>
        <row r="89">
          <cell r="C89" t="str">
            <v>E4.D.03a</v>
          </cell>
          <cell r="D89" t="str">
            <v>Kellerdeckenverkleidungen</v>
          </cell>
          <cell r="G89">
            <v>0</v>
          </cell>
          <cell r="H89">
            <v>0</v>
          </cell>
          <cell r="I89">
            <v>0</v>
          </cell>
          <cell r="J89">
            <v>0</v>
          </cell>
          <cell r="K89">
            <v>0</v>
          </cell>
          <cell r="L89">
            <v>0</v>
          </cell>
          <cell r="M89" t="str">
            <v>k.A.</v>
          </cell>
          <cell r="N89">
            <v>0</v>
          </cell>
          <cell r="O89">
            <v>0</v>
          </cell>
          <cell r="P89">
            <v>0</v>
          </cell>
          <cell r="Q89">
            <v>0</v>
          </cell>
          <cell r="R89">
            <v>0</v>
          </cell>
        </row>
        <row r="90">
          <cell r="C90" t="str">
            <v>E4.D.03b</v>
          </cell>
          <cell r="D90" t="str">
            <v>Geschoßdeckenverkleidungen</v>
          </cell>
          <cell r="G90">
            <v>0</v>
          </cell>
          <cell r="H90">
            <v>0</v>
          </cell>
          <cell r="I90">
            <v>0</v>
          </cell>
          <cell r="J90">
            <v>0</v>
          </cell>
          <cell r="K90">
            <v>4985.6625000000004</v>
          </cell>
          <cell r="L90">
            <v>4985.6625000000004</v>
          </cell>
          <cell r="M90">
            <v>50</v>
          </cell>
          <cell r="N90">
            <v>0</v>
          </cell>
          <cell r="O90">
            <v>0</v>
          </cell>
          <cell r="P90">
            <v>0</v>
          </cell>
          <cell r="Q90">
            <v>0</v>
          </cell>
          <cell r="R90">
            <v>4985.6625000000004</v>
          </cell>
        </row>
        <row r="91">
          <cell r="C91" t="str">
            <v>E4.D.03c</v>
          </cell>
          <cell r="D91" t="str">
            <v>Dachverkleidungen</v>
          </cell>
          <cell r="G91">
            <v>569.79</v>
          </cell>
          <cell r="H91">
            <v>0</v>
          </cell>
          <cell r="I91">
            <v>66.475499999999997</v>
          </cell>
          <cell r="J91">
            <v>0</v>
          </cell>
          <cell r="K91">
            <v>5150.9016000000001</v>
          </cell>
          <cell r="L91">
            <v>5787.1670999999997</v>
          </cell>
          <cell r="M91">
            <v>50</v>
          </cell>
          <cell r="N91">
            <v>569.79</v>
          </cell>
          <cell r="O91">
            <v>0</v>
          </cell>
          <cell r="P91">
            <v>66.475499999999997</v>
          </cell>
          <cell r="Q91">
            <v>0</v>
          </cell>
          <cell r="R91">
            <v>5150.9016000000001</v>
          </cell>
        </row>
        <row r="92">
          <cell r="C92" t="str">
            <v>E4.D.04</v>
          </cell>
          <cell r="D92" t="str">
            <v>Innentüren, Innenfenster</v>
          </cell>
        </row>
        <row r="93">
          <cell r="C93" t="str">
            <v>E4.D.05</v>
          </cell>
          <cell r="D93" t="str">
            <v>Innenwandelemente</v>
          </cell>
          <cell r="G93">
            <v>0</v>
          </cell>
          <cell r="H93">
            <v>0</v>
          </cell>
          <cell r="I93">
            <v>0</v>
          </cell>
          <cell r="J93">
            <v>0</v>
          </cell>
          <cell r="K93">
            <v>0</v>
          </cell>
          <cell r="L93">
            <v>0</v>
          </cell>
          <cell r="M93" t="str">
            <v>k.A.</v>
          </cell>
          <cell r="N93">
            <v>0</v>
          </cell>
          <cell r="O93">
            <v>0</v>
          </cell>
          <cell r="P93">
            <v>0</v>
          </cell>
          <cell r="Q93">
            <v>0</v>
          </cell>
          <cell r="R93">
            <v>0</v>
          </cell>
        </row>
        <row r="94">
          <cell r="C94" t="str">
            <v>TONNAGE</v>
          </cell>
          <cell r="G94">
            <v>1855.8968324125051</v>
          </cell>
          <cell r="H94">
            <v>290.63657869999997</v>
          </cell>
          <cell r="I94">
            <v>15.932017775505003</v>
          </cell>
          <cell r="J94">
            <v>608.54118156000004</v>
          </cell>
          <cell r="K94">
            <v>943.93336758814075</v>
          </cell>
          <cell r="L94">
            <v>3942.8559629480105</v>
          </cell>
          <cell r="N94">
            <v>3689.5083796625049</v>
          </cell>
          <cell r="O94">
            <v>558.97563769999999</v>
          </cell>
          <cell r="P94">
            <v>15.932017775505003</v>
          </cell>
          <cell r="Q94">
            <v>608.54118156000004</v>
          </cell>
          <cell r="R94">
            <v>1809.672389588141</v>
          </cell>
        </row>
      </sheetData>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nleitung"/>
      <sheetName val="Allgemeine Angaben"/>
      <sheetName val="Faktoren"/>
      <sheetName val="Öko_Faktoren"/>
      <sheetName val="Objektkenndaten"/>
      <sheetName val="Errichtungskosten"/>
      <sheetName val="Konstruktionsdaten"/>
      <sheetName val="Ökokosten"/>
      <sheetName val="Finanzielle Parameter"/>
      <sheetName val="Verwaltung &amp; Technik"/>
      <sheetName val="Ver- &amp; Entsorgung"/>
      <sheetName val="Reinigung"/>
      <sheetName val="Gebäudedienste"/>
      <sheetName val="Instandsetzung"/>
      <sheetName val="Abbruch&amp;Entsorgung"/>
      <sheetName val="Folgekosten"/>
      <sheetName val="Kennwerte"/>
      <sheetName val="Kostenbereiche"/>
      <sheetName val="E2C"/>
      <sheetName val="E2D01"/>
    </sheetNames>
    <sheetDataSet>
      <sheetData sheetId="0" refreshError="1"/>
      <sheetData sheetId="1" refreshError="1"/>
      <sheetData sheetId="2">
        <row r="15">
          <cell r="G15">
            <v>9</v>
          </cell>
        </row>
      </sheetData>
      <sheetData sheetId="3">
        <row r="3">
          <cell r="C3" t="str">
            <v>LKW-Transport 16t</v>
          </cell>
        </row>
        <row r="4">
          <cell r="C4" t="str">
            <v>LKW-Transport 28t</v>
          </cell>
          <cell r="H4" t="str">
            <v>tkm</v>
          </cell>
          <cell r="I4">
            <v>0.1847</v>
          </cell>
          <cell r="M4">
            <v>2.8264999999999998</v>
          </cell>
          <cell r="N4">
            <v>3.5999999999999997E-2</v>
          </cell>
        </row>
        <row r="5">
          <cell r="C5" t="str">
            <v>Stahlbetonplatte</v>
          </cell>
          <cell r="I5">
            <v>57.22</v>
          </cell>
          <cell r="M5">
            <v>552.41</v>
          </cell>
          <cell r="N5">
            <v>26.14</v>
          </cell>
        </row>
        <row r="6">
          <cell r="C6" t="str">
            <v>WU-Beton</v>
          </cell>
          <cell r="I6">
            <v>82.86</v>
          </cell>
          <cell r="M6">
            <v>990.91</v>
          </cell>
          <cell r="N6">
            <v>35.69</v>
          </cell>
        </row>
        <row r="7">
          <cell r="C7" t="str">
            <v>keine Abdichtung</v>
          </cell>
        </row>
        <row r="8">
          <cell r="C8" t="str">
            <v>Polymerbitumen-Dichtungsbahn</v>
          </cell>
          <cell r="I8">
            <v>7.04</v>
          </cell>
          <cell r="M8">
            <v>357.73</v>
          </cell>
          <cell r="N8">
            <v>6.01</v>
          </cell>
        </row>
        <row r="9">
          <cell r="C9" t="str">
            <v>Perlite Schüttung</v>
          </cell>
          <cell r="I9">
            <v>25.11</v>
          </cell>
          <cell r="M9">
            <v>548.59</v>
          </cell>
          <cell r="N9">
            <v>6.58</v>
          </cell>
        </row>
        <row r="10">
          <cell r="C10" t="str">
            <v>Polystyrol expandiert EPS-W 25</v>
          </cell>
          <cell r="I10">
            <v>104.23</v>
          </cell>
          <cell r="M10">
            <v>2472.39</v>
          </cell>
          <cell r="N10">
            <v>25.21</v>
          </cell>
        </row>
        <row r="11">
          <cell r="C11" t="str">
            <v>Polystyrol extrudiert (XPS) CO2-geschäumt</v>
          </cell>
          <cell r="I11">
            <v>159.77000000000001</v>
          </cell>
          <cell r="M11">
            <v>3555.45</v>
          </cell>
          <cell r="N11">
            <v>34.979999999999997</v>
          </cell>
        </row>
        <row r="12">
          <cell r="C12" t="str">
            <v xml:space="preserve">Schaumglasplatte </v>
          </cell>
          <cell r="I12">
            <v>255.49</v>
          </cell>
          <cell r="M12">
            <v>4303.8900000000003</v>
          </cell>
          <cell r="N12">
            <v>294.68</v>
          </cell>
        </row>
        <row r="13">
          <cell r="C13" t="str">
            <v>Schaumglasplatte in Bitumen</v>
          </cell>
          <cell r="I13">
            <v>270.17</v>
          </cell>
          <cell r="M13">
            <v>5049.1499999999996</v>
          </cell>
          <cell r="N13">
            <v>307.2</v>
          </cell>
        </row>
        <row r="14">
          <cell r="C14" t="str">
            <v>Schaumglasschotter</v>
          </cell>
          <cell r="I14">
            <v>90.02</v>
          </cell>
          <cell r="M14">
            <v>1621.47</v>
          </cell>
          <cell r="N14">
            <v>81.040000000000006</v>
          </cell>
        </row>
        <row r="15">
          <cell r="C15" t="str">
            <v>Stahlbetondecke 20cm</v>
          </cell>
          <cell r="I15">
            <v>63.51</v>
          </cell>
          <cell r="M15">
            <v>586.96</v>
          </cell>
          <cell r="N15">
            <v>21.1</v>
          </cell>
        </row>
        <row r="16">
          <cell r="C16" t="str">
            <v>Holzmassivdecke 16cm</v>
          </cell>
          <cell r="I16">
            <v>-119.98</v>
          </cell>
          <cell r="M16">
            <v>201.27</v>
          </cell>
          <cell r="N16">
            <v>1664.61</v>
          </cell>
        </row>
        <row r="17">
          <cell r="C17" t="str">
            <v>Holzträgerdecke (Glasw, OSB)</v>
          </cell>
          <cell r="I17">
            <v>-57.53</v>
          </cell>
          <cell r="M17">
            <v>285.08999999999997</v>
          </cell>
          <cell r="N17">
            <v>997.59</v>
          </cell>
        </row>
        <row r="18">
          <cell r="C18" t="str">
            <v>Stahlträgerdecke</v>
          </cell>
          <cell r="I18">
            <v>0</v>
          </cell>
        </row>
        <row r="19">
          <cell r="C19" t="str">
            <v>"Bürodecke"</v>
          </cell>
          <cell r="I19">
            <v>0</v>
          </cell>
        </row>
      </sheetData>
      <sheetData sheetId="4" refreshError="1"/>
      <sheetData sheetId="5" refreshError="1"/>
      <sheetData sheetId="6">
        <row r="4">
          <cell r="C4" t="str">
            <v>TRANSPORT</v>
          </cell>
          <cell r="D4" t="str">
            <v>Erdarbeiten, Baugrube</v>
          </cell>
          <cell r="G4">
            <v>40</v>
          </cell>
          <cell r="H4" t="str">
            <v>km</v>
          </cell>
          <cell r="I4">
            <v>30</v>
          </cell>
          <cell r="J4" t="str">
            <v>km</v>
          </cell>
          <cell r="K4">
            <v>40</v>
          </cell>
        </row>
        <row r="5">
          <cell r="C5" t="str">
            <v>E2.C.BP</v>
          </cell>
          <cell r="D5" t="str">
            <v>Gründungen, Bodenkonstruktionen</v>
          </cell>
          <cell r="E5" t="str">
            <v>Auswahl Bodenplatte</v>
          </cell>
          <cell r="G5" t="str">
            <v>Stahlbetonplatte</v>
          </cell>
          <cell r="H5" t="str">
            <v>-</v>
          </cell>
          <cell r="I5" t="str">
            <v>Stahlbetonplatte</v>
          </cell>
          <cell r="J5" t="str">
            <v>-</v>
          </cell>
          <cell r="K5" t="str">
            <v>Stahlbetonplatte</v>
          </cell>
        </row>
        <row r="6">
          <cell r="C6" t="str">
            <v>E2.C.Abd</v>
          </cell>
          <cell r="D6" t="str">
            <v>Gründungen, Bodenkonstruktionen</v>
          </cell>
          <cell r="E6" t="str">
            <v>Auswahl Abdichtung</v>
          </cell>
          <cell r="H6" t="str">
            <v>-</v>
          </cell>
          <cell r="I6" t="str">
            <v>Polymerbitumen-Dichtungsbahn</v>
          </cell>
          <cell r="J6" t="str">
            <v>-</v>
          </cell>
          <cell r="K6" t="str">
            <v>Polymerbitumen-Dichtungsbahn</v>
          </cell>
        </row>
        <row r="7">
          <cell r="C7" t="str">
            <v>E2.C.Wd</v>
          </cell>
          <cell r="D7" t="str">
            <v>Gründungen, Bodenkonstruktionen</v>
          </cell>
          <cell r="E7" t="str">
            <v>Auswahl Wärmedämmung</v>
          </cell>
          <cell r="G7" t="str">
            <v xml:space="preserve">Schaumglasplatte </v>
          </cell>
          <cell r="H7" t="str">
            <v>-</v>
          </cell>
          <cell r="I7" t="str">
            <v>Polystyrol extrudiert (XPS) CO2-geschäumt</v>
          </cell>
          <cell r="J7" t="str">
            <v>-</v>
          </cell>
          <cell r="K7" t="str">
            <v xml:space="preserve">Schaumglasplatte </v>
          </cell>
        </row>
        <row r="9">
          <cell r="C9" t="str">
            <v>E2.D.01</v>
          </cell>
          <cell r="D9" t="str">
            <v>Deckenkonstruktionen</v>
          </cell>
          <cell r="E9" t="str">
            <v>Auswahl Decken</v>
          </cell>
          <cell r="G9" t="str">
            <v>Holzmassivdecke 16cm</v>
          </cell>
          <cell r="I9" t="str">
            <v>Stahlbetondecke 20cm</v>
          </cell>
          <cell r="K9" t="str">
            <v>Holzmassivdecke 16cm</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hausderzukunft.at/" TargetMode="External"/><Relationship Id="rId1" Type="http://schemas.openxmlformats.org/officeDocument/2006/relationships/hyperlink" Target="mailto:helmut.floegl@donau-uni.ac.at"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21.bin"/><Relationship Id="rId1" Type="http://schemas.openxmlformats.org/officeDocument/2006/relationships/hyperlink" Target="http://www.abfallwirtschaft.steiermark.at/cms/ziel/71142128/DE/" TargetMode="External"/><Relationship Id="rId4" Type="http://schemas.openxmlformats.org/officeDocument/2006/relationships/comments" Target="../comments13.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0" tint="-4.9989318521683403E-2"/>
  </sheetPr>
  <dimension ref="B1:R39"/>
  <sheetViews>
    <sheetView tabSelected="1" zoomScaleNormal="100" workbookViewId="0">
      <selection activeCell="Q31" sqref="Q31"/>
    </sheetView>
  </sheetViews>
  <sheetFormatPr baseColWidth="10" defaultColWidth="10.83203125" defaultRowHeight="15" customHeight="1"/>
  <cols>
    <col min="1" max="2" width="3.83203125" style="37" customWidth="1"/>
    <col min="3" max="13" width="10.83203125" style="37"/>
    <col min="14" max="15" width="3.83203125" style="37" customWidth="1"/>
    <col min="16" max="16384" width="10.83203125" style="37"/>
  </cols>
  <sheetData>
    <row r="1" spans="2:14" ht="15" customHeight="1" thickBot="1"/>
    <row r="2" spans="2:14" ht="15" customHeight="1" thickTop="1">
      <c r="B2" s="215"/>
      <c r="C2" s="216"/>
      <c r="D2" s="216"/>
      <c r="E2" s="216"/>
      <c r="F2" s="216"/>
      <c r="G2" s="216"/>
      <c r="H2" s="216"/>
      <c r="I2" s="216"/>
      <c r="J2" s="216"/>
      <c r="K2" s="216"/>
      <c r="L2" s="216"/>
      <c r="M2" s="216"/>
      <c r="N2" s="217"/>
    </row>
    <row r="3" spans="2:14" ht="15" customHeight="1">
      <c r="B3" s="218"/>
      <c r="C3" s="219" t="s">
        <v>2493</v>
      </c>
      <c r="D3" s="225"/>
      <c r="E3" s="225"/>
      <c r="F3" s="225"/>
      <c r="G3" s="225"/>
      <c r="H3" s="225"/>
      <c r="I3" s="225"/>
      <c r="J3" s="225"/>
      <c r="K3" s="225"/>
      <c r="L3" s="225"/>
      <c r="M3" s="225"/>
      <c r="N3" s="221"/>
    </row>
    <row r="4" spans="2:14" ht="15" customHeight="1">
      <c r="B4" s="218"/>
      <c r="C4" s="225"/>
      <c r="D4" s="225"/>
      <c r="E4" s="225"/>
      <c r="F4" s="225"/>
      <c r="G4" s="225"/>
      <c r="H4" s="225"/>
      <c r="I4" s="225"/>
      <c r="J4" s="225"/>
      <c r="K4" s="225"/>
      <c r="L4" s="225"/>
      <c r="M4" s="225"/>
      <c r="N4" s="221"/>
    </row>
    <row r="5" spans="2:14" ht="15" customHeight="1">
      <c r="B5" s="218"/>
      <c r="C5" s="222" t="s">
        <v>2494</v>
      </c>
      <c r="D5" s="223" t="s">
        <v>2771</v>
      </c>
      <c r="E5" s="225"/>
      <c r="F5" s="222" t="s">
        <v>2495</v>
      </c>
      <c r="G5" s="224">
        <v>42237</v>
      </c>
      <c r="H5" s="225"/>
      <c r="I5" s="225"/>
      <c r="J5" s="225"/>
      <c r="K5" s="225"/>
      <c r="L5" s="225"/>
      <c r="M5" s="225"/>
      <c r="N5" s="221"/>
    </row>
    <row r="6" spans="2:14" ht="15" customHeight="1">
      <c r="B6" s="218"/>
      <c r="C6" s="225"/>
      <c r="D6" s="225"/>
      <c r="E6" s="225"/>
      <c r="F6" s="225"/>
      <c r="G6" s="225"/>
      <c r="H6" s="225"/>
      <c r="I6" s="225"/>
      <c r="J6" s="225"/>
      <c r="K6" s="225"/>
      <c r="L6" s="225"/>
      <c r="M6" s="225"/>
      <c r="N6" s="221"/>
    </row>
    <row r="7" spans="2:14" ht="15" customHeight="1">
      <c r="B7" s="218"/>
      <c r="C7" s="222" t="s">
        <v>2496</v>
      </c>
      <c r="D7" s="225"/>
      <c r="E7" s="225"/>
      <c r="F7" s="225"/>
      <c r="G7" s="225"/>
      <c r="H7" s="225"/>
      <c r="I7" s="225"/>
      <c r="J7" s="225"/>
      <c r="K7" s="225"/>
      <c r="L7" s="225"/>
      <c r="M7" s="225"/>
      <c r="N7" s="221"/>
    </row>
    <row r="8" spans="2:14" ht="15" customHeight="1">
      <c r="B8" s="218"/>
      <c r="C8" s="604" t="s">
        <v>2549</v>
      </c>
      <c r="D8" s="605"/>
      <c r="E8" s="605"/>
      <c r="F8" s="605"/>
      <c r="G8" s="605"/>
      <c r="H8" s="605"/>
      <c r="I8" s="605"/>
      <c r="J8" s="605"/>
      <c r="K8" s="605"/>
      <c r="L8" s="605"/>
      <c r="M8" s="605"/>
      <c r="N8" s="221"/>
    </row>
    <row r="9" spans="2:14" ht="15" customHeight="1">
      <c r="B9" s="218"/>
      <c r="C9" s="604"/>
      <c r="D9" s="605"/>
      <c r="E9" s="605"/>
      <c r="F9" s="605"/>
      <c r="G9" s="605"/>
      <c r="H9" s="605"/>
      <c r="I9" s="605"/>
      <c r="J9" s="605"/>
      <c r="K9" s="605"/>
      <c r="L9" s="605"/>
      <c r="M9" s="605"/>
      <c r="N9" s="221"/>
    </row>
    <row r="10" spans="2:14" ht="15" customHeight="1">
      <c r="B10" s="218"/>
      <c r="C10" s="605"/>
      <c r="D10" s="605"/>
      <c r="E10" s="605"/>
      <c r="F10" s="605"/>
      <c r="G10" s="605"/>
      <c r="H10" s="605"/>
      <c r="I10" s="605"/>
      <c r="J10" s="605"/>
      <c r="K10" s="605"/>
      <c r="L10" s="605"/>
      <c r="M10" s="605"/>
      <c r="N10" s="221"/>
    </row>
    <row r="11" spans="2:14" ht="15" customHeight="1">
      <c r="B11" s="218"/>
      <c r="C11" s="225"/>
      <c r="D11" s="225"/>
      <c r="E11" s="225"/>
      <c r="F11" s="225"/>
      <c r="G11" s="225"/>
      <c r="H11" s="225"/>
      <c r="I11" s="225"/>
      <c r="J11" s="225"/>
      <c r="K11" s="225"/>
      <c r="L11" s="225"/>
      <c r="M11" s="225"/>
      <c r="N11" s="221"/>
    </row>
    <row r="12" spans="2:14" ht="15" customHeight="1">
      <c r="B12" s="218"/>
      <c r="C12" s="222" t="s">
        <v>2497</v>
      </c>
      <c r="D12" s="225"/>
      <c r="E12" s="225"/>
      <c r="F12" s="225"/>
      <c r="G12" s="225"/>
      <c r="H12" s="225"/>
      <c r="I12" s="225"/>
      <c r="J12" s="225"/>
      <c r="K12" s="225"/>
      <c r="L12" s="225"/>
      <c r="M12" s="225"/>
      <c r="N12" s="221"/>
    </row>
    <row r="13" spans="2:14" ht="15" customHeight="1">
      <c r="B13" s="218"/>
      <c r="C13" s="607" t="s">
        <v>2599</v>
      </c>
      <c r="D13" s="607"/>
      <c r="E13" s="607"/>
      <c r="F13" s="607"/>
      <c r="G13" s="607"/>
      <c r="H13" s="607"/>
      <c r="I13" s="607"/>
      <c r="J13" s="607"/>
      <c r="K13" s="226"/>
      <c r="L13" s="226"/>
      <c r="M13" s="226"/>
      <c r="N13" s="221"/>
    </row>
    <row r="14" spans="2:14" ht="15" customHeight="1">
      <c r="B14" s="218"/>
      <c r="C14" s="607"/>
      <c r="D14" s="607"/>
      <c r="E14" s="607"/>
      <c r="F14" s="607"/>
      <c r="G14" s="607"/>
      <c r="H14" s="607"/>
      <c r="I14" s="607"/>
      <c r="J14" s="607"/>
      <c r="K14" s="226"/>
      <c r="L14" s="226"/>
      <c r="M14" s="226"/>
      <c r="N14" s="221"/>
    </row>
    <row r="15" spans="2:14" ht="15" customHeight="1">
      <c r="B15" s="218"/>
      <c r="C15" s="607"/>
      <c r="D15" s="607"/>
      <c r="E15" s="607"/>
      <c r="F15" s="607"/>
      <c r="G15" s="607"/>
      <c r="H15" s="607"/>
      <c r="I15" s="607"/>
      <c r="J15" s="607"/>
      <c r="K15" s="226"/>
      <c r="L15" s="227"/>
      <c r="M15" s="227"/>
      <c r="N15" s="221"/>
    </row>
    <row r="16" spans="2:14" ht="15" customHeight="1">
      <c r="B16" s="218"/>
      <c r="C16" s="607"/>
      <c r="D16" s="607"/>
      <c r="E16" s="607"/>
      <c r="F16" s="607"/>
      <c r="G16" s="607"/>
      <c r="H16" s="607"/>
      <c r="I16" s="607"/>
      <c r="J16" s="607"/>
      <c r="K16" s="473"/>
      <c r="L16" s="474"/>
      <c r="M16" s="474"/>
      <c r="N16" s="221"/>
    </row>
    <row r="17" spans="2:18" ht="15" customHeight="1">
      <c r="B17" s="218"/>
      <c r="C17" s="606" t="s">
        <v>2498</v>
      </c>
      <c r="D17" s="606"/>
      <c r="E17" s="606"/>
      <c r="F17" s="606"/>
      <c r="G17" s="606"/>
      <c r="H17" s="606"/>
      <c r="I17" s="606"/>
      <c r="J17" s="606"/>
      <c r="K17" s="225"/>
      <c r="L17" s="229"/>
      <c r="M17" s="229"/>
      <c r="N17" s="221"/>
      <c r="O17" s="399"/>
    </row>
    <row r="18" spans="2:18" ht="15" customHeight="1">
      <c r="B18" s="218"/>
      <c r="C18" s="606"/>
      <c r="D18" s="606"/>
      <c r="E18" s="606"/>
      <c r="F18" s="606"/>
      <c r="G18" s="606"/>
      <c r="H18" s="606"/>
      <c r="I18" s="606"/>
      <c r="J18" s="606"/>
      <c r="K18" s="225"/>
      <c r="L18" s="229"/>
      <c r="M18" s="229"/>
      <c r="N18" s="221"/>
      <c r="Q18"/>
    </row>
    <row r="19" spans="2:18" ht="15" customHeight="1">
      <c r="B19" s="218"/>
      <c r="C19" s="606"/>
      <c r="D19" s="606"/>
      <c r="E19" s="606"/>
      <c r="F19" s="606"/>
      <c r="G19" s="606"/>
      <c r="H19" s="606"/>
      <c r="I19" s="606"/>
      <c r="J19" s="606"/>
      <c r="K19" s="225"/>
      <c r="L19" s="229"/>
      <c r="M19" s="229"/>
      <c r="N19" s="221"/>
      <c r="Q19"/>
    </row>
    <row r="20" spans="2:18" ht="15" customHeight="1">
      <c r="B20" s="218"/>
      <c r="C20" s="228" t="s">
        <v>2499</v>
      </c>
      <c r="D20" s="225"/>
      <c r="E20" s="225"/>
      <c r="F20" s="225"/>
      <c r="G20" s="225"/>
      <c r="H20" s="225"/>
      <c r="I20" s="225"/>
      <c r="J20" s="225"/>
      <c r="K20" s="225"/>
      <c r="L20" s="229"/>
      <c r="M20" s="229"/>
      <c r="N20" s="221"/>
      <c r="O20" s="399"/>
      <c r="Q20"/>
    </row>
    <row r="21" spans="2:18" ht="15" customHeight="1">
      <c r="B21" s="218"/>
      <c r="C21" s="225"/>
      <c r="D21" s="225"/>
      <c r="E21" s="225"/>
      <c r="F21" s="225"/>
      <c r="G21" s="225"/>
      <c r="H21" s="225"/>
      <c r="I21" s="225"/>
      <c r="J21" s="225"/>
      <c r="K21" s="225"/>
      <c r="L21" s="229"/>
      <c r="M21" s="229"/>
      <c r="N21" s="221"/>
      <c r="Q21"/>
    </row>
    <row r="22" spans="2:18" ht="15" customHeight="1">
      <c r="B22" s="218"/>
      <c r="C22" s="222" t="s">
        <v>2500</v>
      </c>
      <c r="D22" s="225"/>
      <c r="E22" s="225"/>
      <c r="F22" s="225"/>
      <c r="G22" s="225"/>
      <c r="H22" s="225"/>
      <c r="I22" s="225"/>
      <c r="J22" s="225"/>
      <c r="K22" s="225"/>
      <c r="L22" s="476"/>
      <c r="M22" s="476"/>
      <c r="N22" s="221"/>
      <c r="Q22"/>
    </row>
    <row r="23" spans="2:18" ht="15" customHeight="1">
      <c r="B23" s="218"/>
      <c r="C23" s="604" t="s">
        <v>2501</v>
      </c>
      <c r="D23" s="604"/>
      <c r="E23" s="604"/>
      <c r="F23" s="604"/>
      <c r="G23" s="604"/>
      <c r="H23" s="604"/>
      <c r="I23" s="604"/>
      <c r="J23" s="604"/>
      <c r="K23" s="604"/>
      <c r="L23" s="604"/>
      <c r="M23" s="604"/>
      <c r="N23" s="221"/>
      <c r="O23" s="399"/>
      <c r="Q23"/>
      <c r="R23" s="193"/>
    </row>
    <row r="24" spans="2:18" ht="15" customHeight="1">
      <c r="B24" s="218"/>
      <c r="C24" s="604"/>
      <c r="D24" s="604"/>
      <c r="E24" s="604"/>
      <c r="F24" s="604"/>
      <c r="G24" s="604"/>
      <c r="H24" s="604"/>
      <c r="I24" s="604"/>
      <c r="J24" s="604"/>
      <c r="K24" s="604"/>
      <c r="L24" s="604"/>
      <c r="M24" s="604"/>
      <c r="N24" s="221"/>
      <c r="Q24"/>
    </row>
    <row r="25" spans="2:18" ht="15" customHeight="1">
      <c r="B25" s="218"/>
      <c r="C25" s="228" t="s">
        <v>2502</v>
      </c>
      <c r="D25" s="225"/>
      <c r="E25" s="225"/>
      <c r="F25" s="225"/>
      <c r="G25" s="225"/>
      <c r="H25" s="225"/>
      <c r="I25" s="225"/>
      <c r="J25" s="225"/>
      <c r="K25" s="225"/>
      <c r="L25" s="225"/>
      <c r="M25" s="225"/>
      <c r="N25" s="221"/>
      <c r="Q25"/>
      <c r="R25" s="193"/>
    </row>
    <row r="26" spans="2:18" ht="15" customHeight="1">
      <c r="B26" s="218"/>
      <c r="C26" s="225"/>
      <c r="D26" s="225"/>
      <c r="E26" s="225"/>
      <c r="F26" s="225"/>
      <c r="G26" s="225"/>
      <c r="H26" s="225"/>
      <c r="I26" s="225"/>
      <c r="J26" s="225"/>
      <c r="K26" s="225"/>
      <c r="L26" s="225"/>
      <c r="M26" s="225"/>
      <c r="N26" s="221"/>
      <c r="Q26"/>
      <c r="R26" s="193"/>
    </row>
    <row r="27" spans="2:18" ht="15" customHeight="1">
      <c r="B27" s="218"/>
      <c r="C27" s="222" t="s">
        <v>2503</v>
      </c>
      <c r="D27" s="225"/>
      <c r="E27" s="225"/>
      <c r="F27" s="225"/>
      <c r="G27" s="225"/>
      <c r="H27" s="225"/>
      <c r="I27" s="225"/>
      <c r="J27" s="225"/>
      <c r="K27" s="225"/>
      <c r="L27" s="225"/>
      <c r="M27" s="225"/>
      <c r="N27" s="221"/>
      <c r="Q27"/>
      <c r="R27" s="193"/>
    </row>
    <row r="28" spans="2:18" ht="15" customHeight="1">
      <c r="B28" s="218"/>
      <c r="C28" s="604" t="s">
        <v>2656</v>
      </c>
      <c r="D28" s="604"/>
      <c r="E28" s="604"/>
      <c r="F28" s="604"/>
      <c r="G28" s="604"/>
      <c r="H28" s="604"/>
      <c r="I28" s="604"/>
      <c r="J28" s="604"/>
      <c r="K28" s="604"/>
      <c r="L28" s="604"/>
      <c r="M28" s="604"/>
      <c r="N28" s="221"/>
      <c r="Q28"/>
      <c r="R28" s="193"/>
    </row>
    <row r="29" spans="2:18" ht="15" customHeight="1">
      <c r="B29" s="218"/>
      <c r="C29" s="604"/>
      <c r="D29" s="604"/>
      <c r="E29" s="604"/>
      <c r="F29" s="604"/>
      <c r="G29" s="604"/>
      <c r="H29" s="604"/>
      <c r="I29" s="604"/>
      <c r="J29" s="604"/>
      <c r="K29" s="604"/>
      <c r="L29" s="604"/>
      <c r="M29" s="604"/>
      <c r="N29" s="221"/>
      <c r="Q29"/>
      <c r="R29" s="193"/>
    </row>
    <row r="30" spans="2:18" ht="15" customHeight="1">
      <c r="B30" s="218"/>
      <c r="C30" s="604"/>
      <c r="D30" s="604"/>
      <c r="E30" s="604"/>
      <c r="F30" s="604"/>
      <c r="G30" s="604"/>
      <c r="H30" s="604"/>
      <c r="I30" s="604"/>
      <c r="J30" s="604"/>
      <c r="K30" s="604"/>
      <c r="L30" s="604"/>
      <c r="M30" s="604"/>
      <c r="N30" s="221"/>
      <c r="Q30"/>
    </row>
    <row r="31" spans="2:18" ht="15" customHeight="1">
      <c r="B31" s="218"/>
      <c r="C31" s="603"/>
      <c r="D31" s="603"/>
      <c r="E31" s="603"/>
      <c r="F31" s="603"/>
      <c r="G31" s="603"/>
      <c r="H31" s="603"/>
      <c r="I31" s="603"/>
      <c r="J31" s="603"/>
      <c r="K31" s="603"/>
      <c r="L31" s="603"/>
      <c r="M31" s="603"/>
      <c r="N31" s="221"/>
      <c r="Q31" s="193"/>
    </row>
    <row r="32" spans="2:18" ht="15" customHeight="1">
      <c r="B32" s="218"/>
      <c r="C32" s="222" t="s">
        <v>2772</v>
      </c>
      <c r="D32" s="225"/>
      <c r="E32" s="225"/>
      <c r="F32" s="225"/>
      <c r="G32" s="225"/>
      <c r="H32" s="225"/>
      <c r="I32" s="225"/>
      <c r="J32" s="225"/>
      <c r="K32" s="225"/>
      <c r="L32" s="225"/>
      <c r="M32" s="225"/>
      <c r="N32" s="221"/>
      <c r="Q32" s="193"/>
    </row>
    <row r="33" spans="2:17" ht="15" customHeight="1">
      <c r="B33" s="218"/>
      <c r="C33" s="604" t="s">
        <v>2773</v>
      </c>
      <c r="D33" s="604"/>
      <c r="E33" s="604"/>
      <c r="F33" s="604"/>
      <c r="G33" s="604"/>
      <c r="H33" s="604"/>
      <c r="I33" s="604"/>
      <c r="J33" s="604"/>
      <c r="K33" s="604"/>
      <c r="L33" s="604"/>
      <c r="M33" s="604"/>
      <c r="N33" s="221"/>
      <c r="Q33" s="193"/>
    </row>
    <row r="34" spans="2:17" ht="15" customHeight="1">
      <c r="B34" s="218"/>
      <c r="C34" s="604"/>
      <c r="D34" s="604"/>
      <c r="E34" s="604"/>
      <c r="F34" s="604"/>
      <c r="G34" s="604"/>
      <c r="H34" s="604"/>
      <c r="I34" s="604"/>
      <c r="J34" s="604"/>
      <c r="K34" s="604"/>
      <c r="L34" s="604"/>
      <c r="M34" s="604"/>
      <c r="N34" s="221"/>
      <c r="Q34" s="193"/>
    </row>
    <row r="35" spans="2:17" ht="15" customHeight="1">
      <c r="B35" s="218"/>
      <c r="C35" s="604"/>
      <c r="D35" s="604"/>
      <c r="E35" s="604"/>
      <c r="F35" s="604"/>
      <c r="G35" s="604"/>
      <c r="H35" s="604"/>
      <c r="I35" s="604"/>
      <c r="J35" s="604"/>
      <c r="K35" s="604"/>
      <c r="L35" s="604"/>
      <c r="M35" s="604"/>
      <c r="N35" s="221"/>
      <c r="Q35" s="193"/>
    </row>
    <row r="36" spans="2:17" ht="15" customHeight="1">
      <c r="B36" s="218"/>
      <c r="C36" s="604"/>
      <c r="D36" s="604"/>
      <c r="E36" s="604"/>
      <c r="F36" s="604"/>
      <c r="G36" s="604"/>
      <c r="H36" s="604"/>
      <c r="I36" s="604"/>
      <c r="J36" s="604"/>
      <c r="K36" s="604"/>
      <c r="L36" s="604"/>
      <c r="M36" s="604"/>
      <c r="N36" s="221"/>
      <c r="Q36" s="193"/>
    </row>
    <row r="37" spans="2:17" ht="6.75" customHeight="1">
      <c r="B37" s="218"/>
      <c r="C37" s="604"/>
      <c r="D37" s="604"/>
      <c r="E37" s="604"/>
      <c r="F37" s="604"/>
      <c r="G37" s="604"/>
      <c r="H37" s="604"/>
      <c r="I37" s="604"/>
      <c r="J37" s="604"/>
      <c r="K37" s="604"/>
      <c r="L37" s="604"/>
      <c r="M37" s="604"/>
      <c r="N37" s="221"/>
      <c r="Q37" s="193"/>
    </row>
    <row r="38" spans="2:17" ht="10.5" customHeight="1" thickBot="1">
      <c r="B38" s="230"/>
      <c r="C38" s="231"/>
      <c r="D38" s="231"/>
      <c r="E38" s="231"/>
      <c r="F38" s="231"/>
      <c r="G38" s="231"/>
      <c r="H38" s="231"/>
      <c r="I38" s="231"/>
      <c r="J38" s="231"/>
      <c r="K38" s="231"/>
      <c r="L38" s="231"/>
      <c r="M38" s="231"/>
      <c r="N38" s="232"/>
    </row>
    <row r="39" spans="2:17" ht="15" customHeight="1" thickTop="1"/>
  </sheetData>
  <sheetProtection password="FDAF" sheet="1" objects="1" scenarios="1" selectLockedCells="1" selectUnlockedCells="1"/>
  <mergeCells count="6">
    <mergeCell ref="C33:M37"/>
    <mergeCell ref="C28:M30"/>
    <mergeCell ref="C8:M10"/>
    <mergeCell ref="C17:J19"/>
    <mergeCell ref="C23:M24"/>
    <mergeCell ref="C13:J16"/>
  </mergeCells>
  <hyperlinks>
    <hyperlink ref="C25" r:id="rId1"/>
    <hyperlink ref="C20" r:id="rId2"/>
  </hyperlinks>
  <pageMargins left="0.7" right="0.7" top="0.78740157499999996" bottom="0.78740157499999996" header="0.3" footer="0.3"/>
  <pageSetup paperSize="9" scale="78" orientation="portrait" r:id="rId3"/>
  <drawing r:id="rId4"/>
</worksheet>
</file>

<file path=xl/worksheets/sheet10.xml><?xml version="1.0" encoding="utf-8"?>
<worksheet xmlns="http://schemas.openxmlformats.org/spreadsheetml/2006/main" xmlns:r="http://schemas.openxmlformats.org/officeDocument/2006/relationships">
  <sheetPr codeName="Tabelle71">
    <tabColor theme="6"/>
    <pageSetUpPr fitToPage="1"/>
  </sheetPr>
  <dimension ref="A1:P31"/>
  <sheetViews>
    <sheetView zoomScaleNormal="100" zoomScaleSheetLayoutView="115" workbookViewId="0">
      <pane ySplit="2" topLeftCell="A3" activePane="bottomLeft" state="frozenSplit"/>
      <selection activeCell="C23" sqref="C23:M24"/>
      <selection pane="bottomLeft" activeCell="G3" sqref="G3"/>
    </sheetView>
  </sheetViews>
  <sheetFormatPr baseColWidth="10" defaultRowHeight="15" customHeight="1"/>
  <cols>
    <col min="1" max="1" width="4.33203125" style="23" hidden="1" customWidth="1"/>
    <col min="2" max="2" width="5.1640625" style="23" hidden="1" customWidth="1"/>
    <col min="3" max="3" width="6.5" style="23" customWidth="1"/>
    <col min="4" max="4" width="36.1640625" style="23" bestFit="1" customWidth="1"/>
    <col min="5" max="5" width="12.1640625" style="23" hidden="1" customWidth="1"/>
    <col min="6" max="6" width="18.5" style="23" hidden="1" customWidth="1"/>
    <col min="7" max="7" width="15.83203125" style="422" customWidth="1"/>
    <col min="8" max="8" width="5.83203125" style="23" customWidth="1"/>
    <col min="9" max="9" width="15.83203125" style="422" customWidth="1"/>
    <col min="10" max="10" width="12.1640625" style="23" bestFit="1" customWidth="1"/>
    <col min="11" max="11" width="15.5" style="23" bestFit="1" customWidth="1"/>
    <col min="12" max="12" width="12.1640625" style="23" customWidth="1"/>
    <col min="13" max="13" width="15.5" style="23" bestFit="1" customWidth="1"/>
    <col min="14" max="14" width="12.1640625" style="23" customWidth="1"/>
    <col min="15" max="15" width="15.83203125" style="23" customWidth="1"/>
    <col min="16" max="16" width="5.83203125" style="23" customWidth="1"/>
    <col min="17" max="253" width="13.33203125" style="23"/>
    <col min="254" max="254" width="5.1640625" style="23" customWidth="1"/>
    <col min="255" max="255" width="12.5" style="23" customWidth="1"/>
    <col min="256" max="256" width="10.83203125" style="23" customWidth="1"/>
    <col min="257" max="257" width="48.6640625" style="23" customWidth="1"/>
    <col min="258" max="258" width="10" style="23" customWidth="1"/>
    <col min="259" max="259" width="21" style="23" customWidth="1"/>
    <col min="260" max="260" width="8.33203125" style="23" customWidth="1"/>
    <col min="261" max="261" width="15.1640625" style="23" customWidth="1"/>
    <col min="262" max="262" width="14.83203125" style="23" customWidth="1"/>
    <col min="263" max="263" width="9.33203125" style="23" customWidth="1"/>
    <col min="264" max="264" width="13.1640625" style="23" customWidth="1"/>
    <col min="265" max="266" width="14.83203125" style="23" customWidth="1"/>
    <col min="267" max="267" width="10.1640625" style="23" customWidth="1"/>
    <col min="268" max="268" width="14.83203125" style="23" customWidth="1"/>
    <col min="269" max="509" width="13.33203125" style="23"/>
    <col min="510" max="510" width="5.1640625" style="23" customWidth="1"/>
    <col min="511" max="511" width="12.5" style="23" customWidth="1"/>
    <col min="512" max="512" width="10.83203125" style="23" customWidth="1"/>
    <col min="513" max="513" width="48.6640625" style="23" customWidth="1"/>
    <col min="514" max="514" width="10" style="23" customWidth="1"/>
    <col min="515" max="515" width="21" style="23" customWidth="1"/>
    <col min="516" max="516" width="8.33203125" style="23" customWidth="1"/>
    <col min="517" max="517" width="15.1640625" style="23" customWidth="1"/>
    <col min="518" max="518" width="14.83203125" style="23" customWidth="1"/>
    <col min="519" max="519" width="9.33203125" style="23" customWidth="1"/>
    <col min="520" max="520" width="13.1640625" style="23" customWidth="1"/>
    <col min="521" max="522" width="14.83203125" style="23" customWidth="1"/>
    <col min="523" max="523" width="10.1640625" style="23" customWidth="1"/>
    <col min="524" max="524" width="14.83203125" style="23" customWidth="1"/>
    <col min="525" max="765" width="13.33203125" style="23"/>
    <col min="766" max="766" width="5.1640625" style="23" customWidth="1"/>
    <col min="767" max="767" width="12.5" style="23" customWidth="1"/>
    <col min="768" max="768" width="10.83203125" style="23" customWidth="1"/>
    <col min="769" max="769" width="48.6640625" style="23" customWidth="1"/>
    <col min="770" max="770" width="10" style="23" customWidth="1"/>
    <col min="771" max="771" width="21" style="23" customWidth="1"/>
    <col min="772" max="772" width="8.33203125" style="23" customWidth="1"/>
    <col min="773" max="773" width="15.1640625" style="23" customWidth="1"/>
    <col min="774" max="774" width="14.83203125" style="23" customWidth="1"/>
    <col min="775" max="775" width="9.33203125" style="23" customWidth="1"/>
    <col min="776" max="776" width="13.1640625" style="23" customWidth="1"/>
    <col min="777" max="778" width="14.83203125" style="23" customWidth="1"/>
    <col min="779" max="779" width="10.1640625" style="23" customWidth="1"/>
    <col min="780" max="780" width="14.83203125" style="23" customWidth="1"/>
    <col min="781" max="1021" width="13.33203125" style="23"/>
    <col min="1022" max="1022" width="5.1640625" style="23" customWidth="1"/>
    <col min="1023" max="1023" width="12.5" style="23" customWidth="1"/>
    <col min="1024" max="1024" width="10.83203125" style="23" customWidth="1"/>
    <col min="1025" max="1025" width="48.6640625" style="23" customWidth="1"/>
    <col min="1026" max="1026" width="10" style="23" customWidth="1"/>
    <col min="1027" max="1027" width="21" style="23" customWidth="1"/>
    <col min="1028" max="1028" width="8.33203125" style="23" customWidth="1"/>
    <col min="1029" max="1029" width="15.1640625" style="23" customWidth="1"/>
    <col min="1030" max="1030" width="14.83203125" style="23" customWidth="1"/>
    <col min="1031" max="1031" width="9.33203125" style="23" customWidth="1"/>
    <col min="1032" max="1032" width="13.1640625" style="23" customWidth="1"/>
    <col min="1033" max="1034" width="14.83203125" style="23" customWidth="1"/>
    <col min="1035" max="1035" width="10.1640625" style="23" customWidth="1"/>
    <col min="1036" max="1036" width="14.83203125" style="23" customWidth="1"/>
    <col min="1037" max="1277" width="13.33203125" style="23"/>
    <col min="1278" max="1278" width="5.1640625" style="23" customWidth="1"/>
    <col min="1279" max="1279" width="12.5" style="23" customWidth="1"/>
    <col min="1280" max="1280" width="10.83203125" style="23" customWidth="1"/>
    <col min="1281" max="1281" width="48.6640625" style="23" customWidth="1"/>
    <col min="1282" max="1282" width="10" style="23" customWidth="1"/>
    <col min="1283" max="1283" width="21" style="23" customWidth="1"/>
    <col min="1284" max="1284" width="8.33203125" style="23" customWidth="1"/>
    <col min="1285" max="1285" width="15.1640625" style="23" customWidth="1"/>
    <col min="1286" max="1286" width="14.83203125" style="23" customWidth="1"/>
    <col min="1287" max="1287" width="9.33203125" style="23" customWidth="1"/>
    <col min="1288" max="1288" width="13.1640625" style="23" customWidth="1"/>
    <col min="1289" max="1290" width="14.83203125" style="23" customWidth="1"/>
    <col min="1291" max="1291" width="10.1640625" style="23" customWidth="1"/>
    <col min="1292" max="1292" width="14.83203125" style="23" customWidth="1"/>
    <col min="1293" max="1533" width="13.33203125" style="23"/>
    <col min="1534" max="1534" width="5.1640625" style="23" customWidth="1"/>
    <col min="1535" max="1535" width="12.5" style="23" customWidth="1"/>
    <col min="1536" max="1536" width="10.83203125" style="23" customWidth="1"/>
    <col min="1537" max="1537" width="48.6640625" style="23" customWidth="1"/>
    <col min="1538" max="1538" width="10" style="23" customWidth="1"/>
    <col min="1539" max="1539" width="21" style="23" customWidth="1"/>
    <col min="1540" max="1540" width="8.33203125" style="23" customWidth="1"/>
    <col min="1541" max="1541" width="15.1640625" style="23" customWidth="1"/>
    <col min="1542" max="1542" width="14.83203125" style="23" customWidth="1"/>
    <col min="1543" max="1543" width="9.33203125" style="23" customWidth="1"/>
    <col min="1544" max="1544" width="13.1640625" style="23" customWidth="1"/>
    <col min="1545" max="1546" width="14.83203125" style="23" customWidth="1"/>
    <col min="1547" max="1547" width="10.1640625" style="23" customWidth="1"/>
    <col min="1548" max="1548" width="14.83203125" style="23" customWidth="1"/>
    <col min="1549" max="1789" width="13.33203125" style="23"/>
    <col min="1790" max="1790" width="5.1640625" style="23" customWidth="1"/>
    <col min="1791" max="1791" width="12.5" style="23" customWidth="1"/>
    <col min="1792" max="1792" width="10.83203125" style="23" customWidth="1"/>
    <col min="1793" max="1793" width="48.6640625" style="23" customWidth="1"/>
    <col min="1794" max="1794" width="10" style="23" customWidth="1"/>
    <col min="1795" max="1795" width="21" style="23" customWidth="1"/>
    <col min="1796" max="1796" width="8.33203125" style="23" customWidth="1"/>
    <col min="1797" max="1797" width="15.1640625" style="23" customWidth="1"/>
    <col min="1798" max="1798" width="14.83203125" style="23" customWidth="1"/>
    <col min="1799" max="1799" width="9.33203125" style="23" customWidth="1"/>
    <col min="1800" max="1800" width="13.1640625" style="23" customWidth="1"/>
    <col min="1801" max="1802" width="14.83203125" style="23" customWidth="1"/>
    <col min="1803" max="1803" width="10.1640625" style="23" customWidth="1"/>
    <col min="1804" max="1804" width="14.83203125" style="23" customWidth="1"/>
    <col min="1805" max="2045" width="13.33203125" style="23"/>
    <col min="2046" max="2046" width="5.1640625" style="23" customWidth="1"/>
    <col min="2047" max="2047" width="12.5" style="23" customWidth="1"/>
    <col min="2048" max="2048" width="10.83203125" style="23" customWidth="1"/>
    <col min="2049" max="2049" width="48.6640625" style="23" customWidth="1"/>
    <col min="2050" max="2050" width="10" style="23" customWidth="1"/>
    <col min="2051" max="2051" width="21" style="23" customWidth="1"/>
    <col min="2052" max="2052" width="8.33203125" style="23" customWidth="1"/>
    <col min="2053" max="2053" width="15.1640625" style="23" customWidth="1"/>
    <col min="2054" max="2054" width="14.83203125" style="23" customWidth="1"/>
    <col min="2055" max="2055" width="9.33203125" style="23" customWidth="1"/>
    <col min="2056" max="2056" width="13.1640625" style="23" customWidth="1"/>
    <col min="2057" max="2058" width="14.83203125" style="23" customWidth="1"/>
    <col min="2059" max="2059" width="10.1640625" style="23" customWidth="1"/>
    <col min="2060" max="2060" width="14.83203125" style="23" customWidth="1"/>
    <col min="2061" max="2301" width="13.33203125" style="23"/>
    <col min="2302" max="2302" width="5.1640625" style="23" customWidth="1"/>
    <col min="2303" max="2303" width="12.5" style="23" customWidth="1"/>
    <col min="2304" max="2304" width="10.83203125" style="23" customWidth="1"/>
    <col min="2305" max="2305" width="48.6640625" style="23" customWidth="1"/>
    <col min="2306" max="2306" width="10" style="23" customWidth="1"/>
    <col min="2307" max="2307" width="21" style="23" customWidth="1"/>
    <col min="2308" max="2308" width="8.33203125" style="23" customWidth="1"/>
    <col min="2309" max="2309" width="15.1640625" style="23" customWidth="1"/>
    <col min="2310" max="2310" width="14.83203125" style="23" customWidth="1"/>
    <col min="2311" max="2311" width="9.33203125" style="23" customWidth="1"/>
    <col min="2312" max="2312" width="13.1640625" style="23" customWidth="1"/>
    <col min="2313" max="2314" width="14.83203125" style="23" customWidth="1"/>
    <col min="2315" max="2315" width="10.1640625" style="23" customWidth="1"/>
    <col min="2316" max="2316" width="14.83203125" style="23" customWidth="1"/>
    <col min="2317" max="2557" width="13.33203125" style="23"/>
    <col min="2558" max="2558" width="5.1640625" style="23" customWidth="1"/>
    <col min="2559" max="2559" width="12.5" style="23" customWidth="1"/>
    <col min="2560" max="2560" width="10.83203125" style="23" customWidth="1"/>
    <col min="2561" max="2561" width="48.6640625" style="23" customWidth="1"/>
    <col min="2562" max="2562" width="10" style="23" customWidth="1"/>
    <col min="2563" max="2563" width="21" style="23" customWidth="1"/>
    <col min="2564" max="2564" width="8.33203125" style="23" customWidth="1"/>
    <col min="2565" max="2565" width="15.1640625" style="23" customWidth="1"/>
    <col min="2566" max="2566" width="14.83203125" style="23" customWidth="1"/>
    <col min="2567" max="2567" width="9.33203125" style="23" customWidth="1"/>
    <col min="2568" max="2568" width="13.1640625" style="23" customWidth="1"/>
    <col min="2569" max="2570" width="14.83203125" style="23" customWidth="1"/>
    <col min="2571" max="2571" width="10.1640625" style="23" customWidth="1"/>
    <col min="2572" max="2572" width="14.83203125" style="23" customWidth="1"/>
    <col min="2573" max="2813" width="13.33203125" style="23"/>
    <col min="2814" max="2814" width="5.1640625" style="23" customWidth="1"/>
    <col min="2815" max="2815" width="12.5" style="23" customWidth="1"/>
    <col min="2816" max="2816" width="10.83203125" style="23" customWidth="1"/>
    <col min="2817" max="2817" width="48.6640625" style="23" customWidth="1"/>
    <col min="2818" max="2818" width="10" style="23" customWidth="1"/>
    <col min="2819" max="2819" width="21" style="23" customWidth="1"/>
    <col min="2820" max="2820" width="8.33203125" style="23" customWidth="1"/>
    <col min="2821" max="2821" width="15.1640625" style="23" customWidth="1"/>
    <col min="2822" max="2822" width="14.83203125" style="23" customWidth="1"/>
    <col min="2823" max="2823" width="9.33203125" style="23" customWidth="1"/>
    <col min="2824" max="2824" width="13.1640625" style="23" customWidth="1"/>
    <col min="2825" max="2826" width="14.83203125" style="23" customWidth="1"/>
    <col min="2827" max="2827" width="10.1640625" style="23" customWidth="1"/>
    <col min="2828" max="2828" width="14.83203125" style="23" customWidth="1"/>
    <col min="2829" max="3069" width="13.33203125" style="23"/>
    <col min="3070" max="3070" width="5.1640625" style="23" customWidth="1"/>
    <col min="3071" max="3071" width="12.5" style="23" customWidth="1"/>
    <col min="3072" max="3072" width="10.83203125" style="23" customWidth="1"/>
    <col min="3073" max="3073" width="48.6640625" style="23" customWidth="1"/>
    <col min="3074" max="3074" width="10" style="23" customWidth="1"/>
    <col min="3075" max="3075" width="21" style="23" customWidth="1"/>
    <col min="3076" max="3076" width="8.33203125" style="23" customWidth="1"/>
    <col min="3077" max="3077" width="15.1640625" style="23" customWidth="1"/>
    <col min="3078" max="3078" width="14.83203125" style="23" customWidth="1"/>
    <col min="3079" max="3079" width="9.33203125" style="23" customWidth="1"/>
    <col min="3080" max="3080" width="13.1640625" style="23" customWidth="1"/>
    <col min="3081" max="3082" width="14.83203125" style="23" customWidth="1"/>
    <col min="3083" max="3083" width="10.1640625" style="23" customWidth="1"/>
    <col min="3084" max="3084" width="14.83203125" style="23" customWidth="1"/>
    <col min="3085" max="3325" width="13.33203125" style="23"/>
    <col min="3326" max="3326" width="5.1640625" style="23" customWidth="1"/>
    <col min="3327" max="3327" width="12.5" style="23" customWidth="1"/>
    <col min="3328" max="3328" width="10.83203125" style="23" customWidth="1"/>
    <col min="3329" max="3329" width="48.6640625" style="23" customWidth="1"/>
    <col min="3330" max="3330" width="10" style="23" customWidth="1"/>
    <col min="3331" max="3331" width="21" style="23" customWidth="1"/>
    <col min="3332" max="3332" width="8.33203125" style="23" customWidth="1"/>
    <col min="3333" max="3333" width="15.1640625" style="23" customWidth="1"/>
    <col min="3334" max="3334" width="14.83203125" style="23" customWidth="1"/>
    <col min="3335" max="3335" width="9.33203125" style="23" customWidth="1"/>
    <col min="3336" max="3336" width="13.1640625" style="23" customWidth="1"/>
    <col min="3337" max="3338" width="14.83203125" style="23" customWidth="1"/>
    <col min="3339" max="3339" width="10.1640625" style="23" customWidth="1"/>
    <col min="3340" max="3340" width="14.83203125" style="23" customWidth="1"/>
    <col min="3341" max="3581" width="13.33203125" style="23"/>
    <col min="3582" max="3582" width="5.1640625" style="23" customWidth="1"/>
    <col min="3583" max="3583" width="12.5" style="23" customWidth="1"/>
    <col min="3584" max="3584" width="10.83203125" style="23" customWidth="1"/>
    <col min="3585" max="3585" width="48.6640625" style="23" customWidth="1"/>
    <col min="3586" max="3586" width="10" style="23" customWidth="1"/>
    <col min="3587" max="3587" width="21" style="23" customWidth="1"/>
    <col min="3588" max="3588" width="8.33203125" style="23" customWidth="1"/>
    <col min="3589" max="3589" width="15.1640625" style="23" customWidth="1"/>
    <col min="3590" max="3590" width="14.83203125" style="23" customWidth="1"/>
    <col min="3591" max="3591" width="9.33203125" style="23" customWidth="1"/>
    <col min="3592" max="3592" width="13.1640625" style="23" customWidth="1"/>
    <col min="3593" max="3594" width="14.83203125" style="23" customWidth="1"/>
    <col min="3595" max="3595" width="10.1640625" style="23" customWidth="1"/>
    <col min="3596" max="3596" width="14.83203125" style="23" customWidth="1"/>
    <col min="3597" max="3837" width="13.33203125" style="23"/>
    <col min="3838" max="3838" width="5.1640625" style="23" customWidth="1"/>
    <col min="3839" max="3839" width="12.5" style="23" customWidth="1"/>
    <col min="3840" max="3840" width="10.83203125" style="23" customWidth="1"/>
    <col min="3841" max="3841" width="48.6640625" style="23" customWidth="1"/>
    <col min="3842" max="3842" width="10" style="23" customWidth="1"/>
    <col min="3843" max="3843" width="21" style="23" customWidth="1"/>
    <col min="3844" max="3844" width="8.33203125" style="23" customWidth="1"/>
    <col min="3845" max="3845" width="15.1640625" style="23" customWidth="1"/>
    <col min="3846" max="3846" width="14.83203125" style="23" customWidth="1"/>
    <col min="3847" max="3847" width="9.33203125" style="23" customWidth="1"/>
    <col min="3848" max="3848" width="13.1640625" style="23" customWidth="1"/>
    <col min="3849" max="3850" width="14.83203125" style="23" customWidth="1"/>
    <col min="3851" max="3851" width="10.1640625" style="23" customWidth="1"/>
    <col min="3852" max="3852" width="14.83203125" style="23" customWidth="1"/>
    <col min="3853" max="4093" width="13.33203125" style="23"/>
    <col min="4094" max="4094" width="5.1640625" style="23" customWidth="1"/>
    <col min="4095" max="4095" width="12.5" style="23" customWidth="1"/>
    <col min="4096" max="4096" width="10.83203125" style="23" customWidth="1"/>
    <col min="4097" max="4097" width="48.6640625" style="23" customWidth="1"/>
    <col min="4098" max="4098" width="10" style="23" customWidth="1"/>
    <col min="4099" max="4099" width="21" style="23" customWidth="1"/>
    <col min="4100" max="4100" width="8.33203125" style="23" customWidth="1"/>
    <col min="4101" max="4101" width="15.1640625" style="23" customWidth="1"/>
    <col min="4102" max="4102" width="14.83203125" style="23" customWidth="1"/>
    <col min="4103" max="4103" width="9.33203125" style="23" customWidth="1"/>
    <col min="4104" max="4104" width="13.1640625" style="23" customWidth="1"/>
    <col min="4105" max="4106" width="14.83203125" style="23" customWidth="1"/>
    <col min="4107" max="4107" width="10.1640625" style="23" customWidth="1"/>
    <col min="4108" max="4108" width="14.83203125" style="23" customWidth="1"/>
    <col min="4109" max="4349" width="13.33203125" style="23"/>
    <col min="4350" max="4350" width="5.1640625" style="23" customWidth="1"/>
    <col min="4351" max="4351" width="12.5" style="23" customWidth="1"/>
    <col min="4352" max="4352" width="10.83203125" style="23" customWidth="1"/>
    <col min="4353" max="4353" width="48.6640625" style="23" customWidth="1"/>
    <col min="4354" max="4354" width="10" style="23" customWidth="1"/>
    <col min="4355" max="4355" width="21" style="23" customWidth="1"/>
    <col min="4356" max="4356" width="8.33203125" style="23" customWidth="1"/>
    <col min="4357" max="4357" width="15.1640625" style="23" customWidth="1"/>
    <col min="4358" max="4358" width="14.83203125" style="23" customWidth="1"/>
    <col min="4359" max="4359" width="9.33203125" style="23" customWidth="1"/>
    <col min="4360" max="4360" width="13.1640625" style="23" customWidth="1"/>
    <col min="4361" max="4362" width="14.83203125" style="23" customWidth="1"/>
    <col min="4363" max="4363" width="10.1640625" style="23" customWidth="1"/>
    <col min="4364" max="4364" width="14.83203125" style="23" customWidth="1"/>
    <col min="4365" max="4605" width="13.33203125" style="23"/>
    <col min="4606" max="4606" width="5.1640625" style="23" customWidth="1"/>
    <col min="4607" max="4607" width="12.5" style="23" customWidth="1"/>
    <col min="4608" max="4608" width="10.83203125" style="23" customWidth="1"/>
    <col min="4609" max="4609" width="48.6640625" style="23" customWidth="1"/>
    <col min="4610" max="4610" width="10" style="23" customWidth="1"/>
    <col min="4611" max="4611" width="21" style="23" customWidth="1"/>
    <col min="4612" max="4612" width="8.33203125" style="23" customWidth="1"/>
    <col min="4613" max="4613" width="15.1640625" style="23" customWidth="1"/>
    <col min="4614" max="4614" width="14.83203125" style="23" customWidth="1"/>
    <col min="4615" max="4615" width="9.33203125" style="23" customWidth="1"/>
    <col min="4616" max="4616" width="13.1640625" style="23" customWidth="1"/>
    <col min="4617" max="4618" width="14.83203125" style="23" customWidth="1"/>
    <col min="4619" max="4619" width="10.1640625" style="23" customWidth="1"/>
    <col min="4620" max="4620" width="14.83203125" style="23" customWidth="1"/>
    <col min="4621" max="4861" width="13.33203125" style="23"/>
    <col min="4862" max="4862" width="5.1640625" style="23" customWidth="1"/>
    <col min="4863" max="4863" width="12.5" style="23" customWidth="1"/>
    <col min="4864" max="4864" width="10.83203125" style="23" customWidth="1"/>
    <col min="4865" max="4865" width="48.6640625" style="23" customWidth="1"/>
    <col min="4866" max="4866" width="10" style="23" customWidth="1"/>
    <col min="4867" max="4867" width="21" style="23" customWidth="1"/>
    <col min="4868" max="4868" width="8.33203125" style="23" customWidth="1"/>
    <col min="4869" max="4869" width="15.1640625" style="23" customWidth="1"/>
    <col min="4870" max="4870" width="14.83203125" style="23" customWidth="1"/>
    <col min="4871" max="4871" width="9.33203125" style="23" customWidth="1"/>
    <col min="4872" max="4872" width="13.1640625" style="23" customWidth="1"/>
    <col min="4873" max="4874" width="14.83203125" style="23" customWidth="1"/>
    <col min="4875" max="4875" width="10.1640625" style="23" customWidth="1"/>
    <col min="4876" max="4876" width="14.83203125" style="23" customWidth="1"/>
    <col min="4877" max="5117" width="13.33203125" style="23"/>
    <col min="5118" max="5118" width="5.1640625" style="23" customWidth="1"/>
    <col min="5119" max="5119" width="12.5" style="23" customWidth="1"/>
    <col min="5120" max="5120" width="10.83203125" style="23" customWidth="1"/>
    <col min="5121" max="5121" width="48.6640625" style="23" customWidth="1"/>
    <col min="5122" max="5122" width="10" style="23" customWidth="1"/>
    <col min="5123" max="5123" width="21" style="23" customWidth="1"/>
    <col min="5124" max="5124" width="8.33203125" style="23" customWidth="1"/>
    <col min="5125" max="5125" width="15.1640625" style="23" customWidth="1"/>
    <col min="5126" max="5126" width="14.83203125" style="23" customWidth="1"/>
    <col min="5127" max="5127" width="9.33203125" style="23" customWidth="1"/>
    <col min="5128" max="5128" width="13.1640625" style="23" customWidth="1"/>
    <col min="5129" max="5130" width="14.83203125" style="23" customWidth="1"/>
    <col min="5131" max="5131" width="10.1640625" style="23" customWidth="1"/>
    <col min="5132" max="5132" width="14.83203125" style="23" customWidth="1"/>
    <col min="5133" max="5373" width="13.33203125" style="23"/>
    <col min="5374" max="5374" width="5.1640625" style="23" customWidth="1"/>
    <col min="5375" max="5375" width="12.5" style="23" customWidth="1"/>
    <col min="5376" max="5376" width="10.83203125" style="23" customWidth="1"/>
    <col min="5377" max="5377" width="48.6640625" style="23" customWidth="1"/>
    <col min="5378" max="5378" width="10" style="23" customWidth="1"/>
    <col min="5379" max="5379" width="21" style="23" customWidth="1"/>
    <col min="5380" max="5380" width="8.33203125" style="23" customWidth="1"/>
    <col min="5381" max="5381" width="15.1640625" style="23" customWidth="1"/>
    <col min="5382" max="5382" width="14.83203125" style="23" customWidth="1"/>
    <col min="5383" max="5383" width="9.33203125" style="23" customWidth="1"/>
    <col min="5384" max="5384" width="13.1640625" style="23" customWidth="1"/>
    <col min="5385" max="5386" width="14.83203125" style="23" customWidth="1"/>
    <col min="5387" max="5387" width="10.1640625" style="23" customWidth="1"/>
    <col min="5388" max="5388" width="14.83203125" style="23" customWidth="1"/>
    <col min="5389" max="5629" width="13.33203125" style="23"/>
    <col min="5630" max="5630" width="5.1640625" style="23" customWidth="1"/>
    <col min="5631" max="5631" width="12.5" style="23" customWidth="1"/>
    <col min="5632" max="5632" width="10.83203125" style="23" customWidth="1"/>
    <col min="5633" max="5633" width="48.6640625" style="23" customWidth="1"/>
    <col min="5634" max="5634" width="10" style="23" customWidth="1"/>
    <col min="5635" max="5635" width="21" style="23" customWidth="1"/>
    <col min="5636" max="5636" width="8.33203125" style="23" customWidth="1"/>
    <col min="5637" max="5637" width="15.1640625" style="23" customWidth="1"/>
    <col min="5638" max="5638" width="14.83203125" style="23" customWidth="1"/>
    <col min="5639" max="5639" width="9.33203125" style="23" customWidth="1"/>
    <col min="5640" max="5640" width="13.1640625" style="23" customWidth="1"/>
    <col min="5641" max="5642" width="14.83203125" style="23" customWidth="1"/>
    <col min="5643" max="5643" width="10.1640625" style="23" customWidth="1"/>
    <col min="5644" max="5644" width="14.83203125" style="23" customWidth="1"/>
    <col min="5645" max="5885" width="13.33203125" style="23"/>
    <col min="5886" max="5886" width="5.1640625" style="23" customWidth="1"/>
    <col min="5887" max="5887" width="12.5" style="23" customWidth="1"/>
    <col min="5888" max="5888" width="10.83203125" style="23" customWidth="1"/>
    <col min="5889" max="5889" width="48.6640625" style="23" customWidth="1"/>
    <col min="5890" max="5890" width="10" style="23" customWidth="1"/>
    <col min="5891" max="5891" width="21" style="23" customWidth="1"/>
    <col min="5892" max="5892" width="8.33203125" style="23" customWidth="1"/>
    <col min="5893" max="5893" width="15.1640625" style="23" customWidth="1"/>
    <col min="5894" max="5894" width="14.83203125" style="23" customWidth="1"/>
    <col min="5895" max="5895" width="9.33203125" style="23" customWidth="1"/>
    <col min="5896" max="5896" width="13.1640625" style="23" customWidth="1"/>
    <col min="5897" max="5898" width="14.83203125" style="23" customWidth="1"/>
    <col min="5899" max="5899" width="10.1640625" style="23" customWidth="1"/>
    <col min="5900" max="5900" width="14.83203125" style="23" customWidth="1"/>
    <col min="5901" max="6141" width="13.33203125" style="23"/>
    <col min="6142" max="6142" width="5.1640625" style="23" customWidth="1"/>
    <col min="6143" max="6143" width="12.5" style="23" customWidth="1"/>
    <col min="6144" max="6144" width="10.83203125" style="23" customWidth="1"/>
    <col min="6145" max="6145" width="48.6640625" style="23" customWidth="1"/>
    <col min="6146" max="6146" width="10" style="23" customWidth="1"/>
    <col min="6147" max="6147" width="21" style="23" customWidth="1"/>
    <col min="6148" max="6148" width="8.33203125" style="23" customWidth="1"/>
    <col min="6149" max="6149" width="15.1640625" style="23" customWidth="1"/>
    <col min="6150" max="6150" width="14.83203125" style="23" customWidth="1"/>
    <col min="6151" max="6151" width="9.33203125" style="23" customWidth="1"/>
    <col min="6152" max="6152" width="13.1640625" style="23" customWidth="1"/>
    <col min="6153" max="6154" width="14.83203125" style="23" customWidth="1"/>
    <col min="6155" max="6155" width="10.1640625" style="23" customWidth="1"/>
    <col min="6156" max="6156" width="14.83203125" style="23" customWidth="1"/>
    <col min="6157" max="6397" width="13.33203125" style="23"/>
    <col min="6398" max="6398" width="5.1640625" style="23" customWidth="1"/>
    <col min="6399" max="6399" width="12.5" style="23" customWidth="1"/>
    <col min="6400" max="6400" width="10.83203125" style="23" customWidth="1"/>
    <col min="6401" max="6401" width="48.6640625" style="23" customWidth="1"/>
    <col min="6402" max="6402" width="10" style="23" customWidth="1"/>
    <col min="6403" max="6403" width="21" style="23" customWidth="1"/>
    <col min="6404" max="6404" width="8.33203125" style="23" customWidth="1"/>
    <col min="6405" max="6405" width="15.1640625" style="23" customWidth="1"/>
    <col min="6406" max="6406" width="14.83203125" style="23" customWidth="1"/>
    <col min="6407" max="6407" width="9.33203125" style="23" customWidth="1"/>
    <col min="6408" max="6408" width="13.1640625" style="23" customWidth="1"/>
    <col min="6409" max="6410" width="14.83203125" style="23" customWidth="1"/>
    <col min="6411" max="6411" width="10.1640625" style="23" customWidth="1"/>
    <col min="6412" max="6412" width="14.83203125" style="23" customWidth="1"/>
    <col min="6413" max="6653" width="13.33203125" style="23"/>
    <col min="6654" max="6654" width="5.1640625" style="23" customWidth="1"/>
    <col min="6655" max="6655" width="12.5" style="23" customWidth="1"/>
    <col min="6656" max="6656" width="10.83203125" style="23" customWidth="1"/>
    <col min="6657" max="6657" width="48.6640625" style="23" customWidth="1"/>
    <col min="6658" max="6658" width="10" style="23" customWidth="1"/>
    <col min="6659" max="6659" width="21" style="23" customWidth="1"/>
    <col min="6660" max="6660" width="8.33203125" style="23" customWidth="1"/>
    <col min="6661" max="6661" width="15.1640625" style="23" customWidth="1"/>
    <col min="6662" max="6662" width="14.83203125" style="23" customWidth="1"/>
    <col min="6663" max="6663" width="9.33203125" style="23" customWidth="1"/>
    <col min="6664" max="6664" width="13.1640625" style="23" customWidth="1"/>
    <col min="6665" max="6666" width="14.83203125" style="23" customWidth="1"/>
    <col min="6667" max="6667" width="10.1640625" style="23" customWidth="1"/>
    <col min="6668" max="6668" width="14.83203125" style="23" customWidth="1"/>
    <col min="6669" max="6909" width="13.33203125" style="23"/>
    <col min="6910" max="6910" width="5.1640625" style="23" customWidth="1"/>
    <col min="6911" max="6911" width="12.5" style="23" customWidth="1"/>
    <col min="6912" max="6912" width="10.83203125" style="23" customWidth="1"/>
    <col min="6913" max="6913" width="48.6640625" style="23" customWidth="1"/>
    <col min="6914" max="6914" width="10" style="23" customWidth="1"/>
    <col min="6915" max="6915" width="21" style="23" customWidth="1"/>
    <col min="6916" max="6916" width="8.33203125" style="23" customWidth="1"/>
    <col min="6917" max="6917" width="15.1640625" style="23" customWidth="1"/>
    <col min="6918" max="6918" width="14.83203125" style="23" customWidth="1"/>
    <col min="6919" max="6919" width="9.33203125" style="23" customWidth="1"/>
    <col min="6920" max="6920" width="13.1640625" style="23" customWidth="1"/>
    <col min="6921" max="6922" width="14.83203125" style="23" customWidth="1"/>
    <col min="6923" max="6923" width="10.1640625" style="23" customWidth="1"/>
    <col min="6924" max="6924" width="14.83203125" style="23" customWidth="1"/>
    <col min="6925" max="7165" width="13.33203125" style="23"/>
    <col min="7166" max="7166" width="5.1640625" style="23" customWidth="1"/>
    <col min="7167" max="7167" width="12.5" style="23" customWidth="1"/>
    <col min="7168" max="7168" width="10.83203125" style="23" customWidth="1"/>
    <col min="7169" max="7169" width="48.6640625" style="23" customWidth="1"/>
    <col min="7170" max="7170" width="10" style="23" customWidth="1"/>
    <col min="7171" max="7171" width="21" style="23" customWidth="1"/>
    <col min="7172" max="7172" width="8.33203125" style="23" customWidth="1"/>
    <col min="7173" max="7173" width="15.1640625" style="23" customWidth="1"/>
    <col min="7174" max="7174" width="14.83203125" style="23" customWidth="1"/>
    <col min="7175" max="7175" width="9.33203125" style="23" customWidth="1"/>
    <col min="7176" max="7176" width="13.1640625" style="23" customWidth="1"/>
    <col min="7177" max="7178" width="14.83203125" style="23" customWidth="1"/>
    <col min="7179" max="7179" width="10.1640625" style="23" customWidth="1"/>
    <col min="7180" max="7180" width="14.83203125" style="23" customWidth="1"/>
    <col min="7181" max="7421" width="13.33203125" style="23"/>
    <col min="7422" max="7422" width="5.1640625" style="23" customWidth="1"/>
    <col min="7423" max="7423" width="12.5" style="23" customWidth="1"/>
    <col min="7424" max="7424" width="10.83203125" style="23" customWidth="1"/>
    <col min="7425" max="7425" width="48.6640625" style="23" customWidth="1"/>
    <col min="7426" max="7426" width="10" style="23" customWidth="1"/>
    <col min="7427" max="7427" width="21" style="23" customWidth="1"/>
    <col min="7428" max="7428" width="8.33203125" style="23" customWidth="1"/>
    <col min="7429" max="7429" width="15.1640625" style="23" customWidth="1"/>
    <col min="7430" max="7430" width="14.83203125" style="23" customWidth="1"/>
    <col min="7431" max="7431" width="9.33203125" style="23" customWidth="1"/>
    <col min="7432" max="7432" width="13.1640625" style="23" customWidth="1"/>
    <col min="7433" max="7434" width="14.83203125" style="23" customWidth="1"/>
    <col min="7435" max="7435" width="10.1640625" style="23" customWidth="1"/>
    <col min="7436" max="7436" width="14.83203125" style="23" customWidth="1"/>
    <col min="7437" max="7677" width="13.33203125" style="23"/>
    <col min="7678" max="7678" width="5.1640625" style="23" customWidth="1"/>
    <col min="7679" max="7679" width="12.5" style="23" customWidth="1"/>
    <col min="7680" max="7680" width="10.83203125" style="23" customWidth="1"/>
    <col min="7681" max="7681" width="48.6640625" style="23" customWidth="1"/>
    <col min="7682" max="7682" width="10" style="23" customWidth="1"/>
    <col min="7683" max="7683" width="21" style="23" customWidth="1"/>
    <col min="7684" max="7684" width="8.33203125" style="23" customWidth="1"/>
    <col min="7685" max="7685" width="15.1640625" style="23" customWidth="1"/>
    <col min="7686" max="7686" width="14.83203125" style="23" customWidth="1"/>
    <col min="7687" max="7687" width="9.33203125" style="23" customWidth="1"/>
    <col min="7688" max="7688" width="13.1640625" style="23" customWidth="1"/>
    <col min="7689" max="7690" width="14.83203125" style="23" customWidth="1"/>
    <col min="7691" max="7691" width="10.1640625" style="23" customWidth="1"/>
    <col min="7692" max="7692" width="14.83203125" style="23" customWidth="1"/>
    <col min="7693" max="7933" width="13.33203125" style="23"/>
    <col min="7934" max="7934" width="5.1640625" style="23" customWidth="1"/>
    <col min="7935" max="7935" width="12.5" style="23" customWidth="1"/>
    <col min="7936" max="7936" width="10.83203125" style="23" customWidth="1"/>
    <col min="7937" max="7937" width="48.6640625" style="23" customWidth="1"/>
    <col min="7938" max="7938" width="10" style="23" customWidth="1"/>
    <col min="7939" max="7939" width="21" style="23" customWidth="1"/>
    <col min="7940" max="7940" width="8.33203125" style="23" customWidth="1"/>
    <col min="7941" max="7941" width="15.1640625" style="23" customWidth="1"/>
    <col min="7942" max="7942" width="14.83203125" style="23" customWidth="1"/>
    <col min="7943" max="7943" width="9.33203125" style="23" customWidth="1"/>
    <col min="7944" max="7944" width="13.1640625" style="23" customWidth="1"/>
    <col min="7945" max="7946" width="14.83203125" style="23" customWidth="1"/>
    <col min="7947" max="7947" width="10.1640625" style="23" customWidth="1"/>
    <col min="7948" max="7948" width="14.83203125" style="23" customWidth="1"/>
    <col min="7949" max="8189" width="13.33203125" style="23"/>
    <col min="8190" max="8190" width="5.1640625" style="23" customWidth="1"/>
    <col min="8191" max="8191" width="12.5" style="23" customWidth="1"/>
    <col min="8192" max="8192" width="10.83203125" style="23" customWidth="1"/>
    <col min="8193" max="8193" width="48.6640625" style="23" customWidth="1"/>
    <col min="8194" max="8194" width="10" style="23" customWidth="1"/>
    <col min="8195" max="8195" width="21" style="23" customWidth="1"/>
    <col min="8196" max="8196" width="8.33203125" style="23" customWidth="1"/>
    <col min="8197" max="8197" width="15.1640625" style="23" customWidth="1"/>
    <col min="8198" max="8198" width="14.83203125" style="23" customWidth="1"/>
    <col min="8199" max="8199" width="9.33203125" style="23" customWidth="1"/>
    <col min="8200" max="8200" width="13.1640625" style="23" customWidth="1"/>
    <col min="8201" max="8202" width="14.83203125" style="23" customWidth="1"/>
    <col min="8203" max="8203" width="10.1640625" style="23" customWidth="1"/>
    <col min="8204" max="8204" width="14.83203125" style="23" customWidth="1"/>
    <col min="8205" max="8445" width="13.33203125" style="23"/>
    <col min="8446" max="8446" width="5.1640625" style="23" customWidth="1"/>
    <col min="8447" max="8447" width="12.5" style="23" customWidth="1"/>
    <col min="8448" max="8448" width="10.83203125" style="23" customWidth="1"/>
    <col min="8449" max="8449" width="48.6640625" style="23" customWidth="1"/>
    <col min="8450" max="8450" width="10" style="23" customWidth="1"/>
    <col min="8451" max="8451" width="21" style="23" customWidth="1"/>
    <col min="8452" max="8452" width="8.33203125" style="23" customWidth="1"/>
    <col min="8453" max="8453" width="15.1640625" style="23" customWidth="1"/>
    <col min="8454" max="8454" width="14.83203125" style="23" customWidth="1"/>
    <col min="8455" max="8455" width="9.33203125" style="23" customWidth="1"/>
    <col min="8456" max="8456" width="13.1640625" style="23" customWidth="1"/>
    <col min="8457" max="8458" width="14.83203125" style="23" customWidth="1"/>
    <col min="8459" max="8459" width="10.1640625" style="23" customWidth="1"/>
    <col min="8460" max="8460" width="14.83203125" style="23" customWidth="1"/>
    <col min="8461" max="8701" width="13.33203125" style="23"/>
    <col min="8702" max="8702" width="5.1640625" style="23" customWidth="1"/>
    <col min="8703" max="8703" width="12.5" style="23" customWidth="1"/>
    <col min="8704" max="8704" width="10.83203125" style="23" customWidth="1"/>
    <col min="8705" max="8705" width="48.6640625" style="23" customWidth="1"/>
    <col min="8706" max="8706" width="10" style="23" customWidth="1"/>
    <col min="8707" max="8707" width="21" style="23" customWidth="1"/>
    <col min="8708" max="8708" width="8.33203125" style="23" customWidth="1"/>
    <col min="8709" max="8709" width="15.1640625" style="23" customWidth="1"/>
    <col min="8710" max="8710" width="14.83203125" style="23" customWidth="1"/>
    <col min="8711" max="8711" width="9.33203125" style="23" customWidth="1"/>
    <col min="8712" max="8712" width="13.1640625" style="23" customWidth="1"/>
    <col min="8713" max="8714" width="14.83203125" style="23" customWidth="1"/>
    <col min="8715" max="8715" width="10.1640625" style="23" customWidth="1"/>
    <col min="8716" max="8716" width="14.83203125" style="23" customWidth="1"/>
    <col min="8717" max="8957" width="13.33203125" style="23"/>
    <col min="8958" max="8958" width="5.1640625" style="23" customWidth="1"/>
    <col min="8959" max="8959" width="12.5" style="23" customWidth="1"/>
    <col min="8960" max="8960" width="10.83203125" style="23" customWidth="1"/>
    <col min="8961" max="8961" width="48.6640625" style="23" customWidth="1"/>
    <col min="8962" max="8962" width="10" style="23" customWidth="1"/>
    <col min="8963" max="8963" width="21" style="23" customWidth="1"/>
    <col min="8964" max="8964" width="8.33203125" style="23" customWidth="1"/>
    <col min="8965" max="8965" width="15.1640625" style="23" customWidth="1"/>
    <col min="8966" max="8966" width="14.83203125" style="23" customWidth="1"/>
    <col min="8967" max="8967" width="9.33203125" style="23" customWidth="1"/>
    <col min="8968" max="8968" width="13.1640625" style="23" customWidth="1"/>
    <col min="8969" max="8970" width="14.83203125" style="23" customWidth="1"/>
    <col min="8971" max="8971" width="10.1640625" style="23" customWidth="1"/>
    <col min="8972" max="8972" width="14.83203125" style="23" customWidth="1"/>
    <col min="8973" max="9213" width="13.33203125" style="23"/>
    <col min="9214" max="9214" width="5.1640625" style="23" customWidth="1"/>
    <col min="9215" max="9215" width="12.5" style="23" customWidth="1"/>
    <col min="9216" max="9216" width="10.83203125" style="23" customWidth="1"/>
    <col min="9217" max="9217" width="48.6640625" style="23" customWidth="1"/>
    <col min="9218" max="9218" width="10" style="23" customWidth="1"/>
    <col min="9219" max="9219" width="21" style="23" customWidth="1"/>
    <col min="9220" max="9220" width="8.33203125" style="23" customWidth="1"/>
    <col min="9221" max="9221" width="15.1640625" style="23" customWidth="1"/>
    <col min="9222" max="9222" width="14.83203125" style="23" customWidth="1"/>
    <col min="9223" max="9223" width="9.33203125" style="23" customWidth="1"/>
    <col min="9224" max="9224" width="13.1640625" style="23" customWidth="1"/>
    <col min="9225" max="9226" width="14.83203125" style="23" customWidth="1"/>
    <col min="9227" max="9227" width="10.1640625" style="23" customWidth="1"/>
    <col min="9228" max="9228" width="14.83203125" style="23" customWidth="1"/>
    <col min="9229" max="9469" width="13.33203125" style="23"/>
    <col min="9470" max="9470" width="5.1640625" style="23" customWidth="1"/>
    <col min="9471" max="9471" width="12.5" style="23" customWidth="1"/>
    <col min="9472" max="9472" width="10.83203125" style="23" customWidth="1"/>
    <col min="9473" max="9473" width="48.6640625" style="23" customWidth="1"/>
    <col min="9474" max="9474" width="10" style="23" customWidth="1"/>
    <col min="9475" max="9475" width="21" style="23" customWidth="1"/>
    <col min="9476" max="9476" width="8.33203125" style="23" customWidth="1"/>
    <col min="9477" max="9477" width="15.1640625" style="23" customWidth="1"/>
    <col min="9478" max="9478" width="14.83203125" style="23" customWidth="1"/>
    <col min="9479" max="9479" width="9.33203125" style="23" customWidth="1"/>
    <col min="9480" max="9480" width="13.1640625" style="23" customWidth="1"/>
    <col min="9481" max="9482" width="14.83203125" style="23" customWidth="1"/>
    <col min="9483" max="9483" width="10.1640625" style="23" customWidth="1"/>
    <col min="9484" max="9484" width="14.83203125" style="23" customWidth="1"/>
    <col min="9485" max="9725" width="13.33203125" style="23"/>
    <col min="9726" max="9726" width="5.1640625" style="23" customWidth="1"/>
    <col min="9727" max="9727" width="12.5" style="23" customWidth="1"/>
    <col min="9728" max="9728" width="10.83203125" style="23" customWidth="1"/>
    <col min="9729" max="9729" width="48.6640625" style="23" customWidth="1"/>
    <col min="9730" max="9730" width="10" style="23" customWidth="1"/>
    <col min="9731" max="9731" width="21" style="23" customWidth="1"/>
    <col min="9732" max="9732" width="8.33203125" style="23" customWidth="1"/>
    <col min="9733" max="9733" width="15.1640625" style="23" customWidth="1"/>
    <col min="9734" max="9734" width="14.83203125" style="23" customWidth="1"/>
    <col min="9735" max="9735" width="9.33203125" style="23" customWidth="1"/>
    <col min="9736" max="9736" width="13.1640625" style="23" customWidth="1"/>
    <col min="9737" max="9738" width="14.83203125" style="23" customWidth="1"/>
    <col min="9739" max="9739" width="10.1640625" style="23" customWidth="1"/>
    <col min="9740" max="9740" width="14.83203125" style="23" customWidth="1"/>
    <col min="9741" max="9981" width="13.33203125" style="23"/>
    <col min="9982" max="9982" width="5.1640625" style="23" customWidth="1"/>
    <col min="9983" max="9983" width="12.5" style="23" customWidth="1"/>
    <col min="9984" max="9984" width="10.83203125" style="23" customWidth="1"/>
    <col min="9985" max="9985" width="48.6640625" style="23" customWidth="1"/>
    <col min="9986" max="9986" width="10" style="23" customWidth="1"/>
    <col min="9987" max="9987" width="21" style="23" customWidth="1"/>
    <col min="9988" max="9988" width="8.33203125" style="23" customWidth="1"/>
    <col min="9989" max="9989" width="15.1640625" style="23" customWidth="1"/>
    <col min="9990" max="9990" width="14.83203125" style="23" customWidth="1"/>
    <col min="9991" max="9991" width="9.33203125" style="23" customWidth="1"/>
    <col min="9992" max="9992" width="13.1640625" style="23" customWidth="1"/>
    <col min="9993" max="9994" width="14.83203125" style="23" customWidth="1"/>
    <col min="9995" max="9995" width="10.1640625" style="23" customWidth="1"/>
    <col min="9996" max="9996" width="14.83203125" style="23" customWidth="1"/>
    <col min="9997" max="10237" width="13.33203125" style="23"/>
    <col min="10238" max="10238" width="5.1640625" style="23" customWidth="1"/>
    <col min="10239" max="10239" width="12.5" style="23" customWidth="1"/>
    <col min="10240" max="10240" width="10.83203125" style="23" customWidth="1"/>
    <col min="10241" max="10241" width="48.6640625" style="23" customWidth="1"/>
    <col min="10242" max="10242" width="10" style="23" customWidth="1"/>
    <col min="10243" max="10243" width="21" style="23" customWidth="1"/>
    <col min="10244" max="10244" width="8.33203125" style="23" customWidth="1"/>
    <col min="10245" max="10245" width="15.1640625" style="23" customWidth="1"/>
    <col min="10246" max="10246" width="14.83203125" style="23" customWidth="1"/>
    <col min="10247" max="10247" width="9.33203125" style="23" customWidth="1"/>
    <col min="10248" max="10248" width="13.1640625" style="23" customWidth="1"/>
    <col min="10249" max="10250" width="14.83203125" style="23" customWidth="1"/>
    <col min="10251" max="10251" width="10.1640625" style="23" customWidth="1"/>
    <col min="10252" max="10252" width="14.83203125" style="23" customWidth="1"/>
    <col min="10253" max="10493" width="13.33203125" style="23"/>
    <col min="10494" max="10494" width="5.1640625" style="23" customWidth="1"/>
    <col min="10495" max="10495" width="12.5" style="23" customWidth="1"/>
    <col min="10496" max="10496" width="10.83203125" style="23" customWidth="1"/>
    <col min="10497" max="10497" width="48.6640625" style="23" customWidth="1"/>
    <col min="10498" max="10498" width="10" style="23" customWidth="1"/>
    <col min="10499" max="10499" width="21" style="23" customWidth="1"/>
    <col min="10500" max="10500" width="8.33203125" style="23" customWidth="1"/>
    <col min="10501" max="10501" width="15.1640625" style="23" customWidth="1"/>
    <col min="10502" max="10502" width="14.83203125" style="23" customWidth="1"/>
    <col min="10503" max="10503" width="9.33203125" style="23" customWidth="1"/>
    <col min="10504" max="10504" width="13.1640625" style="23" customWidth="1"/>
    <col min="10505" max="10506" width="14.83203125" style="23" customWidth="1"/>
    <col min="10507" max="10507" width="10.1640625" style="23" customWidth="1"/>
    <col min="10508" max="10508" width="14.83203125" style="23" customWidth="1"/>
    <col min="10509" max="10749" width="13.33203125" style="23"/>
    <col min="10750" max="10750" width="5.1640625" style="23" customWidth="1"/>
    <col min="10751" max="10751" width="12.5" style="23" customWidth="1"/>
    <col min="10752" max="10752" width="10.83203125" style="23" customWidth="1"/>
    <col min="10753" max="10753" width="48.6640625" style="23" customWidth="1"/>
    <col min="10754" max="10754" width="10" style="23" customWidth="1"/>
    <col min="10755" max="10755" width="21" style="23" customWidth="1"/>
    <col min="10756" max="10756" width="8.33203125" style="23" customWidth="1"/>
    <col min="10757" max="10757" width="15.1640625" style="23" customWidth="1"/>
    <col min="10758" max="10758" width="14.83203125" style="23" customWidth="1"/>
    <col min="10759" max="10759" width="9.33203125" style="23" customWidth="1"/>
    <col min="10760" max="10760" width="13.1640625" style="23" customWidth="1"/>
    <col min="10761" max="10762" width="14.83203125" style="23" customWidth="1"/>
    <col min="10763" max="10763" width="10.1640625" style="23" customWidth="1"/>
    <col min="10764" max="10764" width="14.83203125" style="23" customWidth="1"/>
    <col min="10765" max="11005" width="13.33203125" style="23"/>
    <col min="11006" max="11006" width="5.1640625" style="23" customWidth="1"/>
    <col min="11007" max="11007" width="12.5" style="23" customWidth="1"/>
    <col min="11008" max="11008" width="10.83203125" style="23" customWidth="1"/>
    <col min="11009" max="11009" width="48.6640625" style="23" customWidth="1"/>
    <col min="11010" max="11010" width="10" style="23" customWidth="1"/>
    <col min="11011" max="11011" width="21" style="23" customWidth="1"/>
    <col min="11012" max="11012" width="8.33203125" style="23" customWidth="1"/>
    <col min="11013" max="11013" width="15.1640625" style="23" customWidth="1"/>
    <col min="11014" max="11014" width="14.83203125" style="23" customWidth="1"/>
    <col min="11015" max="11015" width="9.33203125" style="23" customWidth="1"/>
    <col min="11016" max="11016" width="13.1640625" style="23" customWidth="1"/>
    <col min="11017" max="11018" width="14.83203125" style="23" customWidth="1"/>
    <col min="11019" max="11019" width="10.1640625" style="23" customWidth="1"/>
    <col min="11020" max="11020" width="14.83203125" style="23" customWidth="1"/>
    <col min="11021" max="11261" width="13.33203125" style="23"/>
    <col min="11262" max="11262" width="5.1640625" style="23" customWidth="1"/>
    <col min="11263" max="11263" width="12.5" style="23" customWidth="1"/>
    <col min="11264" max="11264" width="10.83203125" style="23" customWidth="1"/>
    <col min="11265" max="11265" width="48.6640625" style="23" customWidth="1"/>
    <col min="11266" max="11266" width="10" style="23" customWidth="1"/>
    <col min="11267" max="11267" width="21" style="23" customWidth="1"/>
    <col min="11268" max="11268" width="8.33203125" style="23" customWidth="1"/>
    <col min="11269" max="11269" width="15.1640625" style="23" customWidth="1"/>
    <col min="11270" max="11270" width="14.83203125" style="23" customWidth="1"/>
    <col min="11271" max="11271" width="9.33203125" style="23" customWidth="1"/>
    <col min="11272" max="11272" width="13.1640625" style="23" customWidth="1"/>
    <col min="11273" max="11274" width="14.83203125" style="23" customWidth="1"/>
    <col min="11275" max="11275" width="10.1640625" style="23" customWidth="1"/>
    <col min="11276" max="11276" width="14.83203125" style="23" customWidth="1"/>
    <col min="11277" max="11517" width="13.33203125" style="23"/>
    <col min="11518" max="11518" width="5.1640625" style="23" customWidth="1"/>
    <col min="11519" max="11519" width="12.5" style="23" customWidth="1"/>
    <col min="11520" max="11520" width="10.83203125" style="23" customWidth="1"/>
    <col min="11521" max="11521" width="48.6640625" style="23" customWidth="1"/>
    <col min="11522" max="11522" width="10" style="23" customWidth="1"/>
    <col min="11523" max="11523" width="21" style="23" customWidth="1"/>
    <col min="11524" max="11524" width="8.33203125" style="23" customWidth="1"/>
    <col min="11525" max="11525" width="15.1640625" style="23" customWidth="1"/>
    <col min="11526" max="11526" width="14.83203125" style="23" customWidth="1"/>
    <col min="11527" max="11527" width="9.33203125" style="23" customWidth="1"/>
    <col min="11528" max="11528" width="13.1640625" style="23" customWidth="1"/>
    <col min="11529" max="11530" width="14.83203125" style="23" customWidth="1"/>
    <col min="11531" max="11531" width="10.1640625" style="23" customWidth="1"/>
    <col min="11532" max="11532" width="14.83203125" style="23" customWidth="1"/>
    <col min="11533" max="11773" width="13.33203125" style="23"/>
    <col min="11774" max="11774" width="5.1640625" style="23" customWidth="1"/>
    <col min="11775" max="11775" width="12.5" style="23" customWidth="1"/>
    <col min="11776" max="11776" width="10.83203125" style="23" customWidth="1"/>
    <col min="11777" max="11777" width="48.6640625" style="23" customWidth="1"/>
    <col min="11778" max="11778" width="10" style="23" customWidth="1"/>
    <col min="11779" max="11779" width="21" style="23" customWidth="1"/>
    <col min="11780" max="11780" width="8.33203125" style="23" customWidth="1"/>
    <col min="11781" max="11781" width="15.1640625" style="23" customWidth="1"/>
    <col min="11782" max="11782" width="14.83203125" style="23" customWidth="1"/>
    <col min="11783" max="11783" width="9.33203125" style="23" customWidth="1"/>
    <col min="11784" max="11784" width="13.1640625" style="23" customWidth="1"/>
    <col min="11785" max="11786" width="14.83203125" style="23" customWidth="1"/>
    <col min="11787" max="11787" width="10.1640625" style="23" customWidth="1"/>
    <col min="11788" max="11788" width="14.83203125" style="23" customWidth="1"/>
    <col min="11789" max="12029" width="13.33203125" style="23"/>
    <col min="12030" max="12030" width="5.1640625" style="23" customWidth="1"/>
    <col min="12031" max="12031" width="12.5" style="23" customWidth="1"/>
    <col min="12032" max="12032" width="10.83203125" style="23" customWidth="1"/>
    <col min="12033" max="12033" width="48.6640625" style="23" customWidth="1"/>
    <col min="12034" max="12034" width="10" style="23" customWidth="1"/>
    <col min="12035" max="12035" width="21" style="23" customWidth="1"/>
    <col min="12036" max="12036" width="8.33203125" style="23" customWidth="1"/>
    <col min="12037" max="12037" width="15.1640625" style="23" customWidth="1"/>
    <col min="12038" max="12038" width="14.83203125" style="23" customWidth="1"/>
    <col min="12039" max="12039" width="9.33203125" style="23" customWidth="1"/>
    <col min="12040" max="12040" width="13.1640625" style="23" customWidth="1"/>
    <col min="12041" max="12042" width="14.83203125" style="23" customWidth="1"/>
    <col min="12043" max="12043" width="10.1640625" style="23" customWidth="1"/>
    <col min="12044" max="12044" width="14.83203125" style="23" customWidth="1"/>
    <col min="12045" max="12285" width="13.33203125" style="23"/>
    <col min="12286" max="12286" width="5.1640625" style="23" customWidth="1"/>
    <col min="12287" max="12287" width="12.5" style="23" customWidth="1"/>
    <col min="12288" max="12288" width="10.83203125" style="23" customWidth="1"/>
    <col min="12289" max="12289" width="48.6640625" style="23" customWidth="1"/>
    <col min="12290" max="12290" width="10" style="23" customWidth="1"/>
    <col min="12291" max="12291" width="21" style="23" customWidth="1"/>
    <col min="12292" max="12292" width="8.33203125" style="23" customWidth="1"/>
    <col min="12293" max="12293" width="15.1640625" style="23" customWidth="1"/>
    <col min="12294" max="12294" width="14.83203125" style="23" customWidth="1"/>
    <col min="12295" max="12295" width="9.33203125" style="23" customWidth="1"/>
    <col min="12296" max="12296" width="13.1640625" style="23" customWidth="1"/>
    <col min="12297" max="12298" width="14.83203125" style="23" customWidth="1"/>
    <col min="12299" max="12299" width="10.1640625" style="23" customWidth="1"/>
    <col min="12300" max="12300" width="14.83203125" style="23" customWidth="1"/>
    <col min="12301" max="12541" width="13.33203125" style="23"/>
    <col min="12542" max="12542" width="5.1640625" style="23" customWidth="1"/>
    <col min="12543" max="12543" width="12.5" style="23" customWidth="1"/>
    <col min="12544" max="12544" width="10.83203125" style="23" customWidth="1"/>
    <col min="12545" max="12545" width="48.6640625" style="23" customWidth="1"/>
    <col min="12546" max="12546" width="10" style="23" customWidth="1"/>
    <col min="12547" max="12547" width="21" style="23" customWidth="1"/>
    <col min="12548" max="12548" width="8.33203125" style="23" customWidth="1"/>
    <col min="12549" max="12549" width="15.1640625" style="23" customWidth="1"/>
    <col min="12550" max="12550" width="14.83203125" style="23" customWidth="1"/>
    <col min="12551" max="12551" width="9.33203125" style="23" customWidth="1"/>
    <col min="12552" max="12552" width="13.1640625" style="23" customWidth="1"/>
    <col min="12553" max="12554" width="14.83203125" style="23" customWidth="1"/>
    <col min="12555" max="12555" width="10.1640625" style="23" customWidth="1"/>
    <col min="12556" max="12556" width="14.83203125" style="23" customWidth="1"/>
    <col min="12557" max="12797" width="13.33203125" style="23"/>
    <col min="12798" max="12798" width="5.1640625" style="23" customWidth="1"/>
    <col min="12799" max="12799" width="12.5" style="23" customWidth="1"/>
    <col min="12800" max="12800" width="10.83203125" style="23" customWidth="1"/>
    <col min="12801" max="12801" width="48.6640625" style="23" customWidth="1"/>
    <col min="12802" max="12802" width="10" style="23" customWidth="1"/>
    <col min="12803" max="12803" width="21" style="23" customWidth="1"/>
    <col min="12804" max="12804" width="8.33203125" style="23" customWidth="1"/>
    <col min="12805" max="12805" width="15.1640625" style="23" customWidth="1"/>
    <col min="12806" max="12806" width="14.83203125" style="23" customWidth="1"/>
    <col min="12807" max="12807" width="9.33203125" style="23" customWidth="1"/>
    <col min="12808" max="12808" width="13.1640625" style="23" customWidth="1"/>
    <col min="12809" max="12810" width="14.83203125" style="23" customWidth="1"/>
    <col min="12811" max="12811" width="10.1640625" style="23" customWidth="1"/>
    <col min="12812" max="12812" width="14.83203125" style="23" customWidth="1"/>
    <col min="12813" max="13053" width="13.33203125" style="23"/>
    <col min="13054" max="13054" width="5.1640625" style="23" customWidth="1"/>
    <col min="13055" max="13055" width="12.5" style="23" customWidth="1"/>
    <col min="13056" max="13056" width="10.83203125" style="23" customWidth="1"/>
    <col min="13057" max="13057" width="48.6640625" style="23" customWidth="1"/>
    <col min="13058" max="13058" width="10" style="23" customWidth="1"/>
    <col min="13059" max="13059" width="21" style="23" customWidth="1"/>
    <col min="13060" max="13060" width="8.33203125" style="23" customWidth="1"/>
    <col min="13061" max="13061" width="15.1640625" style="23" customWidth="1"/>
    <col min="13062" max="13062" width="14.83203125" style="23" customWidth="1"/>
    <col min="13063" max="13063" width="9.33203125" style="23" customWidth="1"/>
    <col min="13064" max="13064" width="13.1640625" style="23" customWidth="1"/>
    <col min="13065" max="13066" width="14.83203125" style="23" customWidth="1"/>
    <col min="13067" max="13067" width="10.1640625" style="23" customWidth="1"/>
    <col min="13068" max="13068" width="14.83203125" style="23" customWidth="1"/>
    <col min="13069" max="13309" width="13.33203125" style="23"/>
    <col min="13310" max="13310" width="5.1640625" style="23" customWidth="1"/>
    <col min="13311" max="13311" width="12.5" style="23" customWidth="1"/>
    <col min="13312" max="13312" width="10.83203125" style="23" customWidth="1"/>
    <col min="13313" max="13313" width="48.6640625" style="23" customWidth="1"/>
    <col min="13314" max="13314" width="10" style="23" customWidth="1"/>
    <col min="13315" max="13315" width="21" style="23" customWidth="1"/>
    <col min="13316" max="13316" width="8.33203125" style="23" customWidth="1"/>
    <col min="13317" max="13317" width="15.1640625" style="23" customWidth="1"/>
    <col min="13318" max="13318" width="14.83203125" style="23" customWidth="1"/>
    <col min="13319" max="13319" width="9.33203125" style="23" customWidth="1"/>
    <col min="13320" max="13320" width="13.1640625" style="23" customWidth="1"/>
    <col min="13321" max="13322" width="14.83203125" style="23" customWidth="1"/>
    <col min="13323" max="13323" width="10.1640625" style="23" customWidth="1"/>
    <col min="13324" max="13324" width="14.83203125" style="23" customWidth="1"/>
    <col min="13325" max="13565" width="13.33203125" style="23"/>
    <col min="13566" max="13566" width="5.1640625" style="23" customWidth="1"/>
    <col min="13567" max="13567" width="12.5" style="23" customWidth="1"/>
    <col min="13568" max="13568" width="10.83203125" style="23" customWidth="1"/>
    <col min="13569" max="13569" width="48.6640625" style="23" customWidth="1"/>
    <col min="13570" max="13570" width="10" style="23" customWidth="1"/>
    <col min="13571" max="13571" width="21" style="23" customWidth="1"/>
    <col min="13572" max="13572" width="8.33203125" style="23" customWidth="1"/>
    <col min="13573" max="13573" width="15.1640625" style="23" customWidth="1"/>
    <col min="13574" max="13574" width="14.83203125" style="23" customWidth="1"/>
    <col min="13575" max="13575" width="9.33203125" style="23" customWidth="1"/>
    <col min="13576" max="13576" width="13.1640625" style="23" customWidth="1"/>
    <col min="13577" max="13578" width="14.83203125" style="23" customWidth="1"/>
    <col min="13579" max="13579" width="10.1640625" style="23" customWidth="1"/>
    <col min="13580" max="13580" width="14.83203125" style="23" customWidth="1"/>
    <col min="13581" max="13821" width="13.33203125" style="23"/>
    <col min="13822" max="13822" width="5.1640625" style="23" customWidth="1"/>
    <col min="13823" max="13823" width="12.5" style="23" customWidth="1"/>
    <col min="13824" max="13824" width="10.83203125" style="23" customWidth="1"/>
    <col min="13825" max="13825" width="48.6640625" style="23" customWidth="1"/>
    <col min="13826" max="13826" width="10" style="23" customWidth="1"/>
    <col min="13827" max="13827" width="21" style="23" customWidth="1"/>
    <col min="13828" max="13828" width="8.33203125" style="23" customWidth="1"/>
    <col min="13829" max="13829" width="15.1640625" style="23" customWidth="1"/>
    <col min="13830" max="13830" width="14.83203125" style="23" customWidth="1"/>
    <col min="13831" max="13831" width="9.33203125" style="23" customWidth="1"/>
    <col min="13832" max="13832" width="13.1640625" style="23" customWidth="1"/>
    <col min="13833" max="13834" width="14.83203125" style="23" customWidth="1"/>
    <col min="13835" max="13835" width="10.1640625" style="23" customWidth="1"/>
    <col min="13836" max="13836" width="14.83203125" style="23" customWidth="1"/>
    <col min="13837" max="14077" width="13.33203125" style="23"/>
    <col min="14078" max="14078" width="5.1640625" style="23" customWidth="1"/>
    <col min="14079" max="14079" width="12.5" style="23" customWidth="1"/>
    <col min="14080" max="14080" width="10.83203125" style="23" customWidth="1"/>
    <col min="14081" max="14081" width="48.6640625" style="23" customWidth="1"/>
    <col min="14082" max="14082" width="10" style="23" customWidth="1"/>
    <col min="14083" max="14083" width="21" style="23" customWidth="1"/>
    <col min="14084" max="14084" width="8.33203125" style="23" customWidth="1"/>
    <col min="14085" max="14085" width="15.1640625" style="23" customWidth="1"/>
    <col min="14086" max="14086" width="14.83203125" style="23" customWidth="1"/>
    <col min="14087" max="14087" width="9.33203125" style="23" customWidth="1"/>
    <col min="14088" max="14088" width="13.1640625" style="23" customWidth="1"/>
    <col min="14089" max="14090" width="14.83203125" style="23" customWidth="1"/>
    <col min="14091" max="14091" width="10.1640625" style="23" customWidth="1"/>
    <col min="14092" max="14092" width="14.83203125" style="23" customWidth="1"/>
    <col min="14093" max="14333" width="13.33203125" style="23"/>
    <col min="14334" max="14334" width="5.1640625" style="23" customWidth="1"/>
    <col min="14335" max="14335" width="12.5" style="23" customWidth="1"/>
    <col min="14336" max="14336" width="10.83203125" style="23" customWidth="1"/>
    <col min="14337" max="14337" width="48.6640625" style="23" customWidth="1"/>
    <col min="14338" max="14338" width="10" style="23" customWidth="1"/>
    <col min="14339" max="14339" width="21" style="23" customWidth="1"/>
    <col min="14340" max="14340" width="8.33203125" style="23" customWidth="1"/>
    <col min="14341" max="14341" width="15.1640625" style="23" customWidth="1"/>
    <col min="14342" max="14342" width="14.83203125" style="23" customWidth="1"/>
    <col min="14343" max="14343" width="9.33203125" style="23" customWidth="1"/>
    <col min="14344" max="14344" width="13.1640625" style="23" customWidth="1"/>
    <col min="14345" max="14346" width="14.83203125" style="23" customWidth="1"/>
    <col min="14347" max="14347" width="10.1640625" style="23" customWidth="1"/>
    <col min="14348" max="14348" width="14.83203125" style="23" customWidth="1"/>
    <col min="14349" max="14589" width="13.33203125" style="23"/>
    <col min="14590" max="14590" width="5.1640625" style="23" customWidth="1"/>
    <col min="14591" max="14591" width="12.5" style="23" customWidth="1"/>
    <col min="14592" max="14592" width="10.83203125" style="23" customWidth="1"/>
    <col min="14593" max="14593" width="48.6640625" style="23" customWidth="1"/>
    <col min="14594" max="14594" width="10" style="23" customWidth="1"/>
    <col min="14595" max="14595" width="21" style="23" customWidth="1"/>
    <col min="14596" max="14596" width="8.33203125" style="23" customWidth="1"/>
    <col min="14597" max="14597" width="15.1640625" style="23" customWidth="1"/>
    <col min="14598" max="14598" width="14.83203125" style="23" customWidth="1"/>
    <col min="14599" max="14599" width="9.33203125" style="23" customWidth="1"/>
    <col min="14600" max="14600" width="13.1640625" style="23" customWidth="1"/>
    <col min="14601" max="14602" width="14.83203125" style="23" customWidth="1"/>
    <col min="14603" max="14603" width="10.1640625" style="23" customWidth="1"/>
    <col min="14604" max="14604" width="14.83203125" style="23" customWidth="1"/>
    <col min="14605" max="14845" width="13.33203125" style="23"/>
    <col min="14846" max="14846" width="5.1640625" style="23" customWidth="1"/>
    <col min="14847" max="14847" width="12.5" style="23" customWidth="1"/>
    <col min="14848" max="14848" width="10.83203125" style="23" customWidth="1"/>
    <col min="14849" max="14849" width="48.6640625" style="23" customWidth="1"/>
    <col min="14850" max="14850" width="10" style="23" customWidth="1"/>
    <col min="14851" max="14851" width="21" style="23" customWidth="1"/>
    <col min="14852" max="14852" width="8.33203125" style="23" customWidth="1"/>
    <col min="14853" max="14853" width="15.1640625" style="23" customWidth="1"/>
    <col min="14854" max="14854" width="14.83203125" style="23" customWidth="1"/>
    <col min="14855" max="14855" width="9.33203125" style="23" customWidth="1"/>
    <col min="14856" max="14856" width="13.1640625" style="23" customWidth="1"/>
    <col min="14857" max="14858" width="14.83203125" style="23" customWidth="1"/>
    <col min="14859" max="14859" width="10.1640625" style="23" customWidth="1"/>
    <col min="14860" max="14860" width="14.83203125" style="23" customWidth="1"/>
    <col min="14861" max="15101" width="13.33203125" style="23"/>
    <col min="15102" max="15102" width="5.1640625" style="23" customWidth="1"/>
    <col min="15103" max="15103" width="12.5" style="23" customWidth="1"/>
    <col min="15104" max="15104" width="10.83203125" style="23" customWidth="1"/>
    <col min="15105" max="15105" width="48.6640625" style="23" customWidth="1"/>
    <col min="15106" max="15106" width="10" style="23" customWidth="1"/>
    <col min="15107" max="15107" width="21" style="23" customWidth="1"/>
    <col min="15108" max="15108" width="8.33203125" style="23" customWidth="1"/>
    <col min="15109" max="15109" width="15.1640625" style="23" customWidth="1"/>
    <col min="15110" max="15110" width="14.83203125" style="23" customWidth="1"/>
    <col min="15111" max="15111" width="9.33203125" style="23" customWidth="1"/>
    <col min="15112" max="15112" width="13.1640625" style="23" customWidth="1"/>
    <col min="15113" max="15114" width="14.83203125" style="23" customWidth="1"/>
    <col min="15115" max="15115" width="10.1640625" style="23" customWidth="1"/>
    <col min="15116" max="15116" width="14.83203125" style="23" customWidth="1"/>
    <col min="15117" max="15357" width="13.33203125" style="23"/>
    <col min="15358" max="15358" width="5.1640625" style="23" customWidth="1"/>
    <col min="15359" max="15359" width="12.5" style="23" customWidth="1"/>
    <col min="15360" max="15360" width="10.83203125" style="23" customWidth="1"/>
    <col min="15361" max="15361" width="48.6640625" style="23" customWidth="1"/>
    <col min="15362" max="15362" width="10" style="23" customWidth="1"/>
    <col min="15363" max="15363" width="21" style="23" customWidth="1"/>
    <col min="15364" max="15364" width="8.33203125" style="23" customWidth="1"/>
    <col min="15365" max="15365" width="15.1640625" style="23" customWidth="1"/>
    <col min="15366" max="15366" width="14.83203125" style="23" customWidth="1"/>
    <col min="15367" max="15367" width="9.33203125" style="23" customWidth="1"/>
    <col min="15368" max="15368" width="13.1640625" style="23" customWidth="1"/>
    <col min="15369" max="15370" width="14.83203125" style="23" customWidth="1"/>
    <col min="15371" max="15371" width="10.1640625" style="23" customWidth="1"/>
    <col min="15372" max="15372" width="14.83203125" style="23" customWidth="1"/>
    <col min="15373" max="15613" width="13.33203125" style="23"/>
    <col min="15614" max="15614" width="5.1640625" style="23" customWidth="1"/>
    <col min="15615" max="15615" width="12.5" style="23" customWidth="1"/>
    <col min="15616" max="15616" width="10.83203125" style="23" customWidth="1"/>
    <col min="15617" max="15617" width="48.6640625" style="23" customWidth="1"/>
    <col min="15618" max="15618" width="10" style="23" customWidth="1"/>
    <col min="15619" max="15619" width="21" style="23" customWidth="1"/>
    <col min="15620" max="15620" width="8.33203125" style="23" customWidth="1"/>
    <col min="15621" max="15621" width="15.1640625" style="23" customWidth="1"/>
    <col min="15622" max="15622" width="14.83203125" style="23" customWidth="1"/>
    <col min="15623" max="15623" width="9.33203125" style="23" customWidth="1"/>
    <col min="15624" max="15624" width="13.1640625" style="23" customWidth="1"/>
    <col min="15625" max="15626" width="14.83203125" style="23" customWidth="1"/>
    <col min="15627" max="15627" width="10.1640625" style="23" customWidth="1"/>
    <col min="15628" max="15628" width="14.83203125" style="23" customWidth="1"/>
    <col min="15629" max="15869" width="13.33203125" style="23"/>
    <col min="15870" max="15870" width="5.1640625" style="23" customWidth="1"/>
    <col min="15871" max="15871" width="12.5" style="23" customWidth="1"/>
    <col min="15872" max="15872" width="10.83203125" style="23" customWidth="1"/>
    <col min="15873" max="15873" width="48.6640625" style="23" customWidth="1"/>
    <col min="15874" max="15874" width="10" style="23" customWidth="1"/>
    <col min="15875" max="15875" width="21" style="23" customWidth="1"/>
    <col min="15876" max="15876" width="8.33203125" style="23" customWidth="1"/>
    <col min="15877" max="15877" width="15.1640625" style="23" customWidth="1"/>
    <col min="15878" max="15878" width="14.83203125" style="23" customWidth="1"/>
    <col min="15879" max="15879" width="9.33203125" style="23" customWidth="1"/>
    <col min="15880" max="15880" width="13.1640625" style="23" customWidth="1"/>
    <col min="15881" max="15882" width="14.83203125" style="23" customWidth="1"/>
    <col min="15883" max="15883" width="10.1640625" style="23" customWidth="1"/>
    <col min="15884" max="15884" width="14.83203125" style="23" customWidth="1"/>
    <col min="15885" max="16125" width="13.33203125" style="23"/>
    <col min="16126" max="16126" width="5.1640625" style="23" customWidth="1"/>
    <col min="16127" max="16127" width="12.5" style="23" customWidth="1"/>
    <col min="16128" max="16128" width="10.83203125" style="23" customWidth="1"/>
    <col min="16129" max="16129" width="48.6640625" style="23" customWidth="1"/>
    <col min="16130" max="16130" width="10" style="23" customWidth="1"/>
    <col min="16131" max="16131" width="21" style="23" customWidth="1"/>
    <col min="16132" max="16132" width="8.33203125" style="23" customWidth="1"/>
    <col min="16133" max="16133" width="15.1640625" style="23" customWidth="1"/>
    <col min="16134" max="16134" width="14.83203125" style="23" customWidth="1"/>
    <col min="16135" max="16135" width="9.33203125" style="23" customWidth="1"/>
    <col min="16136" max="16136" width="13.1640625" style="23" customWidth="1"/>
    <col min="16137" max="16138" width="14.83203125" style="23" customWidth="1"/>
    <col min="16139" max="16139" width="10.1640625" style="23" customWidth="1"/>
    <col min="16140" max="16140" width="14.83203125" style="23" customWidth="1"/>
    <col min="16141" max="16384" width="12" style="23"/>
  </cols>
  <sheetData>
    <row r="1" spans="1:16" s="64" customFormat="1" ht="15" customHeight="1">
      <c r="A1" s="102" t="s">
        <v>1</v>
      </c>
      <c r="B1" s="102" t="s">
        <v>719</v>
      </c>
      <c r="C1" s="102"/>
      <c r="D1" s="102" t="s">
        <v>66</v>
      </c>
      <c r="E1" s="102" t="s">
        <v>89</v>
      </c>
      <c r="F1" s="102" t="s">
        <v>90</v>
      </c>
      <c r="G1" s="103" t="s">
        <v>1513</v>
      </c>
      <c r="H1" s="102"/>
      <c r="I1" s="103" t="s">
        <v>1990</v>
      </c>
      <c r="J1" s="102"/>
      <c r="K1" s="348" t="s">
        <v>2697</v>
      </c>
      <c r="L1" s="102"/>
      <c r="M1" s="348" t="s">
        <v>2698</v>
      </c>
      <c r="N1" s="102"/>
      <c r="O1" s="102" t="s">
        <v>1525</v>
      </c>
      <c r="P1" s="102"/>
    </row>
    <row r="2" spans="1:16" s="64" customFormat="1" ht="15" customHeight="1">
      <c r="A2" s="102"/>
      <c r="B2" s="102"/>
      <c r="C2" s="102"/>
      <c r="D2" s="424"/>
      <c r="E2" s="102"/>
      <c r="F2" s="102"/>
      <c r="G2" s="425">
        <f>VLOOKUP("LEBENT",Allgemeine_Angaben,5,0)</f>
        <v>30</v>
      </c>
      <c r="H2" s="423"/>
      <c r="I2" s="425">
        <f>VLOOKUP("LEBENT",Allgemeine_Angaben,5,0)</f>
        <v>30</v>
      </c>
      <c r="J2" s="102"/>
      <c r="K2" s="425">
        <f>VLOOKUP("LEBENT",Allgemeine_Angaben,5,0)</f>
        <v>30</v>
      </c>
      <c r="L2" s="425"/>
      <c r="M2" s="425">
        <f>VLOOKUP("LEBENT",Allgemeine_Angaben,5,0)</f>
        <v>30</v>
      </c>
      <c r="N2" s="102"/>
      <c r="O2" s="425">
        <f>VLOOKUP("LEBENT",Allgemeine_Angaben,5,0)</f>
        <v>30</v>
      </c>
      <c r="P2" s="102"/>
    </row>
    <row r="3" spans="1:16" ht="15" customHeight="1">
      <c r="A3" s="194"/>
      <c r="B3" s="194" t="s">
        <v>724</v>
      </c>
      <c r="C3" s="194" t="s">
        <v>352</v>
      </c>
      <c r="D3" s="194" t="s">
        <v>351</v>
      </c>
      <c r="E3" s="194"/>
      <c r="F3" s="194" t="s">
        <v>117</v>
      </c>
      <c r="G3" s="115">
        <f t="shared" ref="G3:G16" si="0">VLOOKUP(C3,Errichtungskosten,12,0)</f>
        <v>0</v>
      </c>
      <c r="H3" s="194" t="s">
        <v>103</v>
      </c>
      <c r="I3" s="115">
        <f>VLOOKUP($C3,Ergebnisse_Errichtung,7,0)</f>
        <v>0</v>
      </c>
      <c r="J3" s="194" t="s">
        <v>1311</v>
      </c>
      <c r="K3" s="115">
        <f>VLOOKUP($C3,Ergebnisse_Errichtung,9,0)</f>
        <v>0</v>
      </c>
      <c r="L3" s="194" t="s">
        <v>1311</v>
      </c>
      <c r="M3" s="115">
        <f>VLOOKUP($C3,Ergebnisse_Errichtung,11,0)</f>
        <v>0</v>
      </c>
      <c r="N3" s="194" t="s">
        <v>1311</v>
      </c>
      <c r="O3" s="115">
        <f t="shared" ref="O3:O16" si="1">VLOOKUP($C3,Ergebnisse_Errichtung,13,0)</f>
        <v>0</v>
      </c>
      <c r="P3" s="111" t="s">
        <v>1313</v>
      </c>
    </row>
    <row r="4" spans="1:16" ht="15" customHeight="1">
      <c r="A4" s="194"/>
      <c r="B4" s="194" t="s">
        <v>724</v>
      </c>
      <c r="C4" s="194" t="s">
        <v>345</v>
      </c>
      <c r="D4" s="194" t="s">
        <v>344</v>
      </c>
      <c r="E4" s="194"/>
      <c r="F4" s="194" t="s">
        <v>117</v>
      </c>
      <c r="G4" s="115">
        <f t="shared" si="0"/>
        <v>0</v>
      </c>
      <c r="H4" s="194" t="s">
        <v>103</v>
      </c>
      <c r="I4" s="115">
        <f>VLOOKUP($C4,Ergebnisse_Errichtung,7,0)</f>
        <v>0</v>
      </c>
      <c r="J4" s="194" t="s">
        <v>1311</v>
      </c>
      <c r="K4" s="115">
        <f>VLOOKUP($C4,Ergebnisse_Errichtung,9,0)</f>
        <v>0</v>
      </c>
      <c r="L4" s="194" t="s">
        <v>1311</v>
      </c>
      <c r="M4" s="115">
        <f>VLOOKUP($C4,Ergebnisse_Errichtung,11,0)</f>
        <v>0</v>
      </c>
      <c r="N4" s="194" t="s">
        <v>1311</v>
      </c>
      <c r="O4" s="115">
        <f t="shared" si="1"/>
        <v>0</v>
      </c>
      <c r="P4" s="111" t="s">
        <v>1313</v>
      </c>
    </row>
    <row r="5" spans="1:16" ht="15" customHeight="1">
      <c r="A5" s="194"/>
      <c r="B5" s="194" t="s">
        <v>724</v>
      </c>
      <c r="C5" s="194" t="s">
        <v>334</v>
      </c>
      <c r="D5" s="194" t="s">
        <v>333</v>
      </c>
      <c r="E5" s="194"/>
      <c r="F5" s="194" t="s">
        <v>117</v>
      </c>
      <c r="G5" s="115">
        <f t="shared" si="0"/>
        <v>0</v>
      </c>
      <c r="H5" s="194" t="s">
        <v>103</v>
      </c>
      <c r="I5" s="115">
        <f>VLOOKUP($C5,Ergebnisse_Errichtung,7,0)</f>
        <v>0</v>
      </c>
      <c r="J5" s="194" t="s">
        <v>1311</v>
      </c>
      <c r="K5" s="115">
        <f>VLOOKUP($C5,Ergebnisse_Errichtung,9,0)</f>
        <v>0</v>
      </c>
      <c r="L5" s="194" t="s">
        <v>1311</v>
      </c>
      <c r="M5" s="115">
        <f>VLOOKUP($C5,Ergebnisse_Errichtung,11,0)</f>
        <v>0</v>
      </c>
      <c r="N5" s="194" t="s">
        <v>1311</v>
      </c>
      <c r="O5" s="115">
        <f t="shared" si="1"/>
        <v>0</v>
      </c>
      <c r="P5" s="111" t="s">
        <v>1313</v>
      </c>
    </row>
    <row r="6" spans="1:16" ht="15" customHeight="1">
      <c r="A6" s="194"/>
      <c r="B6" s="194" t="s">
        <v>724</v>
      </c>
      <c r="C6" s="194" t="s">
        <v>291</v>
      </c>
      <c r="D6" s="194" t="s">
        <v>290</v>
      </c>
      <c r="E6" s="194"/>
      <c r="F6" s="194" t="s">
        <v>117</v>
      </c>
      <c r="G6" s="115">
        <f t="shared" si="0"/>
        <v>0</v>
      </c>
      <c r="H6" s="194" t="s">
        <v>103</v>
      </c>
      <c r="I6" s="115">
        <f>VLOOKUP($C6,Ergebnisse_Errichtung,7,0)</f>
        <v>0</v>
      </c>
      <c r="J6" s="194" t="s">
        <v>1311</v>
      </c>
      <c r="K6" s="115">
        <f>VLOOKUP($C6,Ergebnisse_Errichtung,9,0)</f>
        <v>0</v>
      </c>
      <c r="L6" s="194" t="s">
        <v>1311</v>
      </c>
      <c r="M6" s="115">
        <f>VLOOKUP($C6,Ergebnisse_Errichtung,11,0)</f>
        <v>0</v>
      </c>
      <c r="N6" s="194" t="s">
        <v>1311</v>
      </c>
      <c r="O6" s="115">
        <f t="shared" si="1"/>
        <v>0</v>
      </c>
      <c r="P6" s="111" t="s">
        <v>1313</v>
      </c>
    </row>
    <row r="7" spans="1:16" ht="15" customHeight="1">
      <c r="A7" s="194"/>
      <c r="B7" s="194" t="s">
        <v>724</v>
      </c>
      <c r="C7" s="194" t="s">
        <v>194</v>
      </c>
      <c r="D7" s="194" t="s">
        <v>193</v>
      </c>
      <c r="E7" s="194"/>
      <c r="F7" s="194" t="s">
        <v>117</v>
      </c>
      <c r="G7" s="115">
        <f t="shared" si="0"/>
        <v>0</v>
      </c>
      <c r="H7" s="194" t="s">
        <v>103</v>
      </c>
      <c r="I7" s="115">
        <f>VLOOKUP($C7,Ergebnisse_Errichtung,7,0)</f>
        <v>0</v>
      </c>
      <c r="J7" s="194" t="s">
        <v>1311</v>
      </c>
      <c r="K7" s="115">
        <f>VLOOKUP($C7,Ergebnisse_Errichtung,9,0)</f>
        <v>0</v>
      </c>
      <c r="L7" s="194" t="s">
        <v>1311</v>
      </c>
      <c r="M7" s="115">
        <f>VLOOKUP($C7,Ergebnisse_Errichtung,11,0)</f>
        <v>0</v>
      </c>
      <c r="N7" s="194" t="s">
        <v>1311</v>
      </c>
      <c r="O7" s="115">
        <f t="shared" si="1"/>
        <v>0</v>
      </c>
      <c r="P7" s="111" t="s">
        <v>1313</v>
      </c>
    </row>
    <row r="8" spans="1:16" ht="15" customHeight="1">
      <c r="A8" s="194"/>
      <c r="B8" s="194" t="s">
        <v>724</v>
      </c>
      <c r="C8" s="194" t="s">
        <v>151</v>
      </c>
      <c r="D8" s="194" t="s">
        <v>150</v>
      </c>
      <c r="E8" s="194"/>
      <c r="F8" s="194" t="s">
        <v>117</v>
      </c>
      <c r="G8" s="115">
        <f t="shared" si="0"/>
        <v>0</v>
      </c>
      <c r="H8" s="194" t="s">
        <v>103</v>
      </c>
      <c r="I8" s="194"/>
      <c r="J8" s="194"/>
      <c r="K8" s="194"/>
      <c r="L8" s="194"/>
      <c r="M8" s="194"/>
      <c r="N8" s="194"/>
      <c r="O8" s="194"/>
      <c r="P8" s="111"/>
    </row>
    <row r="9" spans="1:16" ht="15" customHeight="1">
      <c r="A9" s="194"/>
      <c r="B9" s="194" t="s">
        <v>724</v>
      </c>
      <c r="C9" s="194" t="s">
        <v>142</v>
      </c>
      <c r="D9" s="194" t="s">
        <v>141</v>
      </c>
      <c r="E9" s="194"/>
      <c r="F9" s="194" t="s">
        <v>117</v>
      </c>
      <c r="G9" s="115">
        <f t="shared" si="0"/>
        <v>0</v>
      </c>
      <c r="H9" s="194" t="s">
        <v>103</v>
      </c>
      <c r="I9" s="194"/>
      <c r="J9" s="194"/>
      <c r="K9" s="194"/>
      <c r="L9" s="194"/>
      <c r="M9" s="194"/>
      <c r="N9" s="194"/>
      <c r="O9" s="194"/>
      <c r="P9" s="111"/>
    </row>
    <row r="10" spans="1:16" ht="15" customHeight="1">
      <c r="A10" s="194"/>
      <c r="B10" s="194" t="s">
        <v>724</v>
      </c>
      <c r="C10" s="194" t="s">
        <v>131</v>
      </c>
      <c r="D10" s="194" t="s">
        <v>130</v>
      </c>
      <c r="E10" s="194"/>
      <c r="F10" s="194" t="s">
        <v>117</v>
      </c>
      <c r="G10" s="115">
        <f t="shared" si="0"/>
        <v>0</v>
      </c>
      <c r="H10" s="194" t="s">
        <v>103</v>
      </c>
      <c r="I10" s="194"/>
      <c r="J10" s="194"/>
      <c r="K10" s="194"/>
      <c r="L10" s="194"/>
      <c r="M10" s="194"/>
      <c r="N10" s="194"/>
      <c r="O10" s="194"/>
      <c r="P10" s="111"/>
    </row>
    <row r="11" spans="1:16" ht="15" customHeight="1">
      <c r="A11" s="194"/>
      <c r="B11" s="194" t="s">
        <v>724</v>
      </c>
      <c r="C11" s="194" t="s">
        <v>125</v>
      </c>
      <c r="D11" s="194" t="s">
        <v>124</v>
      </c>
      <c r="E11" s="194"/>
      <c r="F11" s="194" t="s">
        <v>117</v>
      </c>
      <c r="G11" s="115">
        <f t="shared" si="0"/>
        <v>0</v>
      </c>
      <c r="H11" s="194" t="s">
        <v>103</v>
      </c>
      <c r="I11" s="194"/>
      <c r="J11" s="194"/>
      <c r="K11" s="194"/>
      <c r="L11" s="194"/>
      <c r="M11" s="194"/>
      <c r="N11" s="194"/>
      <c r="O11" s="194"/>
      <c r="P11" s="111"/>
    </row>
    <row r="12" spans="1:16" ht="15" customHeight="1">
      <c r="A12" s="194"/>
      <c r="B12" s="194" t="s">
        <v>724</v>
      </c>
      <c r="C12" s="194" t="s">
        <v>119</v>
      </c>
      <c r="D12" s="194" t="s">
        <v>118</v>
      </c>
      <c r="E12" s="194"/>
      <c r="F12" s="194" t="s">
        <v>117</v>
      </c>
      <c r="G12" s="115">
        <f t="shared" si="0"/>
        <v>0</v>
      </c>
      <c r="H12" s="194" t="s">
        <v>103</v>
      </c>
      <c r="I12" s="194"/>
      <c r="J12" s="194"/>
      <c r="K12" s="194"/>
      <c r="L12" s="194"/>
      <c r="M12" s="194"/>
      <c r="N12" s="194"/>
      <c r="O12" s="194"/>
      <c r="P12" s="111"/>
    </row>
    <row r="13" spans="1:16" ht="15" customHeight="1">
      <c r="A13" s="421"/>
      <c r="B13" s="421" t="s">
        <v>966</v>
      </c>
      <c r="C13" s="421" t="s">
        <v>111</v>
      </c>
      <c r="D13" s="421" t="s">
        <v>110</v>
      </c>
      <c r="E13" s="421"/>
      <c r="F13" s="421" t="s">
        <v>1038</v>
      </c>
      <c r="G13" s="158">
        <f t="shared" si="0"/>
        <v>0</v>
      </c>
      <c r="H13" s="421" t="s">
        <v>103</v>
      </c>
      <c r="I13" s="158">
        <f>VLOOKUP($C13,Ergebnisse_Errichtung,7,0)</f>
        <v>0</v>
      </c>
      <c r="J13" s="421" t="s">
        <v>1311</v>
      </c>
      <c r="K13" s="158">
        <f>VLOOKUP($C13,Ergebnisse_Errichtung,9,0)</f>
        <v>0</v>
      </c>
      <c r="L13" s="421" t="s">
        <v>1311</v>
      </c>
      <c r="M13" s="158">
        <f>VLOOKUP($C13,Ergebnisse_Errichtung,11,0)</f>
        <v>0</v>
      </c>
      <c r="N13" s="421" t="s">
        <v>1311</v>
      </c>
      <c r="O13" s="158">
        <f t="shared" si="1"/>
        <v>0</v>
      </c>
      <c r="P13" s="172" t="s">
        <v>1313</v>
      </c>
    </row>
    <row r="14" spans="1:16" ht="15" customHeight="1">
      <c r="A14" s="421"/>
      <c r="B14" s="421" t="s">
        <v>966</v>
      </c>
      <c r="C14" s="421" t="s">
        <v>109</v>
      </c>
      <c r="D14" s="421" t="s">
        <v>108</v>
      </c>
      <c r="E14" s="421"/>
      <c r="F14" s="421" t="s">
        <v>1039</v>
      </c>
      <c r="G14" s="158">
        <f t="shared" si="0"/>
        <v>0</v>
      </c>
      <c r="H14" s="421" t="s">
        <v>103</v>
      </c>
      <c r="I14" s="158">
        <f>VLOOKUP($C14,Ergebnisse_Errichtung,7,0)</f>
        <v>0</v>
      </c>
      <c r="J14" s="421" t="s">
        <v>1311</v>
      </c>
      <c r="K14" s="158">
        <f>VLOOKUP($C14,Ergebnisse_Errichtung,9,0)</f>
        <v>0</v>
      </c>
      <c r="L14" s="421" t="s">
        <v>1311</v>
      </c>
      <c r="M14" s="158">
        <f>VLOOKUP($C14,Ergebnisse_Errichtung,11,0)</f>
        <v>0</v>
      </c>
      <c r="N14" s="421" t="s">
        <v>1311</v>
      </c>
      <c r="O14" s="158">
        <f t="shared" si="1"/>
        <v>0</v>
      </c>
      <c r="P14" s="172" t="s">
        <v>1313</v>
      </c>
    </row>
    <row r="15" spans="1:16" ht="15" customHeight="1">
      <c r="A15" s="421"/>
      <c r="B15" s="421" t="s">
        <v>966</v>
      </c>
      <c r="C15" s="421" t="s">
        <v>107</v>
      </c>
      <c r="D15" s="421" t="s">
        <v>106</v>
      </c>
      <c r="E15" s="421"/>
      <c r="F15" s="421" t="s">
        <v>1040</v>
      </c>
      <c r="G15" s="158">
        <f t="shared" si="0"/>
        <v>0</v>
      </c>
      <c r="H15" s="421" t="s">
        <v>103</v>
      </c>
      <c r="I15" s="158">
        <f>VLOOKUP($C15,Ergebnisse_Errichtung,7,0)</f>
        <v>0</v>
      </c>
      <c r="J15" s="421" t="s">
        <v>1311</v>
      </c>
      <c r="K15" s="158">
        <f>VLOOKUP($C15,Ergebnisse_Errichtung,9,0)</f>
        <v>0</v>
      </c>
      <c r="L15" s="421" t="s">
        <v>1311</v>
      </c>
      <c r="M15" s="158">
        <f>VLOOKUP($C15,Ergebnisse_Errichtung,11,0)</f>
        <v>0</v>
      </c>
      <c r="N15" s="421" t="s">
        <v>1311</v>
      </c>
      <c r="O15" s="158">
        <f t="shared" si="1"/>
        <v>0</v>
      </c>
      <c r="P15" s="172" t="s">
        <v>1313</v>
      </c>
    </row>
    <row r="16" spans="1:16" ht="15" customHeight="1">
      <c r="A16" s="421"/>
      <c r="B16" s="421" t="s">
        <v>966</v>
      </c>
      <c r="C16" s="421" t="s">
        <v>105</v>
      </c>
      <c r="D16" s="421" t="s">
        <v>104</v>
      </c>
      <c r="E16" s="421"/>
      <c r="F16" s="421" t="s">
        <v>1041</v>
      </c>
      <c r="G16" s="158">
        <f t="shared" si="0"/>
        <v>0</v>
      </c>
      <c r="H16" s="421" t="s">
        <v>103</v>
      </c>
      <c r="I16" s="158">
        <f>VLOOKUP($C16,Ergebnisse_Errichtung,7,0)</f>
        <v>0</v>
      </c>
      <c r="J16" s="421" t="s">
        <v>1311</v>
      </c>
      <c r="K16" s="158">
        <f>VLOOKUP($C16,Ergebnisse_Errichtung,9,0)</f>
        <v>0</v>
      </c>
      <c r="L16" s="421" t="s">
        <v>1311</v>
      </c>
      <c r="M16" s="158">
        <f>VLOOKUP($C16,Ergebnisse_Errichtung,11,0)</f>
        <v>0</v>
      </c>
      <c r="N16" s="421" t="s">
        <v>1311</v>
      </c>
      <c r="O16" s="158">
        <f t="shared" si="1"/>
        <v>0</v>
      </c>
      <c r="P16" s="172" t="s">
        <v>1313</v>
      </c>
    </row>
    <row r="17" spans="1:16" ht="15" customHeight="1">
      <c r="A17" s="194"/>
      <c r="B17" s="194" t="s">
        <v>724</v>
      </c>
      <c r="C17" s="194" t="s">
        <v>725</v>
      </c>
      <c r="D17" s="194" t="s">
        <v>726</v>
      </c>
      <c r="E17" s="194"/>
      <c r="F17" s="194" t="s">
        <v>117</v>
      </c>
      <c r="G17" s="115">
        <f t="shared" ref="G17:G30" si="2">VLOOKUP(C17,Folgekosten,13,0)</f>
        <v>0</v>
      </c>
      <c r="H17" s="194" t="s">
        <v>103</v>
      </c>
      <c r="I17" s="115">
        <f t="shared" ref="I17:I23" si="3">VLOOKUP($C17,Ergebnisse_Nutzung,23,0)</f>
        <v>0</v>
      </c>
      <c r="J17" s="194" t="s">
        <v>1311</v>
      </c>
      <c r="K17" s="194"/>
      <c r="L17" s="194"/>
      <c r="M17" s="115">
        <f t="shared" ref="M17:M30" si="4">VLOOKUP($C17,Ergebnisse_Nutzung,27,0)</f>
        <v>0</v>
      </c>
      <c r="N17" s="194" t="s">
        <v>1311</v>
      </c>
      <c r="O17" s="115">
        <f t="shared" ref="O17:O30" si="5">VLOOKUP($C17,Ergebnisse_Nutzung,29,0)</f>
        <v>0</v>
      </c>
      <c r="P17" s="111" t="s">
        <v>1313</v>
      </c>
    </row>
    <row r="18" spans="1:16" ht="15" customHeight="1">
      <c r="A18" s="194"/>
      <c r="B18" s="194" t="s">
        <v>724</v>
      </c>
      <c r="C18" s="194" t="s">
        <v>738</v>
      </c>
      <c r="D18" s="194" t="s">
        <v>365</v>
      </c>
      <c r="E18" s="194"/>
      <c r="F18" s="194" t="s">
        <v>117</v>
      </c>
      <c r="G18" s="115">
        <f t="shared" si="2"/>
        <v>0</v>
      </c>
      <c r="H18" s="194" t="s">
        <v>103</v>
      </c>
      <c r="I18" s="115">
        <f t="shared" si="3"/>
        <v>0</v>
      </c>
      <c r="J18" s="194" t="s">
        <v>1311</v>
      </c>
      <c r="K18" s="194"/>
      <c r="L18" s="194"/>
      <c r="M18" s="115">
        <f t="shared" si="4"/>
        <v>0</v>
      </c>
      <c r="N18" s="194" t="s">
        <v>1311</v>
      </c>
      <c r="O18" s="115">
        <f t="shared" si="5"/>
        <v>0</v>
      </c>
      <c r="P18" s="111" t="s">
        <v>1313</v>
      </c>
    </row>
    <row r="19" spans="1:16" ht="15" customHeight="1">
      <c r="A19" s="194"/>
      <c r="B19" s="194" t="s">
        <v>724</v>
      </c>
      <c r="C19" s="194" t="s">
        <v>779</v>
      </c>
      <c r="D19" s="194" t="s">
        <v>780</v>
      </c>
      <c r="E19" s="194"/>
      <c r="F19" s="194" t="s">
        <v>117</v>
      </c>
      <c r="G19" s="115" t="e">
        <f t="shared" si="2"/>
        <v>#N/A</v>
      </c>
      <c r="H19" s="194" t="s">
        <v>103</v>
      </c>
      <c r="I19" s="115" t="e">
        <f t="shared" si="3"/>
        <v>#N/A</v>
      </c>
      <c r="J19" s="194" t="s">
        <v>1311</v>
      </c>
      <c r="K19" s="194"/>
      <c r="L19" s="194"/>
      <c r="M19" s="115" t="e">
        <f t="shared" si="4"/>
        <v>#N/A</v>
      </c>
      <c r="N19" s="194" t="s">
        <v>1311</v>
      </c>
      <c r="O19" s="115" t="e">
        <f t="shared" si="5"/>
        <v>#N/A</v>
      </c>
      <c r="P19" s="111" t="s">
        <v>1313</v>
      </c>
    </row>
    <row r="20" spans="1:16" ht="15" customHeight="1">
      <c r="A20" s="194"/>
      <c r="B20" s="194" t="s">
        <v>724</v>
      </c>
      <c r="C20" s="194" t="s">
        <v>792</v>
      </c>
      <c r="D20" s="194" t="s">
        <v>793</v>
      </c>
      <c r="E20" s="194"/>
      <c r="F20" s="194" t="s">
        <v>117</v>
      </c>
      <c r="G20" s="115">
        <f t="shared" si="2"/>
        <v>0</v>
      </c>
      <c r="H20" s="194" t="s">
        <v>103</v>
      </c>
      <c r="I20" s="115">
        <f t="shared" si="3"/>
        <v>0</v>
      </c>
      <c r="J20" s="194" t="s">
        <v>1311</v>
      </c>
      <c r="K20" s="194"/>
      <c r="L20" s="194"/>
      <c r="M20" s="115">
        <f t="shared" si="4"/>
        <v>0</v>
      </c>
      <c r="N20" s="194" t="s">
        <v>1311</v>
      </c>
      <c r="O20" s="115">
        <f t="shared" si="5"/>
        <v>0</v>
      </c>
      <c r="P20" s="111" t="s">
        <v>1313</v>
      </c>
    </row>
    <row r="21" spans="1:16" ht="15" customHeight="1">
      <c r="A21" s="194"/>
      <c r="B21" s="194" t="s">
        <v>724</v>
      </c>
      <c r="C21" s="194" t="s">
        <v>821</v>
      </c>
      <c r="D21" s="194" t="s">
        <v>648</v>
      </c>
      <c r="E21" s="194"/>
      <c r="F21" s="194" t="s">
        <v>117</v>
      </c>
      <c r="G21" s="115">
        <f t="shared" si="2"/>
        <v>0</v>
      </c>
      <c r="H21" s="194" t="s">
        <v>103</v>
      </c>
      <c r="I21" s="115">
        <f t="shared" si="3"/>
        <v>0</v>
      </c>
      <c r="J21" s="194" t="s">
        <v>1311</v>
      </c>
      <c r="K21" s="194"/>
      <c r="L21" s="194"/>
      <c r="M21" s="115">
        <f t="shared" si="4"/>
        <v>0</v>
      </c>
      <c r="N21" s="194" t="s">
        <v>1311</v>
      </c>
      <c r="O21" s="115">
        <f t="shared" si="5"/>
        <v>0</v>
      </c>
      <c r="P21" s="111" t="s">
        <v>1313</v>
      </c>
    </row>
    <row r="22" spans="1:16" ht="15" customHeight="1">
      <c r="A22" s="194"/>
      <c r="B22" s="194" t="s">
        <v>724</v>
      </c>
      <c r="C22" s="194" t="s">
        <v>827</v>
      </c>
      <c r="D22" s="194" t="s">
        <v>828</v>
      </c>
      <c r="E22" s="194"/>
      <c r="F22" s="194" t="s">
        <v>117</v>
      </c>
      <c r="G22" s="115">
        <f t="shared" si="2"/>
        <v>0</v>
      </c>
      <c r="H22" s="194" t="s">
        <v>103</v>
      </c>
      <c r="I22" s="115">
        <f t="shared" si="3"/>
        <v>0</v>
      </c>
      <c r="J22" s="194" t="s">
        <v>1311</v>
      </c>
      <c r="K22" s="194"/>
      <c r="L22" s="194"/>
      <c r="M22" s="115">
        <f t="shared" si="4"/>
        <v>0</v>
      </c>
      <c r="N22" s="194" t="s">
        <v>1311</v>
      </c>
      <c r="O22" s="115">
        <f t="shared" si="5"/>
        <v>0</v>
      </c>
      <c r="P22" s="111" t="s">
        <v>1313</v>
      </c>
    </row>
    <row r="23" spans="1:16" ht="15" customHeight="1">
      <c r="A23" s="194"/>
      <c r="B23" s="194" t="s">
        <v>724</v>
      </c>
      <c r="C23" s="194" t="s">
        <v>842</v>
      </c>
      <c r="D23" s="194" t="s">
        <v>843</v>
      </c>
      <c r="E23" s="194"/>
      <c r="F23" s="194" t="s">
        <v>117</v>
      </c>
      <c r="G23" s="115" t="e">
        <f t="shared" si="2"/>
        <v>#VALUE!</v>
      </c>
      <c r="H23" s="194" t="s">
        <v>103</v>
      </c>
      <c r="I23" s="115">
        <f t="shared" si="3"/>
        <v>0</v>
      </c>
      <c r="J23" s="194" t="s">
        <v>1311</v>
      </c>
      <c r="K23" s="115">
        <f>VLOOKUP($C23,Ergebnisse_Nutzung,25,0)</f>
        <v>0</v>
      </c>
      <c r="L23" s="194" t="s">
        <v>1311</v>
      </c>
      <c r="M23" s="115">
        <f t="shared" si="4"/>
        <v>0</v>
      </c>
      <c r="N23" s="194" t="s">
        <v>1311</v>
      </c>
      <c r="O23" s="115">
        <f t="shared" si="5"/>
        <v>0</v>
      </c>
      <c r="P23" s="111" t="s">
        <v>1313</v>
      </c>
    </row>
    <row r="24" spans="1:16" ht="15" customHeight="1">
      <c r="A24" s="194"/>
      <c r="B24" s="194" t="s">
        <v>724</v>
      </c>
      <c r="C24" s="194" t="s">
        <v>956</v>
      </c>
      <c r="D24" s="194" t="s">
        <v>198</v>
      </c>
      <c r="E24" s="194"/>
      <c r="F24" s="194" t="s">
        <v>117</v>
      </c>
      <c r="G24" s="115">
        <f t="shared" si="2"/>
        <v>0</v>
      </c>
      <c r="H24" s="194" t="s">
        <v>103</v>
      </c>
      <c r="I24" s="194"/>
      <c r="J24" s="194"/>
      <c r="K24" s="194"/>
      <c r="L24" s="194"/>
      <c r="M24" s="115">
        <f t="shared" si="4"/>
        <v>0</v>
      </c>
      <c r="N24" s="194" t="s">
        <v>1311</v>
      </c>
      <c r="O24" s="194"/>
      <c r="P24" s="194"/>
    </row>
    <row r="25" spans="1:16" ht="15" customHeight="1">
      <c r="A25" s="194"/>
      <c r="B25" s="194" t="s">
        <v>724</v>
      </c>
      <c r="C25" s="194" t="s">
        <v>958</v>
      </c>
      <c r="D25" s="194" t="s">
        <v>959</v>
      </c>
      <c r="E25" s="194"/>
      <c r="F25" s="194" t="s">
        <v>117</v>
      </c>
      <c r="G25" s="115" t="e">
        <f t="shared" si="2"/>
        <v>#VALUE!</v>
      </c>
      <c r="H25" s="194" t="s">
        <v>103</v>
      </c>
      <c r="I25" s="115">
        <f t="shared" ref="I25:I30" si="6">VLOOKUP($C25,Ergebnisse_Nutzung,23,0)</f>
        <v>0</v>
      </c>
      <c r="J25" s="194" t="s">
        <v>1311</v>
      </c>
      <c r="K25" s="115">
        <f t="shared" ref="K25:K30" si="7">VLOOKUP($C25,Ergebnisse_Nutzung,25,0)</f>
        <v>0</v>
      </c>
      <c r="L25" s="194" t="s">
        <v>1311</v>
      </c>
      <c r="M25" s="115">
        <f t="shared" si="4"/>
        <v>0</v>
      </c>
      <c r="N25" s="194" t="s">
        <v>1311</v>
      </c>
      <c r="O25" s="115">
        <f t="shared" si="5"/>
        <v>0</v>
      </c>
      <c r="P25" s="111" t="s">
        <v>1313</v>
      </c>
    </row>
    <row r="26" spans="1:16" ht="15" customHeight="1">
      <c r="A26" s="421"/>
      <c r="B26" s="421" t="s">
        <v>966</v>
      </c>
      <c r="C26" s="421" t="s">
        <v>967</v>
      </c>
      <c r="D26" s="421" t="s">
        <v>968</v>
      </c>
      <c r="E26" s="421"/>
      <c r="F26" s="421" t="s">
        <v>1042</v>
      </c>
      <c r="G26" s="158" t="e">
        <f t="shared" si="2"/>
        <v>#N/A</v>
      </c>
      <c r="H26" s="421" t="s">
        <v>103</v>
      </c>
      <c r="I26" s="158" t="e">
        <f t="shared" si="6"/>
        <v>#N/A</v>
      </c>
      <c r="J26" s="421" t="s">
        <v>1311</v>
      </c>
      <c r="K26" s="421"/>
      <c r="L26" s="421"/>
      <c r="M26" s="158" t="e">
        <f t="shared" si="4"/>
        <v>#N/A</v>
      </c>
      <c r="N26" s="421" t="s">
        <v>1311</v>
      </c>
      <c r="O26" s="158" t="e">
        <f t="shared" si="5"/>
        <v>#N/A</v>
      </c>
      <c r="P26" s="172" t="s">
        <v>1313</v>
      </c>
    </row>
    <row r="27" spans="1:16" ht="15" customHeight="1">
      <c r="A27" s="421"/>
      <c r="B27" s="421" t="s">
        <v>966</v>
      </c>
      <c r="C27" s="421" t="s">
        <v>969</v>
      </c>
      <c r="D27" s="421" t="s">
        <v>970</v>
      </c>
      <c r="E27" s="421"/>
      <c r="F27" s="421" t="s">
        <v>971</v>
      </c>
      <c r="G27" s="158" t="e">
        <f t="shared" si="2"/>
        <v>#N/A</v>
      </c>
      <c r="H27" s="421" t="s">
        <v>103</v>
      </c>
      <c r="I27" s="158" t="e">
        <f t="shared" si="6"/>
        <v>#N/A</v>
      </c>
      <c r="J27" s="421" t="s">
        <v>1311</v>
      </c>
      <c r="K27" s="158">
        <f t="shared" si="7"/>
        <v>0</v>
      </c>
      <c r="L27" s="421" t="s">
        <v>1311</v>
      </c>
      <c r="M27" s="158" t="e">
        <f t="shared" si="4"/>
        <v>#N/A</v>
      </c>
      <c r="N27" s="421" t="s">
        <v>1311</v>
      </c>
      <c r="O27" s="158" t="e">
        <f t="shared" si="5"/>
        <v>#N/A</v>
      </c>
      <c r="P27" s="172" t="s">
        <v>1313</v>
      </c>
    </row>
    <row r="28" spans="1:16" ht="15" customHeight="1">
      <c r="A28" s="421"/>
      <c r="B28" s="421" t="s">
        <v>966</v>
      </c>
      <c r="C28" s="421" t="s">
        <v>972</v>
      </c>
      <c r="D28" s="421" t="s">
        <v>973</v>
      </c>
      <c r="E28" s="421"/>
      <c r="F28" s="421" t="s">
        <v>1043</v>
      </c>
      <c r="G28" s="158" t="e">
        <f t="shared" si="2"/>
        <v>#N/A</v>
      </c>
      <c r="H28" s="421" t="s">
        <v>103</v>
      </c>
      <c r="I28" s="158" t="e">
        <f t="shared" si="6"/>
        <v>#N/A</v>
      </c>
      <c r="J28" s="421" t="s">
        <v>1311</v>
      </c>
      <c r="K28" s="158">
        <f t="shared" si="7"/>
        <v>0</v>
      </c>
      <c r="L28" s="421" t="s">
        <v>1311</v>
      </c>
      <c r="M28" s="158" t="e">
        <f t="shared" si="4"/>
        <v>#N/A</v>
      </c>
      <c r="N28" s="421" t="s">
        <v>1311</v>
      </c>
      <c r="O28" s="158" t="e">
        <f t="shared" si="5"/>
        <v>#N/A</v>
      </c>
      <c r="P28" s="172" t="s">
        <v>1313</v>
      </c>
    </row>
    <row r="29" spans="1:16" ht="15" customHeight="1">
      <c r="A29" s="421"/>
      <c r="B29" s="421" t="s">
        <v>966</v>
      </c>
      <c r="C29" s="421" t="s">
        <v>974</v>
      </c>
      <c r="D29" s="421" t="s">
        <v>975</v>
      </c>
      <c r="E29" s="421"/>
      <c r="F29" s="421" t="s">
        <v>1044</v>
      </c>
      <c r="G29" s="158" t="e">
        <f t="shared" si="2"/>
        <v>#N/A</v>
      </c>
      <c r="H29" s="421" t="s">
        <v>103</v>
      </c>
      <c r="I29" s="158" t="e">
        <f t="shared" si="6"/>
        <v>#N/A</v>
      </c>
      <c r="J29" s="421" t="s">
        <v>1311</v>
      </c>
      <c r="K29" s="158">
        <f t="shared" si="7"/>
        <v>0</v>
      </c>
      <c r="L29" s="421" t="s">
        <v>1311</v>
      </c>
      <c r="M29" s="158" t="e">
        <f t="shared" si="4"/>
        <v>#N/A</v>
      </c>
      <c r="N29" s="421" t="s">
        <v>1311</v>
      </c>
      <c r="O29" s="158" t="e">
        <f t="shared" si="5"/>
        <v>#N/A</v>
      </c>
      <c r="P29" s="172" t="s">
        <v>1313</v>
      </c>
    </row>
    <row r="30" spans="1:16" ht="15" customHeight="1">
      <c r="A30" s="421"/>
      <c r="B30" s="421" t="s">
        <v>966</v>
      </c>
      <c r="C30" s="421" t="s">
        <v>976</v>
      </c>
      <c r="D30" s="421" t="s">
        <v>977</v>
      </c>
      <c r="E30" s="421"/>
      <c r="F30" s="421" t="s">
        <v>978</v>
      </c>
      <c r="G30" s="158" t="e">
        <f t="shared" si="2"/>
        <v>#N/A</v>
      </c>
      <c r="H30" s="421" t="s">
        <v>103</v>
      </c>
      <c r="I30" s="158" t="e">
        <f t="shared" si="6"/>
        <v>#N/A</v>
      </c>
      <c r="J30" s="421" t="s">
        <v>1311</v>
      </c>
      <c r="K30" s="158">
        <f t="shared" si="7"/>
        <v>0</v>
      </c>
      <c r="L30" s="421" t="s">
        <v>1311</v>
      </c>
      <c r="M30" s="158" t="e">
        <f t="shared" si="4"/>
        <v>#N/A</v>
      </c>
      <c r="N30" s="421" t="s">
        <v>1311</v>
      </c>
      <c r="O30" s="158" t="e">
        <f t="shared" si="5"/>
        <v>#N/A</v>
      </c>
      <c r="P30" s="172" t="s">
        <v>1313</v>
      </c>
    </row>
    <row r="31" spans="1:16" ht="15" customHeight="1">
      <c r="G31" s="23"/>
    </row>
  </sheetData>
  <sheetProtection password="FDAF" sheet="1" objects="1" scenarios="1"/>
  <pageMargins left="0.78740157480314965" right="0.78740157480314965" top="0.98425196850393704" bottom="0.98425196850393704" header="0.51181102362204722" footer="0.51181102362204722"/>
  <pageSetup paperSize="9" scale="63" fitToHeight="0" orientation="portrait" r:id="rId1"/>
  <headerFooter>
    <oddFooter>&amp;L&amp;F&amp;C&amp;A&amp;R&amp;P von &amp;N</oddFooter>
  </headerFooter>
</worksheet>
</file>

<file path=xl/worksheets/sheet11.xml><?xml version="1.0" encoding="utf-8"?>
<worksheet xmlns="http://schemas.openxmlformats.org/spreadsheetml/2006/main" xmlns:r="http://schemas.openxmlformats.org/officeDocument/2006/relationships">
  <sheetPr codeName="Tabelle61">
    <tabColor theme="6"/>
    <pageSetUpPr fitToPage="1"/>
  </sheetPr>
  <dimension ref="A1:K31"/>
  <sheetViews>
    <sheetView zoomScaleNormal="100" workbookViewId="0">
      <pane ySplit="1" topLeftCell="A2" activePane="bottomLeft" state="frozenSplit"/>
      <selection activeCell="D1" sqref="D1"/>
      <selection pane="bottomLeft" activeCell="D3" sqref="D3"/>
    </sheetView>
  </sheetViews>
  <sheetFormatPr baseColWidth="10" defaultRowHeight="15" customHeight="1"/>
  <cols>
    <col min="1" max="2" width="5" style="79" hidden="1" customWidth="1"/>
    <col min="3" max="3" width="9.33203125" style="79" hidden="1" customWidth="1"/>
    <col min="4" max="4" width="44" style="79" bestFit="1" customWidth="1"/>
    <col min="5" max="5" width="14" style="79" bestFit="1" customWidth="1"/>
    <col min="6" max="6" width="14.83203125" style="109" customWidth="1"/>
    <col min="7" max="7" width="9.33203125" style="79" bestFit="1" customWidth="1"/>
    <col min="8" max="8" width="15.5" style="109" bestFit="1" customWidth="1"/>
    <col min="9" max="9" width="17.5" style="79" bestFit="1" customWidth="1"/>
    <col min="10" max="10" width="14.83203125" style="109" customWidth="1"/>
    <col min="11" max="11" width="10.5" style="79" bestFit="1" customWidth="1"/>
    <col min="12" max="252" width="13.33203125" style="79"/>
    <col min="253" max="253" width="5.6640625" style="79" customWidth="1"/>
    <col min="254" max="254" width="8.83203125" style="79" bestFit="1" customWidth="1"/>
    <col min="255" max="255" width="43.83203125" style="79" bestFit="1" customWidth="1"/>
    <col min="256" max="256" width="12.1640625" style="79" bestFit="1" customWidth="1"/>
    <col min="257" max="257" width="15" style="79" bestFit="1" customWidth="1"/>
    <col min="258" max="259" width="10.1640625" style="79" customWidth="1"/>
    <col min="260" max="260" width="8.5" style="79" bestFit="1" customWidth="1"/>
    <col min="261" max="261" width="16.1640625" style="79" bestFit="1" customWidth="1"/>
    <col min="262" max="262" width="17.33203125" style="79" bestFit="1" customWidth="1"/>
    <col min="263" max="263" width="13.5" style="79" bestFit="1" customWidth="1"/>
    <col min="264" max="508" width="13.33203125" style="79"/>
    <col min="509" max="509" width="5.6640625" style="79" customWidth="1"/>
    <col min="510" max="510" width="8.83203125" style="79" bestFit="1" customWidth="1"/>
    <col min="511" max="511" width="43.83203125" style="79" bestFit="1" customWidth="1"/>
    <col min="512" max="512" width="12.1640625" style="79" bestFit="1" customWidth="1"/>
    <col min="513" max="513" width="15" style="79" bestFit="1" customWidth="1"/>
    <col min="514" max="515" width="10.1640625" style="79" customWidth="1"/>
    <col min="516" max="516" width="8.5" style="79" bestFit="1" customWidth="1"/>
    <col min="517" max="517" width="16.1640625" style="79" bestFit="1" customWidth="1"/>
    <col min="518" max="518" width="17.33203125" style="79" bestFit="1" customWidth="1"/>
    <col min="519" max="519" width="13.5" style="79" bestFit="1" customWidth="1"/>
    <col min="520" max="764" width="13.33203125" style="79"/>
    <col min="765" max="765" width="5.6640625" style="79" customWidth="1"/>
    <col min="766" max="766" width="8.83203125" style="79" bestFit="1" customWidth="1"/>
    <col min="767" max="767" width="43.83203125" style="79" bestFit="1" customWidth="1"/>
    <col min="768" max="768" width="12.1640625" style="79" bestFit="1" customWidth="1"/>
    <col min="769" max="769" width="15" style="79" bestFit="1" customWidth="1"/>
    <col min="770" max="771" width="10.1640625" style="79" customWidth="1"/>
    <col min="772" max="772" width="8.5" style="79" bestFit="1" customWidth="1"/>
    <col min="773" max="773" width="16.1640625" style="79" bestFit="1" customWidth="1"/>
    <col min="774" max="774" width="17.33203125" style="79" bestFit="1" customWidth="1"/>
    <col min="775" max="775" width="13.5" style="79" bestFit="1" customWidth="1"/>
    <col min="776" max="1020" width="13.33203125" style="79"/>
    <col min="1021" max="1021" width="5.6640625" style="79" customWidth="1"/>
    <col min="1022" max="1022" width="8.83203125" style="79" bestFit="1" customWidth="1"/>
    <col min="1023" max="1023" width="43.83203125" style="79" bestFit="1" customWidth="1"/>
    <col min="1024" max="1024" width="12.1640625" style="79" bestFit="1" customWidth="1"/>
    <col min="1025" max="1025" width="15" style="79" bestFit="1" customWidth="1"/>
    <col min="1026" max="1027" width="10.1640625" style="79" customWidth="1"/>
    <col min="1028" max="1028" width="8.5" style="79" bestFit="1" customWidth="1"/>
    <col min="1029" max="1029" width="16.1640625" style="79" bestFit="1" customWidth="1"/>
    <col min="1030" max="1030" width="17.33203125" style="79" bestFit="1" customWidth="1"/>
    <col min="1031" max="1031" width="13.5" style="79" bestFit="1" customWidth="1"/>
    <col min="1032" max="1276" width="13.33203125" style="79"/>
    <col min="1277" max="1277" width="5.6640625" style="79" customWidth="1"/>
    <col min="1278" max="1278" width="8.83203125" style="79" bestFit="1" customWidth="1"/>
    <col min="1279" max="1279" width="43.83203125" style="79" bestFit="1" customWidth="1"/>
    <col min="1280" max="1280" width="12.1640625" style="79" bestFit="1" customWidth="1"/>
    <col min="1281" max="1281" width="15" style="79" bestFit="1" customWidth="1"/>
    <col min="1282" max="1283" width="10.1640625" style="79" customWidth="1"/>
    <col min="1284" max="1284" width="8.5" style="79" bestFit="1" customWidth="1"/>
    <col min="1285" max="1285" width="16.1640625" style="79" bestFit="1" customWidth="1"/>
    <col min="1286" max="1286" width="17.33203125" style="79" bestFit="1" customWidth="1"/>
    <col min="1287" max="1287" width="13.5" style="79" bestFit="1" customWidth="1"/>
    <col min="1288" max="1532" width="13.33203125" style="79"/>
    <col min="1533" max="1533" width="5.6640625" style="79" customWidth="1"/>
    <col min="1534" max="1534" width="8.83203125" style="79" bestFit="1" customWidth="1"/>
    <col min="1535" max="1535" width="43.83203125" style="79" bestFit="1" customWidth="1"/>
    <col min="1536" max="1536" width="12.1640625" style="79" bestFit="1" customWidth="1"/>
    <col min="1537" max="1537" width="15" style="79" bestFit="1" customWidth="1"/>
    <col min="1538" max="1539" width="10.1640625" style="79" customWidth="1"/>
    <col min="1540" max="1540" width="8.5" style="79" bestFit="1" customWidth="1"/>
    <col min="1541" max="1541" width="16.1640625" style="79" bestFit="1" customWidth="1"/>
    <col min="1542" max="1542" width="17.33203125" style="79" bestFit="1" customWidth="1"/>
    <col min="1543" max="1543" width="13.5" style="79" bestFit="1" customWidth="1"/>
    <col min="1544" max="1788" width="13.33203125" style="79"/>
    <col min="1789" max="1789" width="5.6640625" style="79" customWidth="1"/>
    <col min="1790" max="1790" width="8.83203125" style="79" bestFit="1" customWidth="1"/>
    <col min="1791" max="1791" width="43.83203125" style="79" bestFit="1" customWidth="1"/>
    <col min="1792" max="1792" width="12.1640625" style="79" bestFit="1" customWidth="1"/>
    <col min="1793" max="1793" width="15" style="79" bestFit="1" customWidth="1"/>
    <col min="1794" max="1795" width="10.1640625" style="79" customWidth="1"/>
    <col min="1796" max="1796" width="8.5" style="79" bestFit="1" customWidth="1"/>
    <col min="1797" max="1797" width="16.1640625" style="79" bestFit="1" customWidth="1"/>
    <col min="1798" max="1798" width="17.33203125" style="79" bestFit="1" customWidth="1"/>
    <col min="1799" max="1799" width="13.5" style="79" bestFit="1" customWidth="1"/>
    <col min="1800" max="2044" width="13.33203125" style="79"/>
    <col min="2045" max="2045" width="5.6640625" style="79" customWidth="1"/>
    <col min="2046" max="2046" width="8.83203125" style="79" bestFit="1" customWidth="1"/>
    <col min="2047" max="2047" width="43.83203125" style="79" bestFit="1" customWidth="1"/>
    <col min="2048" max="2048" width="12.1640625" style="79" bestFit="1" customWidth="1"/>
    <col min="2049" max="2049" width="15" style="79" bestFit="1" customWidth="1"/>
    <col min="2050" max="2051" width="10.1640625" style="79" customWidth="1"/>
    <col min="2052" max="2052" width="8.5" style="79" bestFit="1" customWidth="1"/>
    <col min="2053" max="2053" width="16.1640625" style="79" bestFit="1" customWidth="1"/>
    <col min="2054" max="2054" width="17.33203125" style="79" bestFit="1" customWidth="1"/>
    <col min="2055" max="2055" width="13.5" style="79" bestFit="1" customWidth="1"/>
    <col min="2056" max="2300" width="13.33203125" style="79"/>
    <col min="2301" max="2301" width="5.6640625" style="79" customWidth="1"/>
    <col min="2302" max="2302" width="8.83203125" style="79" bestFit="1" customWidth="1"/>
    <col min="2303" max="2303" width="43.83203125" style="79" bestFit="1" customWidth="1"/>
    <col min="2304" max="2304" width="12.1640625" style="79" bestFit="1" customWidth="1"/>
    <col min="2305" max="2305" width="15" style="79" bestFit="1" customWidth="1"/>
    <col min="2306" max="2307" width="10.1640625" style="79" customWidth="1"/>
    <col min="2308" max="2308" width="8.5" style="79" bestFit="1" customWidth="1"/>
    <col min="2309" max="2309" width="16.1640625" style="79" bestFit="1" customWidth="1"/>
    <col min="2310" max="2310" width="17.33203125" style="79" bestFit="1" customWidth="1"/>
    <col min="2311" max="2311" width="13.5" style="79" bestFit="1" customWidth="1"/>
    <col min="2312" max="2556" width="13.33203125" style="79"/>
    <col min="2557" max="2557" width="5.6640625" style="79" customWidth="1"/>
    <col min="2558" max="2558" width="8.83203125" style="79" bestFit="1" customWidth="1"/>
    <col min="2559" max="2559" width="43.83203125" style="79" bestFit="1" customWidth="1"/>
    <col min="2560" max="2560" width="12.1640625" style="79" bestFit="1" customWidth="1"/>
    <col min="2561" max="2561" width="15" style="79" bestFit="1" customWidth="1"/>
    <col min="2562" max="2563" width="10.1640625" style="79" customWidth="1"/>
    <col min="2564" max="2564" width="8.5" style="79" bestFit="1" customWidth="1"/>
    <col min="2565" max="2565" width="16.1640625" style="79" bestFit="1" customWidth="1"/>
    <col min="2566" max="2566" width="17.33203125" style="79" bestFit="1" customWidth="1"/>
    <col min="2567" max="2567" width="13.5" style="79" bestFit="1" customWidth="1"/>
    <col min="2568" max="2812" width="13.33203125" style="79"/>
    <col min="2813" max="2813" width="5.6640625" style="79" customWidth="1"/>
    <col min="2814" max="2814" width="8.83203125" style="79" bestFit="1" customWidth="1"/>
    <col min="2815" max="2815" width="43.83203125" style="79" bestFit="1" customWidth="1"/>
    <col min="2816" max="2816" width="12.1640625" style="79" bestFit="1" customWidth="1"/>
    <col min="2817" max="2817" width="15" style="79" bestFit="1" customWidth="1"/>
    <col min="2818" max="2819" width="10.1640625" style="79" customWidth="1"/>
    <col min="2820" max="2820" width="8.5" style="79" bestFit="1" customWidth="1"/>
    <col min="2821" max="2821" width="16.1640625" style="79" bestFit="1" customWidth="1"/>
    <col min="2822" max="2822" width="17.33203125" style="79" bestFit="1" customWidth="1"/>
    <col min="2823" max="2823" width="13.5" style="79" bestFit="1" customWidth="1"/>
    <col min="2824" max="3068" width="13.33203125" style="79"/>
    <col min="3069" max="3069" width="5.6640625" style="79" customWidth="1"/>
    <col min="3070" max="3070" width="8.83203125" style="79" bestFit="1" customWidth="1"/>
    <col min="3071" max="3071" width="43.83203125" style="79" bestFit="1" customWidth="1"/>
    <col min="3072" max="3072" width="12.1640625" style="79" bestFit="1" customWidth="1"/>
    <col min="3073" max="3073" width="15" style="79" bestFit="1" customWidth="1"/>
    <col min="3074" max="3075" width="10.1640625" style="79" customWidth="1"/>
    <col min="3076" max="3076" width="8.5" style="79" bestFit="1" customWidth="1"/>
    <col min="3077" max="3077" width="16.1640625" style="79" bestFit="1" customWidth="1"/>
    <col min="3078" max="3078" width="17.33203125" style="79" bestFit="1" customWidth="1"/>
    <col min="3079" max="3079" width="13.5" style="79" bestFit="1" customWidth="1"/>
    <col min="3080" max="3324" width="13.33203125" style="79"/>
    <col min="3325" max="3325" width="5.6640625" style="79" customWidth="1"/>
    <col min="3326" max="3326" width="8.83203125" style="79" bestFit="1" customWidth="1"/>
    <col min="3327" max="3327" width="43.83203125" style="79" bestFit="1" customWidth="1"/>
    <col min="3328" max="3328" width="12.1640625" style="79" bestFit="1" customWidth="1"/>
    <col min="3329" max="3329" width="15" style="79" bestFit="1" customWidth="1"/>
    <col min="3330" max="3331" width="10.1640625" style="79" customWidth="1"/>
    <col min="3332" max="3332" width="8.5" style="79" bestFit="1" customWidth="1"/>
    <col min="3333" max="3333" width="16.1640625" style="79" bestFit="1" customWidth="1"/>
    <col min="3334" max="3334" width="17.33203125" style="79" bestFit="1" customWidth="1"/>
    <col min="3335" max="3335" width="13.5" style="79" bestFit="1" customWidth="1"/>
    <col min="3336" max="3580" width="13.33203125" style="79"/>
    <col min="3581" max="3581" width="5.6640625" style="79" customWidth="1"/>
    <col min="3582" max="3582" width="8.83203125" style="79" bestFit="1" customWidth="1"/>
    <col min="3583" max="3583" width="43.83203125" style="79" bestFit="1" customWidth="1"/>
    <col min="3584" max="3584" width="12.1640625" style="79" bestFit="1" customWidth="1"/>
    <col min="3585" max="3585" width="15" style="79" bestFit="1" customWidth="1"/>
    <col min="3586" max="3587" width="10.1640625" style="79" customWidth="1"/>
    <col min="3588" max="3588" width="8.5" style="79" bestFit="1" customWidth="1"/>
    <col min="3589" max="3589" width="16.1640625" style="79" bestFit="1" customWidth="1"/>
    <col min="3590" max="3590" width="17.33203125" style="79" bestFit="1" customWidth="1"/>
    <col min="3591" max="3591" width="13.5" style="79" bestFit="1" customWidth="1"/>
    <col min="3592" max="3836" width="13.33203125" style="79"/>
    <col min="3837" max="3837" width="5.6640625" style="79" customWidth="1"/>
    <col min="3838" max="3838" width="8.83203125" style="79" bestFit="1" customWidth="1"/>
    <col min="3839" max="3839" width="43.83203125" style="79" bestFit="1" customWidth="1"/>
    <col min="3840" max="3840" width="12.1640625" style="79" bestFit="1" customWidth="1"/>
    <col min="3841" max="3841" width="15" style="79" bestFit="1" customWidth="1"/>
    <col min="3842" max="3843" width="10.1640625" style="79" customWidth="1"/>
    <col min="3844" max="3844" width="8.5" style="79" bestFit="1" customWidth="1"/>
    <col min="3845" max="3845" width="16.1640625" style="79" bestFit="1" customWidth="1"/>
    <col min="3846" max="3846" width="17.33203125" style="79" bestFit="1" customWidth="1"/>
    <col min="3847" max="3847" width="13.5" style="79" bestFit="1" customWidth="1"/>
    <col min="3848" max="4092" width="13.33203125" style="79"/>
    <col min="4093" max="4093" width="5.6640625" style="79" customWidth="1"/>
    <col min="4094" max="4094" width="8.83203125" style="79" bestFit="1" customWidth="1"/>
    <col min="4095" max="4095" width="43.83203125" style="79" bestFit="1" customWidth="1"/>
    <col min="4096" max="4096" width="12.1640625" style="79" bestFit="1" customWidth="1"/>
    <col min="4097" max="4097" width="15" style="79" bestFit="1" customWidth="1"/>
    <col min="4098" max="4099" width="10.1640625" style="79" customWidth="1"/>
    <col min="4100" max="4100" width="8.5" style="79" bestFit="1" customWidth="1"/>
    <col min="4101" max="4101" width="16.1640625" style="79" bestFit="1" customWidth="1"/>
    <col min="4102" max="4102" width="17.33203125" style="79" bestFit="1" customWidth="1"/>
    <col min="4103" max="4103" width="13.5" style="79" bestFit="1" customWidth="1"/>
    <col min="4104" max="4348" width="13.33203125" style="79"/>
    <col min="4349" max="4349" width="5.6640625" style="79" customWidth="1"/>
    <col min="4350" max="4350" width="8.83203125" style="79" bestFit="1" customWidth="1"/>
    <col min="4351" max="4351" width="43.83203125" style="79" bestFit="1" customWidth="1"/>
    <col min="4352" max="4352" width="12.1640625" style="79" bestFit="1" customWidth="1"/>
    <col min="4353" max="4353" width="15" style="79" bestFit="1" customWidth="1"/>
    <col min="4354" max="4355" width="10.1640625" style="79" customWidth="1"/>
    <col min="4356" max="4356" width="8.5" style="79" bestFit="1" customWidth="1"/>
    <col min="4357" max="4357" width="16.1640625" style="79" bestFit="1" customWidth="1"/>
    <col min="4358" max="4358" width="17.33203125" style="79" bestFit="1" customWidth="1"/>
    <col min="4359" max="4359" width="13.5" style="79" bestFit="1" customWidth="1"/>
    <col min="4360" max="4604" width="13.33203125" style="79"/>
    <col min="4605" max="4605" width="5.6640625" style="79" customWidth="1"/>
    <col min="4606" max="4606" width="8.83203125" style="79" bestFit="1" customWidth="1"/>
    <col min="4607" max="4607" width="43.83203125" style="79" bestFit="1" customWidth="1"/>
    <col min="4608" max="4608" width="12.1640625" style="79" bestFit="1" customWidth="1"/>
    <col min="4609" max="4609" width="15" style="79" bestFit="1" customWidth="1"/>
    <col min="4610" max="4611" width="10.1640625" style="79" customWidth="1"/>
    <col min="4612" max="4612" width="8.5" style="79" bestFit="1" customWidth="1"/>
    <col min="4613" max="4613" width="16.1640625" style="79" bestFit="1" customWidth="1"/>
    <col min="4614" max="4614" width="17.33203125" style="79" bestFit="1" customWidth="1"/>
    <col min="4615" max="4615" width="13.5" style="79" bestFit="1" customWidth="1"/>
    <col min="4616" max="4860" width="13.33203125" style="79"/>
    <col min="4861" max="4861" width="5.6640625" style="79" customWidth="1"/>
    <col min="4862" max="4862" width="8.83203125" style="79" bestFit="1" customWidth="1"/>
    <col min="4863" max="4863" width="43.83203125" style="79" bestFit="1" customWidth="1"/>
    <col min="4864" max="4864" width="12.1640625" style="79" bestFit="1" customWidth="1"/>
    <col min="4865" max="4865" width="15" style="79" bestFit="1" customWidth="1"/>
    <col min="4866" max="4867" width="10.1640625" style="79" customWidth="1"/>
    <col min="4868" max="4868" width="8.5" style="79" bestFit="1" customWidth="1"/>
    <col min="4869" max="4869" width="16.1640625" style="79" bestFit="1" customWidth="1"/>
    <col min="4870" max="4870" width="17.33203125" style="79" bestFit="1" customWidth="1"/>
    <col min="4871" max="4871" width="13.5" style="79" bestFit="1" customWidth="1"/>
    <col min="4872" max="5116" width="13.33203125" style="79"/>
    <col min="5117" max="5117" width="5.6640625" style="79" customWidth="1"/>
    <col min="5118" max="5118" width="8.83203125" style="79" bestFit="1" customWidth="1"/>
    <col min="5119" max="5119" width="43.83203125" style="79" bestFit="1" customWidth="1"/>
    <col min="5120" max="5120" width="12.1640625" style="79" bestFit="1" customWidth="1"/>
    <col min="5121" max="5121" width="15" style="79" bestFit="1" customWidth="1"/>
    <col min="5122" max="5123" width="10.1640625" style="79" customWidth="1"/>
    <col min="5124" max="5124" width="8.5" style="79" bestFit="1" customWidth="1"/>
    <col min="5125" max="5125" width="16.1640625" style="79" bestFit="1" customWidth="1"/>
    <col min="5126" max="5126" width="17.33203125" style="79" bestFit="1" customWidth="1"/>
    <col min="5127" max="5127" width="13.5" style="79" bestFit="1" customWidth="1"/>
    <col min="5128" max="5372" width="13.33203125" style="79"/>
    <col min="5373" max="5373" width="5.6640625" style="79" customWidth="1"/>
    <col min="5374" max="5374" width="8.83203125" style="79" bestFit="1" customWidth="1"/>
    <col min="5375" max="5375" width="43.83203125" style="79" bestFit="1" customWidth="1"/>
    <col min="5376" max="5376" width="12.1640625" style="79" bestFit="1" customWidth="1"/>
    <col min="5377" max="5377" width="15" style="79" bestFit="1" customWidth="1"/>
    <col min="5378" max="5379" width="10.1640625" style="79" customWidth="1"/>
    <col min="5380" max="5380" width="8.5" style="79" bestFit="1" customWidth="1"/>
    <col min="5381" max="5381" width="16.1640625" style="79" bestFit="1" customWidth="1"/>
    <col min="5382" max="5382" width="17.33203125" style="79" bestFit="1" customWidth="1"/>
    <col min="5383" max="5383" width="13.5" style="79" bestFit="1" customWidth="1"/>
    <col min="5384" max="5628" width="13.33203125" style="79"/>
    <col min="5629" max="5629" width="5.6640625" style="79" customWidth="1"/>
    <col min="5630" max="5630" width="8.83203125" style="79" bestFit="1" customWidth="1"/>
    <col min="5631" max="5631" width="43.83203125" style="79" bestFit="1" customWidth="1"/>
    <col min="5632" max="5632" width="12.1640625" style="79" bestFit="1" customWidth="1"/>
    <col min="5633" max="5633" width="15" style="79" bestFit="1" customWidth="1"/>
    <col min="5634" max="5635" width="10.1640625" style="79" customWidth="1"/>
    <col min="5636" max="5636" width="8.5" style="79" bestFit="1" customWidth="1"/>
    <col min="5637" max="5637" width="16.1640625" style="79" bestFit="1" customWidth="1"/>
    <col min="5638" max="5638" width="17.33203125" style="79" bestFit="1" customWidth="1"/>
    <col min="5639" max="5639" width="13.5" style="79" bestFit="1" customWidth="1"/>
    <col min="5640" max="5884" width="13.33203125" style="79"/>
    <col min="5885" max="5885" width="5.6640625" style="79" customWidth="1"/>
    <col min="5886" max="5886" width="8.83203125" style="79" bestFit="1" customWidth="1"/>
    <col min="5887" max="5887" width="43.83203125" style="79" bestFit="1" customWidth="1"/>
    <col min="5888" max="5888" width="12.1640625" style="79" bestFit="1" customWidth="1"/>
    <col min="5889" max="5889" width="15" style="79" bestFit="1" customWidth="1"/>
    <col min="5890" max="5891" width="10.1640625" style="79" customWidth="1"/>
    <col min="5892" max="5892" width="8.5" style="79" bestFit="1" customWidth="1"/>
    <col min="5893" max="5893" width="16.1640625" style="79" bestFit="1" customWidth="1"/>
    <col min="5894" max="5894" width="17.33203125" style="79" bestFit="1" customWidth="1"/>
    <col min="5895" max="5895" width="13.5" style="79" bestFit="1" customWidth="1"/>
    <col min="5896" max="6140" width="13.33203125" style="79"/>
    <col min="6141" max="6141" width="5.6640625" style="79" customWidth="1"/>
    <col min="6142" max="6142" width="8.83203125" style="79" bestFit="1" customWidth="1"/>
    <col min="6143" max="6143" width="43.83203125" style="79" bestFit="1" customWidth="1"/>
    <col min="6144" max="6144" width="12.1640625" style="79" bestFit="1" customWidth="1"/>
    <col min="6145" max="6145" width="15" style="79" bestFit="1" customWidth="1"/>
    <col min="6146" max="6147" width="10.1640625" style="79" customWidth="1"/>
    <col min="6148" max="6148" width="8.5" style="79" bestFit="1" customWidth="1"/>
    <col min="6149" max="6149" width="16.1640625" style="79" bestFit="1" customWidth="1"/>
    <col min="6150" max="6150" width="17.33203125" style="79" bestFit="1" customWidth="1"/>
    <col min="6151" max="6151" width="13.5" style="79" bestFit="1" customWidth="1"/>
    <col min="6152" max="6396" width="13.33203125" style="79"/>
    <col min="6397" max="6397" width="5.6640625" style="79" customWidth="1"/>
    <col min="6398" max="6398" width="8.83203125" style="79" bestFit="1" customWidth="1"/>
    <col min="6399" max="6399" width="43.83203125" style="79" bestFit="1" customWidth="1"/>
    <col min="6400" max="6400" width="12.1640625" style="79" bestFit="1" customWidth="1"/>
    <col min="6401" max="6401" width="15" style="79" bestFit="1" customWidth="1"/>
    <col min="6402" max="6403" width="10.1640625" style="79" customWidth="1"/>
    <col min="6404" max="6404" width="8.5" style="79" bestFit="1" customWidth="1"/>
    <col min="6405" max="6405" width="16.1640625" style="79" bestFit="1" customWidth="1"/>
    <col min="6406" max="6406" width="17.33203125" style="79" bestFit="1" customWidth="1"/>
    <col min="6407" max="6407" width="13.5" style="79" bestFit="1" customWidth="1"/>
    <col min="6408" max="6652" width="13.33203125" style="79"/>
    <col min="6653" max="6653" width="5.6640625" style="79" customWidth="1"/>
    <col min="6654" max="6654" width="8.83203125" style="79" bestFit="1" customWidth="1"/>
    <col min="6655" max="6655" width="43.83203125" style="79" bestFit="1" customWidth="1"/>
    <col min="6656" max="6656" width="12.1640625" style="79" bestFit="1" customWidth="1"/>
    <col min="6657" max="6657" width="15" style="79" bestFit="1" customWidth="1"/>
    <col min="6658" max="6659" width="10.1640625" style="79" customWidth="1"/>
    <col min="6660" max="6660" width="8.5" style="79" bestFit="1" customWidth="1"/>
    <col min="6661" max="6661" width="16.1640625" style="79" bestFit="1" customWidth="1"/>
    <col min="6662" max="6662" width="17.33203125" style="79" bestFit="1" customWidth="1"/>
    <col min="6663" max="6663" width="13.5" style="79" bestFit="1" customWidth="1"/>
    <col min="6664" max="6908" width="13.33203125" style="79"/>
    <col min="6909" max="6909" width="5.6640625" style="79" customWidth="1"/>
    <col min="6910" max="6910" width="8.83203125" style="79" bestFit="1" customWidth="1"/>
    <col min="6911" max="6911" width="43.83203125" style="79" bestFit="1" customWidth="1"/>
    <col min="6912" max="6912" width="12.1640625" style="79" bestFit="1" customWidth="1"/>
    <col min="6913" max="6913" width="15" style="79" bestFit="1" customWidth="1"/>
    <col min="6914" max="6915" width="10.1640625" style="79" customWidth="1"/>
    <col min="6916" max="6916" width="8.5" style="79" bestFit="1" customWidth="1"/>
    <col min="6917" max="6917" width="16.1640625" style="79" bestFit="1" customWidth="1"/>
    <col min="6918" max="6918" width="17.33203125" style="79" bestFit="1" customWidth="1"/>
    <col min="6919" max="6919" width="13.5" style="79" bestFit="1" customWidth="1"/>
    <col min="6920" max="7164" width="13.33203125" style="79"/>
    <col min="7165" max="7165" width="5.6640625" style="79" customWidth="1"/>
    <col min="7166" max="7166" width="8.83203125" style="79" bestFit="1" customWidth="1"/>
    <col min="7167" max="7167" width="43.83203125" style="79" bestFit="1" customWidth="1"/>
    <col min="7168" max="7168" width="12.1640625" style="79" bestFit="1" customWidth="1"/>
    <col min="7169" max="7169" width="15" style="79" bestFit="1" customWidth="1"/>
    <col min="7170" max="7171" width="10.1640625" style="79" customWidth="1"/>
    <col min="7172" max="7172" width="8.5" style="79" bestFit="1" customWidth="1"/>
    <col min="7173" max="7173" width="16.1640625" style="79" bestFit="1" customWidth="1"/>
    <col min="7174" max="7174" width="17.33203125" style="79" bestFit="1" customWidth="1"/>
    <col min="7175" max="7175" width="13.5" style="79" bestFit="1" customWidth="1"/>
    <col min="7176" max="7420" width="13.33203125" style="79"/>
    <col min="7421" max="7421" width="5.6640625" style="79" customWidth="1"/>
    <col min="7422" max="7422" width="8.83203125" style="79" bestFit="1" customWidth="1"/>
    <col min="7423" max="7423" width="43.83203125" style="79" bestFit="1" customWidth="1"/>
    <col min="7424" max="7424" width="12.1640625" style="79" bestFit="1" customWidth="1"/>
    <col min="7425" max="7425" width="15" style="79" bestFit="1" customWidth="1"/>
    <col min="7426" max="7427" width="10.1640625" style="79" customWidth="1"/>
    <col min="7428" max="7428" width="8.5" style="79" bestFit="1" customWidth="1"/>
    <col min="7429" max="7429" width="16.1640625" style="79" bestFit="1" customWidth="1"/>
    <col min="7430" max="7430" width="17.33203125" style="79" bestFit="1" customWidth="1"/>
    <col min="7431" max="7431" width="13.5" style="79" bestFit="1" customWidth="1"/>
    <col min="7432" max="7676" width="13.33203125" style="79"/>
    <col min="7677" max="7677" width="5.6640625" style="79" customWidth="1"/>
    <col min="7678" max="7678" width="8.83203125" style="79" bestFit="1" customWidth="1"/>
    <col min="7679" max="7679" width="43.83203125" style="79" bestFit="1" customWidth="1"/>
    <col min="7680" max="7680" width="12.1640625" style="79" bestFit="1" customWidth="1"/>
    <col min="7681" max="7681" width="15" style="79" bestFit="1" customWidth="1"/>
    <col min="7682" max="7683" width="10.1640625" style="79" customWidth="1"/>
    <col min="7684" max="7684" width="8.5" style="79" bestFit="1" customWidth="1"/>
    <col min="7685" max="7685" width="16.1640625" style="79" bestFit="1" customWidth="1"/>
    <col min="7686" max="7686" width="17.33203125" style="79" bestFit="1" customWidth="1"/>
    <col min="7687" max="7687" width="13.5" style="79" bestFit="1" customWidth="1"/>
    <col min="7688" max="7932" width="13.33203125" style="79"/>
    <col min="7933" max="7933" width="5.6640625" style="79" customWidth="1"/>
    <col min="7934" max="7934" width="8.83203125" style="79" bestFit="1" customWidth="1"/>
    <col min="7935" max="7935" width="43.83203125" style="79" bestFit="1" customWidth="1"/>
    <col min="7936" max="7936" width="12.1640625" style="79" bestFit="1" customWidth="1"/>
    <col min="7937" max="7937" width="15" style="79" bestFit="1" customWidth="1"/>
    <col min="7938" max="7939" width="10.1640625" style="79" customWidth="1"/>
    <col min="7940" max="7940" width="8.5" style="79" bestFit="1" customWidth="1"/>
    <col min="7941" max="7941" width="16.1640625" style="79" bestFit="1" customWidth="1"/>
    <col min="7942" max="7942" width="17.33203125" style="79" bestFit="1" customWidth="1"/>
    <col min="7943" max="7943" width="13.5" style="79" bestFit="1" customWidth="1"/>
    <col min="7944" max="8188" width="13.33203125" style="79"/>
    <col min="8189" max="8189" width="5.6640625" style="79" customWidth="1"/>
    <col min="8190" max="8190" width="8.83203125" style="79" bestFit="1" customWidth="1"/>
    <col min="8191" max="8191" width="43.83203125" style="79" bestFit="1" customWidth="1"/>
    <col min="8192" max="8192" width="12.1640625" style="79" bestFit="1" customWidth="1"/>
    <col min="8193" max="8193" width="15" style="79" bestFit="1" customWidth="1"/>
    <col min="8194" max="8195" width="10.1640625" style="79" customWidth="1"/>
    <col min="8196" max="8196" width="8.5" style="79" bestFit="1" customWidth="1"/>
    <col min="8197" max="8197" width="16.1640625" style="79" bestFit="1" customWidth="1"/>
    <col min="8198" max="8198" width="17.33203125" style="79" bestFit="1" customWidth="1"/>
    <col min="8199" max="8199" width="13.5" style="79" bestFit="1" customWidth="1"/>
    <col min="8200" max="8444" width="13.33203125" style="79"/>
    <col min="8445" max="8445" width="5.6640625" style="79" customWidth="1"/>
    <col min="8446" max="8446" width="8.83203125" style="79" bestFit="1" customWidth="1"/>
    <col min="8447" max="8447" width="43.83203125" style="79" bestFit="1" customWidth="1"/>
    <col min="8448" max="8448" width="12.1640625" style="79" bestFit="1" customWidth="1"/>
    <col min="8449" max="8449" width="15" style="79" bestFit="1" customWidth="1"/>
    <col min="8450" max="8451" width="10.1640625" style="79" customWidth="1"/>
    <col min="8452" max="8452" width="8.5" style="79" bestFit="1" customWidth="1"/>
    <col min="8453" max="8453" width="16.1640625" style="79" bestFit="1" customWidth="1"/>
    <col min="8454" max="8454" width="17.33203125" style="79" bestFit="1" customWidth="1"/>
    <col min="8455" max="8455" width="13.5" style="79" bestFit="1" customWidth="1"/>
    <col min="8456" max="8700" width="13.33203125" style="79"/>
    <col min="8701" max="8701" width="5.6640625" style="79" customWidth="1"/>
    <col min="8702" max="8702" width="8.83203125" style="79" bestFit="1" customWidth="1"/>
    <col min="8703" max="8703" width="43.83203125" style="79" bestFit="1" customWidth="1"/>
    <col min="8704" max="8704" width="12.1640625" style="79" bestFit="1" customWidth="1"/>
    <col min="8705" max="8705" width="15" style="79" bestFit="1" customWidth="1"/>
    <col min="8706" max="8707" width="10.1640625" style="79" customWidth="1"/>
    <col min="8708" max="8708" width="8.5" style="79" bestFit="1" customWidth="1"/>
    <col min="8709" max="8709" width="16.1640625" style="79" bestFit="1" customWidth="1"/>
    <col min="8710" max="8710" width="17.33203125" style="79" bestFit="1" customWidth="1"/>
    <col min="8711" max="8711" width="13.5" style="79" bestFit="1" customWidth="1"/>
    <col min="8712" max="8956" width="13.33203125" style="79"/>
    <col min="8957" max="8957" width="5.6640625" style="79" customWidth="1"/>
    <col min="8958" max="8958" width="8.83203125" style="79" bestFit="1" customWidth="1"/>
    <col min="8959" max="8959" width="43.83203125" style="79" bestFit="1" customWidth="1"/>
    <col min="8960" max="8960" width="12.1640625" style="79" bestFit="1" customWidth="1"/>
    <col min="8961" max="8961" width="15" style="79" bestFit="1" customWidth="1"/>
    <col min="8962" max="8963" width="10.1640625" style="79" customWidth="1"/>
    <col min="8964" max="8964" width="8.5" style="79" bestFit="1" customWidth="1"/>
    <col min="8965" max="8965" width="16.1640625" style="79" bestFit="1" customWidth="1"/>
    <col min="8966" max="8966" width="17.33203125" style="79" bestFit="1" customWidth="1"/>
    <col min="8967" max="8967" width="13.5" style="79" bestFit="1" customWidth="1"/>
    <col min="8968" max="9212" width="13.33203125" style="79"/>
    <col min="9213" max="9213" width="5.6640625" style="79" customWidth="1"/>
    <col min="9214" max="9214" width="8.83203125" style="79" bestFit="1" customWidth="1"/>
    <col min="9215" max="9215" width="43.83203125" style="79" bestFit="1" customWidth="1"/>
    <col min="9216" max="9216" width="12.1640625" style="79" bestFit="1" customWidth="1"/>
    <col min="9217" max="9217" width="15" style="79" bestFit="1" customWidth="1"/>
    <col min="9218" max="9219" width="10.1640625" style="79" customWidth="1"/>
    <col min="9220" max="9220" width="8.5" style="79" bestFit="1" customWidth="1"/>
    <col min="9221" max="9221" width="16.1640625" style="79" bestFit="1" customWidth="1"/>
    <col min="9222" max="9222" width="17.33203125" style="79" bestFit="1" customWidth="1"/>
    <col min="9223" max="9223" width="13.5" style="79" bestFit="1" customWidth="1"/>
    <col min="9224" max="9468" width="13.33203125" style="79"/>
    <col min="9469" max="9469" width="5.6640625" style="79" customWidth="1"/>
    <col min="9470" max="9470" width="8.83203125" style="79" bestFit="1" customWidth="1"/>
    <col min="9471" max="9471" width="43.83203125" style="79" bestFit="1" customWidth="1"/>
    <col min="9472" max="9472" width="12.1640625" style="79" bestFit="1" customWidth="1"/>
    <col min="9473" max="9473" width="15" style="79" bestFit="1" customWidth="1"/>
    <col min="9474" max="9475" width="10.1640625" style="79" customWidth="1"/>
    <col min="9476" max="9476" width="8.5" style="79" bestFit="1" customWidth="1"/>
    <col min="9477" max="9477" width="16.1640625" style="79" bestFit="1" customWidth="1"/>
    <col min="9478" max="9478" width="17.33203125" style="79" bestFit="1" customWidth="1"/>
    <col min="9479" max="9479" width="13.5" style="79" bestFit="1" customWidth="1"/>
    <col min="9480" max="9724" width="13.33203125" style="79"/>
    <col min="9725" max="9725" width="5.6640625" style="79" customWidth="1"/>
    <col min="9726" max="9726" width="8.83203125" style="79" bestFit="1" customWidth="1"/>
    <col min="9727" max="9727" width="43.83203125" style="79" bestFit="1" customWidth="1"/>
    <col min="9728" max="9728" width="12.1640625" style="79" bestFit="1" customWidth="1"/>
    <col min="9729" max="9729" width="15" style="79" bestFit="1" customWidth="1"/>
    <col min="9730" max="9731" width="10.1640625" style="79" customWidth="1"/>
    <col min="9732" max="9732" width="8.5" style="79" bestFit="1" customWidth="1"/>
    <col min="9733" max="9733" width="16.1640625" style="79" bestFit="1" customWidth="1"/>
    <col min="9734" max="9734" width="17.33203125" style="79" bestFit="1" customWidth="1"/>
    <col min="9735" max="9735" width="13.5" style="79" bestFit="1" customWidth="1"/>
    <col min="9736" max="9980" width="13.33203125" style="79"/>
    <col min="9981" max="9981" width="5.6640625" style="79" customWidth="1"/>
    <col min="9982" max="9982" width="8.83203125" style="79" bestFit="1" customWidth="1"/>
    <col min="9983" max="9983" width="43.83203125" style="79" bestFit="1" customWidth="1"/>
    <col min="9984" max="9984" width="12.1640625" style="79" bestFit="1" customWidth="1"/>
    <col min="9985" max="9985" width="15" style="79" bestFit="1" customWidth="1"/>
    <col min="9986" max="9987" width="10.1640625" style="79" customWidth="1"/>
    <col min="9988" max="9988" width="8.5" style="79" bestFit="1" customWidth="1"/>
    <col min="9989" max="9989" width="16.1640625" style="79" bestFit="1" customWidth="1"/>
    <col min="9990" max="9990" width="17.33203125" style="79" bestFit="1" customWidth="1"/>
    <col min="9991" max="9991" width="13.5" style="79" bestFit="1" customWidth="1"/>
    <col min="9992" max="10236" width="13.33203125" style="79"/>
    <col min="10237" max="10237" width="5.6640625" style="79" customWidth="1"/>
    <col min="10238" max="10238" width="8.83203125" style="79" bestFit="1" customWidth="1"/>
    <col min="10239" max="10239" width="43.83203125" style="79" bestFit="1" customWidth="1"/>
    <col min="10240" max="10240" width="12.1640625" style="79" bestFit="1" customWidth="1"/>
    <col min="10241" max="10241" width="15" style="79" bestFit="1" customWidth="1"/>
    <col min="10242" max="10243" width="10.1640625" style="79" customWidth="1"/>
    <col min="10244" max="10244" width="8.5" style="79" bestFit="1" customWidth="1"/>
    <col min="10245" max="10245" width="16.1640625" style="79" bestFit="1" customWidth="1"/>
    <col min="10246" max="10246" width="17.33203125" style="79" bestFit="1" customWidth="1"/>
    <col min="10247" max="10247" width="13.5" style="79" bestFit="1" customWidth="1"/>
    <col min="10248" max="10492" width="13.33203125" style="79"/>
    <col min="10493" max="10493" width="5.6640625" style="79" customWidth="1"/>
    <col min="10494" max="10494" width="8.83203125" style="79" bestFit="1" customWidth="1"/>
    <col min="10495" max="10495" width="43.83203125" style="79" bestFit="1" customWidth="1"/>
    <col min="10496" max="10496" width="12.1640625" style="79" bestFit="1" customWidth="1"/>
    <col min="10497" max="10497" width="15" style="79" bestFit="1" customWidth="1"/>
    <col min="10498" max="10499" width="10.1640625" style="79" customWidth="1"/>
    <col min="10500" max="10500" width="8.5" style="79" bestFit="1" customWidth="1"/>
    <col min="10501" max="10501" width="16.1640625" style="79" bestFit="1" customWidth="1"/>
    <col min="10502" max="10502" width="17.33203125" style="79" bestFit="1" customWidth="1"/>
    <col min="10503" max="10503" width="13.5" style="79" bestFit="1" customWidth="1"/>
    <col min="10504" max="10748" width="13.33203125" style="79"/>
    <col min="10749" max="10749" width="5.6640625" style="79" customWidth="1"/>
    <col min="10750" max="10750" width="8.83203125" style="79" bestFit="1" customWidth="1"/>
    <col min="10751" max="10751" width="43.83203125" style="79" bestFit="1" customWidth="1"/>
    <col min="10752" max="10752" width="12.1640625" style="79" bestFit="1" customWidth="1"/>
    <col min="10753" max="10753" width="15" style="79" bestFit="1" customWidth="1"/>
    <col min="10754" max="10755" width="10.1640625" style="79" customWidth="1"/>
    <col min="10756" max="10756" width="8.5" style="79" bestFit="1" customWidth="1"/>
    <col min="10757" max="10757" width="16.1640625" style="79" bestFit="1" customWidth="1"/>
    <col min="10758" max="10758" width="17.33203125" style="79" bestFit="1" customWidth="1"/>
    <col min="10759" max="10759" width="13.5" style="79" bestFit="1" customWidth="1"/>
    <col min="10760" max="11004" width="13.33203125" style="79"/>
    <col min="11005" max="11005" width="5.6640625" style="79" customWidth="1"/>
    <col min="11006" max="11006" width="8.83203125" style="79" bestFit="1" customWidth="1"/>
    <col min="11007" max="11007" width="43.83203125" style="79" bestFit="1" customWidth="1"/>
    <col min="11008" max="11008" width="12.1640625" style="79" bestFit="1" customWidth="1"/>
    <col min="11009" max="11009" width="15" style="79" bestFit="1" customWidth="1"/>
    <col min="11010" max="11011" width="10.1640625" style="79" customWidth="1"/>
    <col min="11012" max="11012" width="8.5" style="79" bestFit="1" customWidth="1"/>
    <col min="11013" max="11013" width="16.1640625" style="79" bestFit="1" customWidth="1"/>
    <col min="11014" max="11014" width="17.33203125" style="79" bestFit="1" customWidth="1"/>
    <col min="11015" max="11015" width="13.5" style="79" bestFit="1" customWidth="1"/>
    <col min="11016" max="11260" width="13.33203125" style="79"/>
    <col min="11261" max="11261" width="5.6640625" style="79" customWidth="1"/>
    <col min="11262" max="11262" width="8.83203125" style="79" bestFit="1" customWidth="1"/>
    <col min="11263" max="11263" width="43.83203125" style="79" bestFit="1" customWidth="1"/>
    <col min="11264" max="11264" width="12.1640625" style="79" bestFit="1" customWidth="1"/>
    <col min="11265" max="11265" width="15" style="79" bestFit="1" customWidth="1"/>
    <col min="11266" max="11267" width="10.1640625" style="79" customWidth="1"/>
    <col min="11268" max="11268" width="8.5" style="79" bestFit="1" customWidth="1"/>
    <col min="11269" max="11269" width="16.1640625" style="79" bestFit="1" customWidth="1"/>
    <col min="11270" max="11270" width="17.33203125" style="79" bestFit="1" customWidth="1"/>
    <col min="11271" max="11271" width="13.5" style="79" bestFit="1" customWidth="1"/>
    <col min="11272" max="11516" width="13.33203125" style="79"/>
    <col min="11517" max="11517" width="5.6640625" style="79" customWidth="1"/>
    <col min="11518" max="11518" width="8.83203125" style="79" bestFit="1" customWidth="1"/>
    <col min="11519" max="11519" width="43.83203125" style="79" bestFit="1" customWidth="1"/>
    <col min="11520" max="11520" width="12.1640625" style="79" bestFit="1" customWidth="1"/>
    <col min="11521" max="11521" width="15" style="79" bestFit="1" customWidth="1"/>
    <col min="11522" max="11523" width="10.1640625" style="79" customWidth="1"/>
    <col min="11524" max="11524" width="8.5" style="79" bestFit="1" customWidth="1"/>
    <col min="11525" max="11525" width="16.1640625" style="79" bestFit="1" customWidth="1"/>
    <col min="11526" max="11526" width="17.33203125" style="79" bestFit="1" customWidth="1"/>
    <col min="11527" max="11527" width="13.5" style="79" bestFit="1" customWidth="1"/>
    <col min="11528" max="11772" width="13.33203125" style="79"/>
    <col min="11773" max="11773" width="5.6640625" style="79" customWidth="1"/>
    <col min="11774" max="11774" width="8.83203125" style="79" bestFit="1" customWidth="1"/>
    <col min="11775" max="11775" width="43.83203125" style="79" bestFit="1" customWidth="1"/>
    <col min="11776" max="11776" width="12.1640625" style="79" bestFit="1" customWidth="1"/>
    <col min="11777" max="11777" width="15" style="79" bestFit="1" customWidth="1"/>
    <col min="11778" max="11779" width="10.1640625" style="79" customWidth="1"/>
    <col min="11780" max="11780" width="8.5" style="79" bestFit="1" customWidth="1"/>
    <col min="11781" max="11781" width="16.1640625" style="79" bestFit="1" customWidth="1"/>
    <col min="11782" max="11782" width="17.33203125" style="79" bestFit="1" customWidth="1"/>
    <col min="11783" max="11783" width="13.5" style="79" bestFit="1" customWidth="1"/>
    <col min="11784" max="12028" width="13.33203125" style="79"/>
    <col min="12029" max="12029" width="5.6640625" style="79" customWidth="1"/>
    <col min="12030" max="12030" width="8.83203125" style="79" bestFit="1" customWidth="1"/>
    <col min="12031" max="12031" width="43.83203125" style="79" bestFit="1" customWidth="1"/>
    <col min="12032" max="12032" width="12.1640625" style="79" bestFit="1" customWidth="1"/>
    <col min="12033" max="12033" width="15" style="79" bestFit="1" customWidth="1"/>
    <col min="12034" max="12035" width="10.1640625" style="79" customWidth="1"/>
    <col min="12036" max="12036" width="8.5" style="79" bestFit="1" customWidth="1"/>
    <col min="12037" max="12037" width="16.1640625" style="79" bestFit="1" customWidth="1"/>
    <col min="12038" max="12038" width="17.33203125" style="79" bestFit="1" customWidth="1"/>
    <col min="12039" max="12039" width="13.5" style="79" bestFit="1" customWidth="1"/>
    <col min="12040" max="12284" width="13.33203125" style="79"/>
    <col min="12285" max="12285" width="5.6640625" style="79" customWidth="1"/>
    <col min="12286" max="12286" width="8.83203125" style="79" bestFit="1" customWidth="1"/>
    <col min="12287" max="12287" width="43.83203125" style="79" bestFit="1" customWidth="1"/>
    <col min="12288" max="12288" width="12.1640625" style="79" bestFit="1" customWidth="1"/>
    <col min="12289" max="12289" width="15" style="79" bestFit="1" customWidth="1"/>
    <col min="12290" max="12291" width="10.1640625" style="79" customWidth="1"/>
    <col min="12292" max="12292" width="8.5" style="79" bestFit="1" customWidth="1"/>
    <col min="12293" max="12293" width="16.1640625" style="79" bestFit="1" customWidth="1"/>
    <col min="12294" max="12294" width="17.33203125" style="79" bestFit="1" customWidth="1"/>
    <col min="12295" max="12295" width="13.5" style="79" bestFit="1" customWidth="1"/>
    <col min="12296" max="12540" width="13.33203125" style="79"/>
    <col min="12541" max="12541" width="5.6640625" style="79" customWidth="1"/>
    <col min="12542" max="12542" width="8.83203125" style="79" bestFit="1" customWidth="1"/>
    <col min="12543" max="12543" width="43.83203125" style="79" bestFit="1" customWidth="1"/>
    <col min="12544" max="12544" width="12.1640625" style="79" bestFit="1" customWidth="1"/>
    <col min="12545" max="12545" width="15" style="79" bestFit="1" customWidth="1"/>
    <col min="12546" max="12547" width="10.1640625" style="79" customWidth="1"/>
    <col min="12548" max="12548" width="8.5" style="79" bestFit="1" customWidth="1"/>
    <col min="12549" max="12549" width="16.1640625" style="79" bestFit="1" customWidth="1"/>
    <col min="12550" max="12550" width="17.33203125" style="79" bestFit="1" customWidth="1"/>
    <col min="12551" max="12551" width="13.5" style="79" bestFit="1" customWidth="1"/>
    <col min="12552" max="12796" width="13.33203125" style="79"/>
    <col min="12797" max="12797" width="5.6640625" style="79" customWidth="1"/>
    <col min="12798" max="12798" width="8.83203125" style="79" bestFit="1" customWidth="1"/>
    <col min="12799" max="12799" width="43.83203125" style="79" bestFit="1" customWidth="1"/>
    <col min="12800" max="12800" width="12.1640625" style="79" bestFit="1" customWidth="1"/>
    <col min="12801" max="12801" width="15" style="79" bestFit="1" customWidth="1"/>
    <col min="12802" max="12803" width="10.1640625" style="79" customWidth="1"/>
    <col min="12804" max="12804" width="8.5" style="79" bestFit="1" customWidth="1"/>
    <col min="12805" max="12805" width="16.1640625" style="79" bestFit="1" customWidth="1"/>
    <col min="12806" max="12806" width="17.33203125" style="79" bestFit="1" customWidth="1"/>
    <col min="12807" max="12807" width="13.5" style="79" bestFit="1" customWidth="1"/>
    <col min="12808" max="13052" width="13.33203125" style="79"/>
    <col min="13053" max="13053" width="5.6640625" style="79" customWidth="1"/>
    <col min="13054" max="13054" width="8.83203125" style="79" bestFit="1" customWidth="1"/>
    <col min="13055" max="13055" width="43.83203125" style="79" bestFit="1" customWidth="1"/>
    <col min="13056" max="13056" width="12.1640625" style="79" bestFit="1" customWidth="1"/>
    <col min="13057" max="13057" width="15" style="79" bestFit="1" customWidth="1"/>
    <col min="13058" max="13059" width="10.1640625" style="79" customWidth="1"/>
    <col min="13060" max="13060" width="8.5" style="79" bestFit="1" customWidth="1"/>
    <col min="13061" max="13061" width="16.1640625" style="79" bestFit="1" customWidth="1"/>
    <col min="13062" max="13062" width="17.33203125" style="79" bestFit="1" customWidth="1"/>
    <col min="13063" max="13063" width="13.5" style="79" bestFit="1" customWidth="1"/>
    <col min="13064" max="13308" width="13.33203125" style="79"/>
    <col min="13309" max="13309" width="5.6640625" style="79" customWidth="1"/>
    <col min="13310" max="13310" width="8.83203125" style="79" bestFit="1" customWidth="1"/>
    <col min="13311" max="13311" width="43.83203125" style="79" bestFit="1" customWidth="1"/>
    <col min="13312" max="13312" width="12.1640625" style="79" bestFit="1" customWidth="1"/>
    <col min="13313" max="13313" width="15" style="79" bestFit="1" customWidth="1"/>
    <col min="13314" max="13315" width="10.1640625" style="79" customWidth="1"/>
    <col min="13316" max="13316" width="8.5" style="79" bestFit="1" customWidth="1"/>
    <col min="13317" max="13317" width="16.1640625" style="79" bestFit="1" customWidth="1"/>
    <col min="13318" max="13318" width="17.33203125" style="79" bestFit="1" customWidth="1"/>
    <col min="13319" max="13319" width="13.5" style="79" bestFit="1" customWidth="1"/>
    <col min="13320" max="13564" width="13.33203125" style="79"/>
    <col min="13565" max="13565" width="5.6640625" style="79" customWidth="1"/>
    <col min="13566" max="13566" width="8.83203125" style="79" bestFit="1" customWidth="1"/>
    <col min="13567" max="13567" width="43.83203125" style="79" bestFit="1" customWidth="1"/>
    <col min="13568" max="13568" width="12.1640625" style="79" bestFit="1" customWidth="1"/>
    <col min="13569" max="13569" width="15" style="79" bestFit="1" customWidth="1"/>
    <col min="13570" max="13571" width="10.1640625" style="79" customWidth="1"/>
    <col min="13572" max="13572" width="8.5" style="79" bestFit="1" customWidth="1"/>
    <col min="13573" max="13573" width="16.1640625" style="79" bestFit="1" customWidth="1"/>
    <col min="13574" max="13574" width="17.33203125" style="79" bestFit="1" customWidth="1"/>
    <col min="13575" max="13575" width="13.5" style="79" bestFit="1" customWidth="1"/>
    <col min="13576" max="13820" width="13.33203125" style="79"/>
    <col min="13821" max="13821" width="5.6640625" style="79" customWidth="1"/>
    <col min="13822" max="13822" width="8.83203125" style="79" bestFit="1" customWidth="1"/>
    <col min="13823" max="13823" width="43.83203125" style="79" bestFit="1" customWidth="1"/>
    <col min="13824" max="13824" width="12.1640625" style="79" bestFit="1" customWidth="1"/>
    <col min="13825" max="13825" width="15" style="79" bestFit="1" customWidth="1"/>
    <col min="13826" max="13827" width="10.1640625" style="79" customWidth="1"/>
    <col min="13828" max="13828" width="8.5" style="79" bestFit="1" customWidth="1"/>
    <col min="13829" max="13829" width="16.1640625" style="79" bestFit="1" customWidth="1"/>
    <col min="13830" max="13830" width="17.33203125" style="79" bestFit="1" customWidth="1"/>
    <col min="13831" max="13831" width="13.5" style="79" bestFit="1" customWidth="1"/>
    <col min="13832" max="14076" width="13.33203125" style="79"/>
    <col min="14077" max="14077" width="5.6640625" style="79" customWidth="1"/>
    <col min="14078" max="14078" width="8.83203125" style="79" bestFit="1" customWidth="1"/>
    <col min="14079" max="14079" width="43.83203125" style="79" bestFit="1" customWidth="1"/>
    <col min="14080" max="14080" width="12.1640625" style="79" bestFit="1" customWidth="1"/>
    <col min="14081" max="14081" width="15" style="79" bestFit="1" customWidth="1"/>
    <col min="14082" max="14083" width="10.1640625" style="79" customWidth="1"/>
    <col min="14084" max="14084" width="8.5" style="79" bestFit="1" customWidth="1"/>
    <col min="14085" max="14085" width="16.1640625" style="79" bestFit="1" customWidth="1"/>
    <col min="14086" max="14086" width="17.33203125" style="79" bestFit="1" customWidth="1"/>
    <col min="14087" max="14087" width="13.5" style="79" bestFit="1" customWidth="1"/>
    <col min="14088" max="14332" width="13.33203125" style="79"/>
    <col min="14333" max="14333" width="5.6640625" style="79" customWidth="1"/>
    <col min="14334" max="14334" width="8.83203125" style="79" bestFit="1" customWidth="1"/>
    <col min="14335" max="14335" width="43.83203125" style="79" bestFit="1" customWidth="1"/>
    <col min="14336" max="14336" width="12.1640625" style="79" bestFit="1" customWidth="1"/>
    <col min="14337" max="14337" width="15" style="79" bestFit="1" customWidth="1"/>
    <col min="14338" max="14339" width="10.1640625" style="79" customWidth="1"/>
    <col min="14340" max="14340" width="8.5" style="79" bestFit="1" customWidth="1"/>
    <col min="14341" max="14341" width="16.1640625" style="79" bestFit="1" customWidth="1"/>
    <col min="14342" max="14342" width="17.33203125" style="79" bestFit="1" customWidth="1"/>
    <col min="14343" max="14343" width="13.5" style="79" bestFit="1" customWidth="1"/>
    <col min="14344" max="14588" width="13.33203125" style="79"/>
    <col min="14589" max="14589" width="5.6640625" style="79" customWidth="1"/>
    <col min="14590" max="14590" width="8.83203125" style="79" bestFit="1" customWidth="1"/>
    <col min="14591" max="14591" width="43.83203125" style="79" bestFit="1" customWidth="1"/>
    <col min="14592" max="14592" width="12.1640625" style="79" bestFit="1" customWidth="1"/>
    <col min="14593" max="14593" width="15" style="79" bestFit="1" customWidth="1"/>
    <col min="14594" max="14595" width="10.1640625" style="79" customWidth="1"/>
    <col min="14596" max="14596" width="8.5" style="79" bestFit="1" customWidth="1"/>
    <col min="14597" max="14597" width="16.1640625" style="79" bestFit="1" customWidth="1"/>
    <col min="14598" max="14598" width="17.33203125" style="79" bestFit="1" customWidth="1"/>
    <col min="14599" max="14599" width="13.5" style="79" bestFit="1" customWidth="1"/>
    <col min="14600" max="14844" width="13.33203125" style="79"/>
    <col min="14845" max="14845" width="5.6640625" style="79" customWidth="1"/>
    <col min="14846" max="14846" width="8.83203125" style="79" bestFit="1" customWidth="1"/>
    <col min="14847" max="14847" width="43.83203125" style="79" bestFit="1" customWidth="1"/>
    <col min="14848" max="14848" width="12.1640625" style="79" bestFit="1" customWidth="1"/>
    <col min="14849" max="14849" width="15" style="79" bestFit="1" customWidth="1"/>
    <col min="14850" max="14851" width="10.1640625" style="79" customWidth="1"/>
    <col min="14852" max="14852" width="8.5" style="79" bestFit="1" customWidth="1"/>
    <col min="14853" max="14853" width="16.1640625" style="79" bestFit="1" customWidth="1"/>
    <col min="14854" max="14854" width="17.33203125" style="79" bestFit="1" customWidth="1"/>
    <col min="14855" max="14855" width="13.5" style="79" bestFit="1" customWidth="1"/>
    <col min="14856" max="15100" width="13.33203125" style="79"/>
    <col min="15101" max="15101" width="5.6640625" style="79" customWidth="1"/>
    <col min="15102" max="15102" width="8.83203125" style="79" bestFit="1" customWidth="1"/>
    <col min="15103" max="15103" width="43.83203125" style="79" bestFit="1" customWidth="1"/>
    <col min="15104" max="15104" width="12.1640625" style="79" bestFit="1" customWidth="1"/>
    <col min="15105" max="15105" width="15" style="79" bestFit="1" customWidth="1"/>
    <col min="15106" max="15107" width="10.1640625" style="79" customWidth="1"/>
    <col min="15108" max="15108" width="8.5" style="79" bestFit="1" customWidth="1"/>
    <col min="15109" max="15109" width="16.1640625" style="79" bestFit="1" customWidth="1"/>
    <col min="15110" max="15110" width="17.33203125" style="79" bestFit="1" customWidth="1"/>
    <col min="15111" max="15111" width="13.5" style="79" bestFit="1" customWidth="1"/>
    <col min="15112" max="15356" width="13.33203125" style="79"/>
    <col min="15357" max="15357" width="5.6640625" style="79" customWidth="1"/>
    <col min="15358" max="15358" width="8.83203125" style="79" bestFit="1" customWidth="1"/>
    <col min="15359" max="15359" width="43.83203125" style="79" bestFit="1" customWidth="1"/>
    <col min="15360" max="15360" width="12.1640625" style="79" bestFit="1" customWidth="1"/>
    <col min="15361" max="15361" width="15" style="79" bestFit="1" customWidth="1"/>
    <col min="15362" max="15363" width="10.1640625" style="79" customWidth="1"/>
    <col min="15364" max="15364" width="8.5" style="79" bestFit="1" customWidth="1"/>
    <col min="15365" max="15365" width="16.1640625" style="79" bestFit="1" customWidth="1"/>
    <col min="15366" max="15366" width="17.33203125" style="79" bestFit="1" customWidth="1"/>
    <col min="15367" max="15367" width="13.5" style="79" bestFit="1" customWidth="1"/>
    <col min="15368" max="15612" width="13.33203125" style="79"/>
    <col min="15613" max="15613" width="5.6640625" style="79" customWidth="1"/>
    <col min="15614" max="15614" width="8.83203125" style="79" bestFit="1" customWidth="1"/>
    <col min="15615" max="15615" width="43.83203125" style="79" bestFit="1" customWidth="1"/>
    <col min="15616" max="15616" width="12.1640625" style="79" bestFit="1" customWidth="1"/>
    <col min="15617" max="15617" width="15" style="79" bestFit="1" customWidth="1"/>
    <col min="15618" max="15619" width="10.1640625" style="79" customWidth="1"/>
    <col min="15620" max="15620" width="8.5" style="79" bestFit="1" customWidth="1"/>
    <col min="15621" max="15621" width="16.1640625" style="79" bestFit="1" customWidth="1"/>
    <col min="15622" max="15622" width="17.33203125" style="79" bestFit="1" customWidth="1"/>
    <col min="15623" max="15623" width="13.5" style="79" bestFit="1" customWidth="1"/>
    <col min="15624" max="15868" width="13.33203125" style="79"/>
    <col min="15869" max="15869" width="5.6640625" style="79" customWidth="1"/>
    <col min="15870" max="15870" width="8.83203125" style="79" bestFit="1" customWidth="1"/>
    <col min="15871" max="15871" width="43.83203125" style="79" bestFit="1" customWidth="1"/>
    <col min="15872" max="15872" width="12.1640625" style="79" bestFit="1" customWidth="1"/>
    <col min="15873" max="15873" width="15" style="79" bestFit="1" customWidth="1"/>
    <col min="15874" max="15875" width="10.1640625" style="79" customWidth="1"/>
    <col min="15876" max="15876" width="8.5" style="79" bestFit="1" customWidth="1"/>
    <col min="15877" max="15877" width="16.1640625" style="79" bestFit="1" customWidth="1"/>
    <col min="15878" max="15878" width="17.33203125" style="79" bestFit="1" customWidth="1"/>
    <col min="15879" max="15879" width="13.5" style="79" bestFit="1" customWidth="1"/>
    <col min="15880" max="16124" width="13.33203125" style="79"/>
    <col min="16125" max="16125" width="5.6640625" style="79" customWidth="1"/>
    <col min="16126" max="16126" width="8.83203125" style="79" bestFit="1" customWidth="1"/>
    <col min="16127" max="16127" width="43.83203125" style="79" bestFit="1" customWidth="1"/>
    <col min="16128" max="16128" width="12.1640625" style="79" bestFit="1" customWidth="1"/>
    <col min="16129" max="16129" width="15" style="79" bestFit="1" customWidth="1"/>
    <col min="16130" max="16131" width="10.1640625" style="79" customWidth="1"/>
    <col min="16132" max="16132" width="8.5" style="79" bestFit="1" customWidth="1"/>
    <col min="16133" max="16133" width="16.1640625" style="79" bestFit="1" customWidth="1"/>
    <col min="16134" max="16134" width="17.33203125" style="79" bestFit="1" customWidth="1"/>
    <col min="16135" max="16135" width="13.5" style="79" bestFit="1" customWidth="1"/>
    <col min="16136" max="16384" width="12" style="79"/>
  </cols>
  <sheetData>
    <row r="1" spans="1:11" s="154" customFormat="1" ht="15" customHeight="1">
      <c r="A1" s="102"/>
      <c r="B1" s="102"/>
      <c r="C1" s="102"/>
      <c r="D1" s="102" t="s">
        <v>66</v>
      </c>
      <c r="E1" s="102" t="s">
        <v>90</v>
      </c>
      <c r="F1" s="103" t="s">
        <v>1513</v>
      </c>
      <c r="G1" s="102"/>
      <c r="H1" s="103" t="s">
        <v>1527</v>
      </c>
      <c r="I1" s="102"/>
      <c r="J1" s="103" t="s">
        <v>1525</v>
      </c>
      <c r="K1" s="102"/>
    </row>
    <row r="2" spans="1:11" ht="15" customHeight="1">
      <c r="A2" s="63">
        <v>100</v>
      </c>
      <c r="B2" s="63"/>
      <c r="C2" s="62"/>
      <c r="D2" s="62" t="s">
        <v>2702</v>
      </c>
      <c r="E2" s="62"/>
      <c r="F2" s="65"/>
      <c r="G2" s="62"/>
      <c r="H2" s="558"/>
      <c r="I2" s="561"/>
      <c r="J2" s="65"/>
      <c r="K2" s="62"/>
    </row>
    <row r="3" spans="1:11" ht="15" customHeight="1">
      <c r="A3" s="78">
        <v>200</v>
      </c>
      <c r="B3" s="78"/>
      <c r="C3" s="59" t="s">
        <v>979</v>
      </c>
      <c r="D3" s="111" t="s">
        <v>980</v>
      </c>
      <c r="E3" s="56" t="s">
        <v>1145</v>
      </c>
      <c r="F3" s="115" t="e">
        <f>VLOOKUP("GK",Errichtungskosten,12,0)/VLOOKUP("BGF",Objektkenndaten,5,0)</f>
        <v>#DIV/0!</v>
      </c>
      <c r="G3" s="111" t="s">
        <v>981</v>
      </c>
      <c r="H3" s="115" t="e">
        <f>VLOOKUP("GK",Ergebnisse_Errichtung,7,0)/VLOOKUP("BGF",Objektkenndaten,5,0)</f>
        <v>#DIV/0!</v>
      </c>
      <c r="I3" s="111" t="s">
        <v>2590</v>
      </c>
      <c r="J3" s="115" t="e">
        <f>VLOOKUP("GK",Ergebnisse_Errichtung,13,0)/VLOOKUP("BGF",Objektkenndaten,5,0)</f>
        <v>#DIV/0!</v>
      </c>
      <c r="K3" s="111" t="s">
        <v>2593</v>
      </c>
    </row>
    <row r="4" spans="1:11" ht="15" customHeight="1">
      <c r="A4" s="78">
        <v>300</v>
      </c>
      <c r="B4" s="78"/>
      <c r="C4" s="59" t="s">
        <v>982</v>
      </c>
      <c r="D4" s="59" t="s">
        <v>983</v>
      </c>
      <c r="E4" s="56" t="s">
        <v>1146</v>
      </c>
      <c r="F4" s="115" t="e">
        <f>VLOOKUP("GK",Errichtungskosten,12,0)/VLOOKUP("NUE",Objektkenndaten,5,0)</f>
        <v>#DIV/0!</v>
      </c>
      <c r="G4" s="59" t="s">
        <v>984</v>
      </c>
      <c r="H4" s="115" t="e">
        <f>VLOOKUP("GK",Ergebnisse_Errichtung,7,0)/VLOOKUP("NUE",Objektkenndaten,5,0)</f>
        <v>#DIV/0!</v>
      </c>
      <c r="I4" s="59" t="s">
        <v>2591</v>
      </c>
      <c r="J4" s="115" t="e">
        <f>VLOOKUP("GK",Ergebnisse_Errichtung,13,0)/VLOOKUP("NUE",Objektkenndaten,5,0)</f>
        <v>#DIV/0!</v>
      </c>
      <c r="K4" s="59" t="s">
        <v>2594</v>
      </c>
    </row>
    <row r="5" spans="1:11" ht="15" customHeight="1">
      <c r="A5" s="63">
        <v>500</v>
      </c>
      <c r="B5" s="63"/>
      <c r="C5" s="62"/>
      <c r="D5" s="62" t="s">
        <v>2703</v>
      </c>
      <c r="E5" s="62"/>
      <c r="F5" s="65"/>
      <c r="G5" s="62"/>
      <c r="H5" s="558" t="s">
        <v>2706</v>
      </c>
      <c r="I5" s="561">
        <f>VLOOKUP("LEBENT",Allgemeine_Angaben,5,0)</f>
        <v>30</v>
      </c>
      <c r="J5" s="65"/>
      <c r="K5" s="62"/>
    </row>
    <row r="6" spans="1:11" ht="15" customHeight="1">
      <c r="A6" s="78">
        <v>600</v>
      </c>
      <c r="B6" s="78"/>
      <c r="C6" s="59" t="s">
        <v>985</v>
      </c>
      <c r="D6" s="59" t="s">
        <v>986</v>
      </c>
      <c r="E6" s="56" t="s">
        <v>1147</v>
      </c>
      <c r="F6" s="115" t="e">
        <f>VLOOKUP("LZK",Folgekosten,13,0)/VLOOKUP("BGF",Objektkenndaten,5,0)</f>
        <v>#N/A</v>
      </c>
      <c r="G6" s="59" t="s">
        <v>981</v>
      </c>
      <c r="H6" s="115" t="e">
        <f>VLOOKUP("LZK",Ergebnisse_Nutzung,23,0)/VLOOKUP("BGF",Objektkenndaten,5,0)</f>
        <v>#N/A</v>
      </c>
      <c r="I6" s="59" t="s">
        <v>2590</v>
      </c>
      <c r="J6" s="115" t="e">
        <f>VLOOKUP("LZK",Ergebnisse_Nutzung,29,0)/VLOOKUP("BGF",Objektkenndaten,5,0)</f>
        <v>#N/A</v>
      </c>
      <c r="K6" s="59" t="s">
        <v>2593</v>
      </c>
    </row>
    <row r="7" spans="1:11" ht="15" customHeight="1">
      <c r="A7" s="78">
        <v>700</v>
      </c>
      <c r="B7" s="78"/>
      <c r="C7" s="59" t="s">
        <v>987</v>
      </c>
      <c r="D7" s="59" t="s">
        <v>988</v>
      </c>
      <c r="E7" s="56" t="s">
        <v>1148</v>
      </c>
      <c r="F7" s="115" t="e">
        <f>VLOOKUP("LZK",Folgekosten,13,0)/VLOOKUP("NF",Objektkenndaten,5,0)</f>
        <v>#N/A</v>
      </c>
      <c r="G7" s="59" t="s">
        <v>981</v>
      </c>
      <c r="H7" s="115" t="e">
        <f>VLOOKUP("LZK",Ergebnisse_Nutzung,23,0)/VLOOKUP("NF",Objektkenndaten,5,0)</f>
        <v>#N/A</v>
      </c>
      <c r="I7" s="59" t="s">
        <v>2590</v>
      </c>
      <c r="J7" s="115" t="e">
        <f>VLOOKUP("LZK",Ergebnisse_Nutzung,29,0)/VLOOKUP("NF",Objektkenndaten,5,0)</f>
        <v>#N/A</v>
      </c>
      <c r="K7" s="59" t="s">
        <v>2593</v>
      </c>
    </row>
    <row r="8" spans="1:11" ht="15" customHeight="1">
      <c r="A8" s="78">
        <v>800</v>
      </c>
      <c r="B8" s="78"/>
      <c r="C8" s="59" t="s">
        <v>989</v>
      </c>
      <c r="D8" s="59" t="s">
        <v>990</v>
      </c>
      <c r="E8" s="56" t="s">
        <v>1149</v>
      </c>
      <c r="F8" s="115" t="e">
        <f>VLOOKUP("LZK",Folgekosten,13,0)/VLOOKUP("NUE",Objektkenndaten,5,0)</f>
        <v>#N/A</v>
      </c>
      <c r="G8" s="59" t="s">
        <v>984</v>
      </c>
      <c r="H8" s="115" t="e">
        <f>VLOOKUP("LZK",Ergebnisse_Nutzung,23,0)/VLOOKUP("NUE",Objektkenndaten,5,0)</f>
        <v>#N/A</v>
      </c>
      <c r="I8" s="59" t="s">
        <v>2591</v>
      </c>
      <c r="J8" s="115" t="e">
        <f>VLOOKUP("LZK",Ergebnisse_Nutzung,29,0)/VLOOKUP("NUE",Objektkenndaten,5,0)</f>
        <v>#N/A</v>
      </c>
      <c r="K8" s="59" t="s">
        <v>2594</v>
      </c>
    </row>
    <row r="9" spans="1:11" ht="15" customHeight="1">
      <c r="A9" s="78">
        <v>900</v>
      </c>
      <c r="B9" s="78"/>
      <c r="C9" s="59" t="s">
        <v>991</v>
      </c>
      <c r="D9" s="59" t="s">
        <v>992</v>
      </c>
      <c r="E9" s="56" t="s">
        <v>1150</v>
      </c>
      <c r="F9" s="115" t="e">
        <f>VLOOKUP("LZK",Folgekosten,13,0)/VLOOKUP("EK",Errichtungskosten,12,0)*100</f>
        <v>#N/A</v>
      </c>
      <c r="G9" s="59" t="s">
        <v>98</v>
      </c>
      <c r="H9" s="115" t="e">
        <f>VLOOKUP("LZK",Ergebnisse_Nutzung,23,0)/VLOOKUP("EK",Ergebnisse_Errichtung,7,0)*100</f>
        <v>#N/A</v>
      </c>
      <c r="I9" s="59" t="s">
        <v>98</v>
      </c>
      <c r="J9" s="115" t="e">
        <f>VLOOKUP("LZK",Ergebnisse_Nutzung,29,0)/VLOOKUP("EK",Ergebnisse_Errichtung,13,0)*100</f>
        <v>#N/A</v>
      </c>
      <c r="K9" s="59" t="s">
        <v>98</v>
      </c>
    </row>
    <row r="10" spans="1:11" ht="15" customHeight="1">
      <c r="A10" s="63">
        <v>1100</v>
      </c>
      <c r="B10" s="63"/>
      <c r="C10" s="62"/>
      <c r="D10" s="62" t="s">
        <v>2704</v>
      </c>
      <c r="E10" s="62"/>
      <c r="F10" s="65"/>
      <c r="G10" s="62"/>
      <c r="H10" s="558" t="s">
        <v>2706</v>
      </c>
      <c r="I10" s="561">
        <f>VLOOKUP("LEBENT",Allgemeine_Angaben,5,0)</f>
        <v>30</v>
      </c>
      <c r="J10" s="65"/>
      <c r="K10" s="62"/>
    </row>
    <row r="11" spans="1:11" ht="15" customHeight="1">
      <c r="A11" s="78">
        <v>1200</v>
      </c>
      <c r="B11" s="78"/>
      <c r="C11" s="59" t="s">
        <v>993</v>
      </c>
      <c r="D11" s="59" t="s">
        <v>994</v>
      </c>
      <c r="E11" s="56" t="s">
        <v>1151</v>
      </c>
      <c r="F11" s="115" t="e">
        <f>VLOOKUP("F1",Folgekosten,13,0)/VLOOKUP("NF",Objektkenndaten,5,0)</f>
        <v>#DIV/0!</v>
      </c>
      <c r="G11" s="59" t="s">
        <v>981</v>
      </c>
      <c r="H11" s="115" t="e">
        <f>VLOOKUP("F1",Ergebnisse_Nutzung,23,0)/VLOOKUP("NF",Objektkenndaten,5,0)</f>
        <v>#DIV/0!</v>
      </c>
      <c r="I11" s="59" t="s">
        <v>2590</v>
      </c>
      <c r="J11" s="115" t="e">
        <f>VLOOKUP("F1",Ergebnisse_Nutzung,29,0)/VLOOKUP("NF",Objektkenndaten,5,0)</f>
        <v>#DIV/0!</v>
      </c>
      <c r="K11" s="59" t="s">
        <v>2593</v>
      </c>
    </row>
    <row r="12" spans="1:11" ht="15" customHeight="1">
      <c r="A12" s="78">
        <v>1300</v>
      </c>
      <c r="B12" s="78"/>
      <c r="C12" s="59" t="s">
        <v>995</v>
      </c>
      <c r="D12" s="59" t="s">
        <v>996</v>
      </c>
      <c r="E12" s="56" t="s">
        <v>1155</v>
      </c>
      <c r="F12" s="115" t="e">
        <f>VLOOKUP("F2",Folgekosten,13,0)/VLOOKUP("NF",Objektkenndaten,5,0)</f>
        <v>#DIV/0!</v>
      </c>
      <c r="G12" s="59" t="s">
        <v>981</v>
      </c>
      <c r="H12" s="115" t="e">
        <f>VLOOKUP("F2",Ergebnisse_Nutzung,23,0)/VLOOKUP("NF",Objektkenndaten,5,0)</f>
        <v>#DIV/0!</v>
      </c>
      <c r="I12" s="59" t="s">
        <v>2590</v>
      </c>
      <c r="J12" s="115" t="e">
        <f>VLOOKUP("F2",Ergebnisse_Nutzung,29,0)/VLOOKUP("NF",Objektkenndaten,5,0)</f>
        <v>#DIV/0!</v>
      </c>
      <c r="K12" s="59" t="s">
        <v>2593</v>
      </c>
    </row>
    <row r="13" spans="1:11" ht="15" customHeight="1">
      <c r="A13" s="78">
        <v>1400</v>
      </c>
      <c r="B13" s="78"/>
      <c r="C13" s="59" t="s">
        <v>997</v>
      </c>
      <c r="D13" s="59" t="s">
        <v>998</v>
      </c>
      <c r="E13" s="56" t="s">
        <v>1156</v>
      </c>
      <c r="F13" s="115" t="e">
        <f>VLOOKUP("F3",Folgekosten,13,0)/VLOOKUP("NF",Objektkenndaten,5,0)</f>
        <v>#N/A</v>
      </c>
      <c r="G13" s="59" t="s">
        <v>981</v>
      </c>
      <c r="H13" s="115" t="e">
        <f>VLOOKUP("F3",Ergebnisse_Nutzung,23,0)/VLOOKUP("NF",Objektkenndaten,5,0)</f>
        <v>#N/A</v>
      </c>
      <c r="I13" s="59" t="s">
        <v>2590</v>
      </c>
      <c r="J13" s="115" t="e">
        <f>VLOOKUP("F3",Ergebnisse_Nutzung,29,0)/VLOOKUP("NF",Objektkenndaten,5,0)</f>
        <v>#N/A</v>
      </c>
      <c r="K13" s="59" t="s">
        <v>2593</v>
      </c>
    </row>
    <row r="14" spans="1:11" ht="15" customHeight="1">
      <c r="A14" s="78">
        <v>1500</v>
      </c>
      <c r="B14" s="78"/>
      <c r="C14" s="59" t="s">
        <v>999</v>
      </c>
      <c r="D14" s="59" t="s">
        <v>1000</v>
      </c>
      <c r="E14" s="56" t="s">
        <v>1157</v>
      </c>
      <c r="F14" s="115" t="e">
        <f>VLOOKUP("F4",Folgekosten,13,0)/VLOOKUP("NF",Objektkenndaten,5,0)</f>
        <v>#DIV/0!</v>
      </c>
      <c r="G14" s="59" t="s">
        <v>981</v>
      </c>
      <c r="H14" s="115" t="e">
        <f>VLOOKUP("F4",Ergebnisse_Nutzung,23,0)/VLOOKUP("NF",Objektkenndaten,5,0)</f>
        <v>#DIV/0!</v>
      </c>
      <c r="I14" s="59" t="s">
        <v>2590</v>
      </c>
      <c r="J14" s="115" t="e">
        <f>VLOOKUP("F4",Ergebnisse_Nutzung,29,0)/VLOOKUP("NF",Objektkenndaten,5,0)</f>
        <v>#DIV/0!</v>
      </c>
      <c r="K14" s="59" t="s">
        <v>2593</v>
      </c>
    </row>
    <row r="15" spans="1:11" ht="15" customHeight="1">
      <c r="A15" s="78">
        <v>1600</v>
      </c>
      <c r="B15" s="78"/>
      <c r="C15" s="59" t="s">
        <v>1001</v>
      </c>
      <c r="D15" s="59" t="s">
        <v>1002</v>
      </c>
      <c r="E15" s="56" t="s">
        <v>1158</v>
      </c>
      <c r="F15" s="115" t="e">
        <f>VLOOKUP("F5",Folgekosten,13,0)/VLOOKUP("NF",Objektkenndaten,5,0)</f>
        <v>#DIV/0!</v>
      </c>
      <c r="G15" s="59" t="s">
        <v>981</v>
      </c>
      <c r="H15" s="115" t="e">
        <f>VLOOKUP("F5",Ergebnisse_Nutzung,23,0)/VLOOKUP("NF",Objektkenndaten,5,0)</f>
        <v>#DIV/0!</v>
      </c>
      <c r="I15" s="59" t="s">
        <v>2590</v>
      </c>
      <c r="J15" s="115" t="e">
        <f>VLOOKUP("F5",Ergebnisse_Nutzung,29,0)/VLOOKUP("NF",Objektkenndaten,5,0)</f>
        <v>#DIV/0!</v>
      </c>
      <c r="K15" s="59" t="s">
        <v>2593</v>
      </c>
    </row>
    <row r="16" spans="1:11" ht="15" customHeight="1">
      <c r="A16" s="78">
        <v>1700</v>
      </c>
      <c r="B16" s="78"/>
      <c r="C16" s="59" t="s">
        <v>1003</v>
      </c>
      <c r="D16" s="59" t="s">
        <v>1004</v>
      </c>
      <c r="E16" s="56" t="s">
        <v>1159</v>
      </c>
      <c r="F16" s="115" t="e">
        <f>VLOOKUP("F6",Folgekosten,13,0)/VLOOKUP("NF",Objektkenndaten,5,0)</f>
        <v>#DIV/0!</v>
      </c>
      <c r="G16" s="59" t="s">
        <v>981</v>
      </c>
      <c r="H16" s="115" t="e">
        <f>VLOOKUP("F6",Ergebnisse_Nutzung,23,0)/VLOOKUP("NF",Objektkenndaten,5,0)</f>
        <v>#DIV/0!</v>
      </c>
      <c r="I16" s="59" t="s">
        <v>2590</v>
      </c>
      <c r="J16" s="115" t="e">
        <f>VLOOKUP("F6",Ergebnisse_Nutzung,29,0)/VLOOKUP("NF",Objektkenndaten,5,0)</f>
        <v>#DIV/0!</v>
      </c>
      <c r="K16" s="59" t="s">
        <v>2593</v>
      </c>
    </row>
    <row r="17" spans="1:11" ht="15" customHeight="1">
      <c r="A17" s="78">
        <v>1800</v>
      </c>
      <c r="B17" s="78"/>
      <c r="C17" s="59" t="s">
        <v>1005</v>
      </c>
      <c r="D17" s="111" t="s">
        <v>2598</v>
      </c>
      <c r="E17" s="56" t="s">
        <v>1160</v>
      </c>
      <c r="F17" s="115" t="e">
        <f>VLOOKUP("F7",Folgekosten,13,0)/VLOOKUP("NF",Objektkenndaten,5,0)</f>
        <v>#VALUE!</v>
      </c>
      <c r="G17" s="59" t="s">
        <v>981</v>
      </c>
      <c r="H17" s="115" t="e">
        <f>VLOOKUP("F7",Ergebnisse_Nutzung,23,0)/VLOOKUP("NF",Objektkenndaten,5,0)</f>
        <v>#DIV/0!</v>
      </c>
      <c r="I17" s="59" t="s">
        <v>2590</v>
      </c>
      <c r="J17" s="115" t="e">
        <f>VLOOKUP("F7",Ergebnisse_Nutzung,29,0)/VLOOKUP("NF",Objektkenndaten,5,0)</f>
        <v>#DIV/0!</v>
      </c>
      <c r="K17" s="59" t="s">
        <v>2593</v>
      </c>
    </row>
    <row r="18" spans="1:11" ht="15" customHeight="1">
      <c r="A18" s="78">
        <v>1900</v>
      </c>
      <c r="B18" s="78"/>
      <c r="C18" s="59" t="s">
        <v>1006</v>
      </c>
      <c r="D18" s="59" t="s">
        <v>1007</v>
      </c>
      <c r="E18" s="56" t="s">
        <v>1161</v>
      </c>
      <c r="F18" s="115" t="e">
        <f>VLOOKUP("F8",Folgekosten,13,0)/VLOOKUP("NF",Objektkenndaten,5,0)</f>
        <v>#DIV/0!</v>
      </c>
      <c r="G18" s="59" t="s">
        <v>981</v>
      </c>
      <c r="H18" s="67"/>
      <c r="I18" s="59"/>
      <c r="J18" s="67"/>
      <c r="K18" s="59"/>
    </row>
    <row r="19" spans="1:11" ht="15" customHeight="1">
      <c r="A19" s="78">
        <v>2000</v>
      </c>
      <c r="B19" s="78"/>
      <c r="C19" s="59" t="s">
        <v>1008</v>
      </c>
      <c r="D19" s="111" t="s">
        <v>2597</v>
      </c>
      <c r="E19" s="56" t="s">
        <v>1162</v>
      </c>
      <c r="F19" s="115" t="e">
        <f>VLOOKUP("F9",Folgekosten,13,0)/VLOOKUP("NF",Objektkenndaten,5,0)</f>
        <v>#VALUE!</v>
      </c>
      <c r="G19" s="59" t="s">
        <v>981</v>
      </c>
      <c r="H19" s="115" t="e">
        <f>VLOOKUP("F9",Ergebnisse_Nutzung,23,0)/VLOOKUP("NF",Objektkenndaten,5,0)</f>
        <v>#DIV/0!</v>
      </c>
      <c r="I19" s="59" t="s">
        <v>2590</v>
      </c>
      <c r="J19" s="115" t="e">
        <f>VLOOKUP("F9",Ergebnisse_Nutzung,29,0)/VLOOKUP("NF",Objektkenndaten,5,0)</f>
        <v>#DIV/0!</v>
      </c>
      <c r="K19" s="59" t="s">
        <v>2593</v>
      </c>
    </row>
    <row r="20" spans="1:11" ht="15" customHeight="1">
      <c r="A20" s="63">
        <v>2100</v>
      </c>
      <c r="B20" s="63"/>
      <c r="C20" s="62"/>
      <c r="D20" s="62" t="s">
        <v>2705</v>
      </c>
      <c r="E20" s="62"/>
      <c r="F20" s="65"/>
      <c r="G20" s="62"/>
      <c r="H20" s="558" t="s">
        <v>2706</v>
      </c>
      <c r="I20" s="561">
        <f>VLOOKUP("LEBENT",Allgemeine_Angaben,5,0)</f>
        <v>30</v>
      </c>
      <c r="J20" s="65"/>
      <c r="K20" s="62"/>
    </row>
    <row r="21" spans="1:11" ht="15" customHeight="1">
      <c r="A21" s="78">
        <v>2200</v>
      </c>
      <c r="B21" s="78"/>
      <c r="C21" s="59" t="s">
        <v>1009</v>
      </c>
      <c r="D21" s="111" t="s">
        <v>1010</v>
      </c>
      <c r="E21" s="56" t="s">
        <v>1163</v>
      </c>
      <c r="F21" s="115" t="e">
        <f>VLOOKUP("F1",Folgekosten,13,0)/VLOOKUP("NF",Objektkenndaten,5,0)/VLOOKUP("LEBENT",Allgemeine_Angaben,5,0)</f>
        <v>#DIV/0!</v>
      </c>
      <c r="G21" s="59" t="s">
        <v>1011</v>
      </c>
      <c r="H21" s="115" t="e">
        <f>VLOOKUP("F1",Ergebnisse_Nutzung,23,0)/VLOOKUP("NF",Objektkenndaten,5,0)/VLOOKUP("LEBENT",Allgemeine_Angaben,5,0)</f>
        <v>#DIV/0!</v>
      </c>
      <c r="I21" s="59" t="s">
        <v>2592</v>
      </c>
      <c r="J21" s="115" t="e">
        <f>VLOOKUP("F1",Ergebnisse_Nutzung,29,0)/VLOOKUP("NF",Objektkenndaten,5,0)/VLOOKUP("LEBENT",Allgemeine_Angaben,5,0)</f>
        <v>#DIV/0!</v>
      </c>
      <c r="K21" s="59" t="s">
        <v>2595</v>
      </c>
    </row>
    <row r="22" spans="1:11" ht="15" customHeight="1">
      <c r="A22" s="78">
        <v>2212</v>
      </c>
      <c r="B22" s="78"/>
      <c r="C22" s="59" t="s">
        <v>1012</v>
      </c>
      <c r="D22" s="59" t="s">
        <v>1013</v>
      </c>
      <c r="E22" s="56" t="s">
        <v>1164</v>
      </c>
      <c r="F22" s="115" t="e">
        <f>VLOOKUP("F2",Folgekosten,13,0)/VLOOKUP("NF",Objektkenndaten,5,0)/VLOOKUP("LEBENT",Allgemeine_Angaben,5,0)</f>
        <v>#DIV/0!</v>
      </c>
      <c r="G22" s="59" t="s">
        <v>1011</v>
      </c>
      <c r="H22" s="115" t="e">
        <f>VLOOKUP("F2",Ergebnisse_Nutzung,23,0)/VLOOKUP("NF",Objektkenndaten,5,0)/VLOOKUP("LEBENT",Allgemeine_Angaben,5,0)</f>
        <v>#DIV/0!</v>
      </c>
      <c r="I22" s="59" t="s">
        <v>2592</v>
      </c>
      <c r="J22" s="115" t="e">
        <f>VLOOKUP("F2",Ergebnisse_Nutzung,29,0)/VLOOKUP("NF",Objektkenndaten,5,0)/VLOOKUP("LEBENT",Allgemeine_Angaben,5,0)</f>
        <v>#DIV/0!</v>
      </c>
      <c r="K22" s="59" t="s">
        <v>2595</v>
      </c>
    </row>
    <row r="23" spans="1:11" ht="15" customHeight="1">
      <c r="A23" s="78">
        <v>2225</v>
      </c>
      <c r="B23" s="78"/>
      <c r="C23" s="59" t="s">
        <v>1014</v>
      </c>
      <c r="D23" s="59" t="s">
        <v>1015</v>
      </c>
      <c r="E23" s="56" t="s">
        <v>1165</v>
      </c>
      <c r="F23" s="115" t="e">
        <f>VLOOKUP("F3",Folgekosten,13,0)/VLOOKUP("NF",Objektkenndaten,5,0)/VLOOKUP("LEBENT",Allgemeine_Angaben,5,0)</f>
        <v>#N/A</v>
      </c>
      <c r="G23" s="59" t="s">
        <v>1011</v>
      </c>
      <c r="H23" s="115" t="e">
        <f>VLOOKUP("F3",Ergebnisse_Nutzung,23,0)/VLOOKUP("NF",Objektkenndaten,5,0)/VLOOKUP("LEBENT",Allgemeine_Angaben,5,0)</f>
        <v>#N/A</v>
      </c>
      <c r="I23" s="59" t="s">
        <v>2592</v>
      </c>
      <c r="J23" s="115" t="e">
        <f>VLOOKUP("F3",Ergebnisse_Nutzung,29,0)/VLOOKUP("NF",Objektkenndaten,5,0)/VLOOKUP("LEBENT",Allgemeine_Angaben,5,0)</f>
        <v>#N/A</v>
      </c>
      <c r="K23" s="59" t="s">
        <v>2595</v>
      </c>
    </row>
    <row r="24" spans="1:11" ht="15" customHeight="1">
      <c r="A24" s="78">
        <v>2250</v>
      </c>
      <c r="B24" s="78"/>
      <c r="C24" s="59" t="s">
        <v>1016</v>
      </c>
      <c r="D24" s="59" t="s">
        <v>1017</v>
      </c>
      <c r="E24" s="56" t="s">
        <v>1166</v>
      </c>
      <c r="F24" s="115" t="e">
        <f>VLOOKUP("F4",Folgekosten,13,0)/VLOOKUP("NF",Objektkenndaten,5,0)/VLOOKUP("LEBENT",Allgemeine_Angaben,5,0)</f>
        <v>#DIV/0!</v>
      </c>
      <c r="G24" s="59" t="s">
        <v>1011</v>
      </c>
      <c r="H24" s="115" t="e">
        <f>VLOOKUP("F4",Ergebnisse_Nutzung,23,0)/VLOOKUP("NF",Objektkenndaten,5,0)/VLOOKUP("LEBENT",Allgemeine_Angaben,5,0)</f>
        <v>#DIV/0!</v>
      </c>
      <c r="I24" s="59" t="s">
        <v>2592</v>
      </c>
      <c r="J24" s="115" t="e">
        <f>VLOOKUP("F4",Ergebnisse_Nutzung,29,0)/VLOOKUP("NF",Objektkenndaten,5,0)/VLOOKUP("LEBENT",Allgemeine_Angaben,5,0)</f>
        <v>#DIV/0!</v>
      </c>
      <c r="K24" s="59" t="s">
        <v>2595</v>
      </c>
    </row>
    <row r="25" spans="1:11" ht="15" customHeight="1">
      <c r="A25" s="78">
        <v>2300</v>
      </c>
      <c r="B25" s="78"/>
      <c r="C25" s="59" t="s">
        <v>1018</v>
      </c>
      <c r="D25" s="111" t="s">
        <v>2589</v>
      </c>
      <c r="E25" s="56" t="s">
        <v>1167</v>
      </c>
      <c r="F25" s="115" t="e">
        <f>VLOOKUP("F5",Folgekosten,13,0)/VLOOKUP("NF",Objektkenndaten,5,0)/VLOOKUP("LEBENT",Allgemeine_Angaben,5,0)</f>
        <v>#DIV/0!</v>
      </c>
      <c r="G25" s="59" t="s">
        <v>1011</v>
      </c>
      <c r="H25" s="115" t="e">
        <f>VLOOKUP("F5",Ergebnisse_Nutzung,23,0)/VLOOKUP("NF",Objektkenndaten,5,0)/VLOOKUP("LEBENT",Allgemeine_Angaben,5,0)</f>
        <v>#DIV/0!</v>
      </c>
      <c r="I25" s="59" t="s">
        <v>2592</v>
      </c>
      <c r="J25" s="115" t="e">
        <f>VLOOKUP("F5",Ergebnisse_Nutzung,29,0)/VLOOKUP("NF",Objektkenndaten,5,0)/VLOOKUP("LEBENT",Allgemeine_Angaben,5,0)</f>
        <v>#DIV/0!</v>
      </c>
      <c r="K25" s="59" t="s">
        <v>2595</v>
      </c>
    </row>
    <row r="26" spans="1:11" ht="15" customHeight="1">
      <c r="A26" s="78">
        <v>2312</v>
      </c>
      <c r="B26" s="78"/>
      <c r="C26" s="59" t="s">
        <v>1019</v>
      </c>
      <c r="D26" s="59" t="s">
        <v>1020</v>
      </c>
      <c r="E26" s="56" t="s">
        <v>1168</v>
      </c>
      <c r="F26" s="115" t="e">
        <f>VLOOKUP("F6",Folgekosten,13,0)/VLOOKUP("NF",Objektkenndaten,5,0)/VLOOKUP("LEBENT",Allgemeine_Angaben,5,0)</f>
        <v>#DIV/0!</v>
      </c>
      <c r="G26" s="59" t="s">
        <v>1011</v>
      </c>
      <c r="H26" s="115" t="e">
        <f>VLOOKUP("F6",Ergebnisse_Nutzung,23,0)/VLOOKUP("NF",Objektkenndaten,5,0)/VLOOKUP("LEBENT",Allgemeine_Angaben,5,0)</f>
        <v>#DIV/0!</v>
      </c>
      <c r="I26" s="59" t="s">
        <v>2592</v>
      </c>
      <c r="J26" s="115" t="e">
        <f>VLOOKUP("F6",Ergebnisse_Nutzung,29,0)/VLOOKUP("NF",Objektkenndaten,5,0)/VLOOKUP("LEBENT",Allgemeine_Angaben,5,0)</f>
        <v>#DIV/0!</v>
      </c>
      <c r="K26" s="59" t="s">
        <v>2595</v>
      </c>
    </row>
    <row r="27" spans="1:11" ht="15" customHeight="1">
      <c r="A27" s="78">
        <v>2325</v>
      </c>
      <c r="B27" s="78"/>
      <c r="C27" s="59" t="s">
        <v>1021</v>
      </c>
      <c r="D27" s="111" t="s">
        <v>2596</v>
      </c>
      <c r="E27" s="56" t="s">
        <v>1169</v>
      </c>
      <c r="F27" s="115" t="e">
        <f>VLOOKUP("F7",Folgekosten,13,0)/VLOOKUP("NF",Objektkenndaten,5,0)/VLOOKUP("LEBENT",Allgemeine_Angaben,5,0)</f>
        <v>#VALUE!</v>
      </c>
      <c r="G27" s="59" t="s">
        <v>1011</v>
      </c>
      <c r="H27" s="115" t="e">
        <f>VLOOKUP("F7",Ergebnisse_Nutzung,23,0)/VLOOKUP("NF",Objektkenndaten,5,0)/VLOOKUP("LEBENT",Allgemeine_Angaben,5,0)</f>
        <v>#DIV/0!</v>
      </c>
      <c r="I27" s="59" t="s">
        <v>2592</v>
      </c>
      <c r="J27" s="115" t="e">
        <f>VLOOKUP("F7",Ergebnisse_Nutzung,29,0)/VLOOKUP("NF",Objektkenndaten,5,0)/VLOOKUP("LEBENT",Allgemeine_Angaben,5,0)</f>
        <v>#DIV/0!</v>
      </c>
      <c r="K27" s="59" t="s">
        <v>2595</v>
      </c>
    </row>
    <row r="28" spans="1:11" ht="15" customHeight="1">
      <c r="A28" s="78">
        <v>2350</v>
      </c>
      <c r="B28" s="78"/>
      <c r="C28" s="59" t="s">
        <v>1022</v>
      </c>
      <c r="D28" s="59" t="s">
        <v>1023</v>
      </c>
      <c r="E28" s="56" t="s">
        <v>1170</v>
      </c>
      <c r="F28" s="115" t="e">
        <f>VLOOKUP("F8",Folgekosten,13,0)/VLOOKUP("NF",Objektkenndaten,5,0)/VLOOKUP("LEBENT",Allgemeine_Angaben,5,0)</f>
        <v>#DIV/0!</v>
      </c>
      <c r="G28" s="59" t="s">
        <v>1011</v>
      </c>
      <c r="H28" s="67"/>
      <c r="I28" s="59"/>
      <c r="J28" s="67"/>
      <c r="K28" s="59"/>
    </row>
    <row r="29" spans="1:11" ht="15" customHeight="1">
      <c r="A29" s="78">
        <v>2400</v>
      </c>
      <c r="B29" s="78"/>
      <c r="C29" s="59" t="s">
        <v>1024</v>
      </c>
      <c r="D29" s="59" t="s">
        <v>1025</v>
      </c>
      <c r="E29" s="56" t="s">
        <v>1171</v>
      </c>
      <c r="F29" s="115" t="e">
        <f>VLOOKUP("F9",Folgekosten,13,0)/VLOOKUP("NF",Objektkenndaten,5,0)/VLOOKUP("LEBENT",Allgemeine_Angaben,5,0)</f>
        <v>#VALUE!</v>
      </c>
      <c r="G29" s="59" t="s">
        <v>1011</v>
      </c>
      <c r="H29" s="115" t="e">
        <f>VLOOKUP("F9",Ergebnisse_Nutzung,23,0)/VLOOKUP("NF",Objektkenndaten,5,0)/VLOOKUP("LEBENT",Allgemeine_Angaben,5,0)</f>
        <v>#DIV/0!</v>
      </c>
      <c r="I29" s="59" t="s">
        <v>2592</v>
      </c>
      <c r="J29" s="115" t="e">
        <f>VLOOKUP("F9",Ergebnisse_Nutzung,29,0)/VLOOKUP("NF",Objektkenndaten,5,0)/VLOOKUP("LEBENT",Allgemeine_Angaben,5,0)</f>
        <v>#DIV/0!</v>
      </c>
      <c r="K29" s="59" t="s">
        <v>2595</v>
      </c>
    </row>
    <row r="30" spans="1:11" ht="15" customHeight="1">
      <c r="A30" s="78">
        <v>2600</v>
      </c>
      <c r="B30" s="78"/>
      <c r="C30" s="59"/>
      <c r="D30" s="59" t="s">
        <v>1026</v>
      </c>
      <c r="E30" s="59" t="s">
        <v>1027</v>
      </c>
      <c r="F30" s="115">
        <f>VLOOKUP("F2.3",Folgekosten,5,0)/VLOOKUP("TKh",Dienstleistungen,5,0)</f>
        <v>0</v>
      </c>
      <c r="G30" s="59" t="s">
        <v>1028</v>
      </c>
      <c r="H30" s="67"/>
      <c r="I30" s="59"/>
      <c r="J30" s="67"/>
      <c r="K30" s="59"/>
    </row>
    <row r="31" spans="1:11" ht="15" customHeight="1">
      <c r="D31" s="493"/>
      <c r="E31" s="493"/>
      <c r="F31" s="560"/>
      <c r="G31" s="493"/>
      <c r="H31" s="560"/>
      <c r="I31" s="493"/>
      <c r="J31" s="560"/>
      <c r="K31" s="493"/>
    </row>
  </sheetData>
  <sheetProtection password="FDAF" sheet="1" objects="1" scenarios="1"/>
  <pageMargins left="0.78740157480314965" right="0.78740157480314965" top="0.98425196850393704" bottom="0.98425196850393704" header="0.51181102362204722" footer="0.51181102362204722"/>
  <pageSetup paperSize="9" scale="95" orientation="landscape" horizontalDpi="4294967293" verticalDpi="0" r:id="rId1"/>
  <headerFooter>
    <oddFooter>&amp;L&amp;F&amp;C&amp;A&amp;R&amp;P von &amp;N</oddFooter>
  </headerFooter>
</worksheet>
</file>

<file path=xl/worksheets/sheet12.xml><?xml version="1.0" encoding="utf-8"?>
<worksheet xmlns="http://schemas.openxmlformats.org/spreadsheetml/2006/main" xmlns:r="http://schemas.openxmlformats.org/officeDocument/2006/relationships">
  <sheetPr codeName="Tabelle51">
    <tabColor theme="8" tint="0.79998168889431442"/>
    <pageSetUpPr fitToPage="1"/>
  </sheetPr>
  <dimension ref="A1:DN198"/>
  <sheetViews>
    <sheetView zoomScaleNormal="100" zoomScaleSheetLayoutView="100" workbookViewId="0">
      <pane xSplit="6" ySplit="2" topLeftCell="G3" activePane="bottomRight" state="frozenSplit"/>
      <selection activeCell="C23" sqref="C23:M24"/>
      <selection pane="topRight" activeCell="C23" sqref="C23:M24"/>
      <selection pane="bottomLeft" activeCell="C23" sqref="C23:M24"/>
      <selection pane="bottomRight" activeCell="I5" sqref="I5"/>
    </sheetView>
  </sheetViews>
  <sheetFormatPr baseColWidth="10" defaultRowHeight="15" customHeight="1"/>
  <cols>
    <col min="1" max="2" width="6.83203125" style="106" hidden="1" customWidth="1"/>
    <col min="3" max="3" width="12.6640625" style="106" bestFit="1" customWidth="1"/>
    <col min="4" max="4" width="46.5" style="106" customWidth="1"/>
    <col min="5" max="5" width="18.83203125" style="106" hidden="1" customWidth="1"/>
    <col min="6" max="6" width="55.1640625" style="106" hidden="1" customWidth="1"/>
    <col min="7" max="7" width="16.83203125" style="364" customWidth="1"/>
    <col min="8" max="8" width="16.83203125" style="364" hidden="1" customWidth="1"/>
    <col min="9" max="9" width="16.83203125" style="364" customWidth="1"/>
    <col min="10" max="10" width="18.33203125" style="106" bestFit="1" customWidth="1"/>
    <col min="11" max="11" width="9.6640625" style="388" customWidth="1"/>
    <col min="12" max="12" width="10.5" style="106" customWidth="1"/>
    <col min="13" max="13" width="10.6640625" style="106" customWidth="1"/>
    <col min="14" max="14" width="15.6640625" style="106" customWidth="1"/>
    <col min="15" max="15" width="20.83203125" style="106" customWidth="1"/>
    <col min="16" max="16" width="4.1640625" style="106" customWidth="1"/>
    <col min="17" max="17" width="12.83203125" style="106" customWidth="1"/>
    <col min="18" max="18" width="17.5" style="106" customWidth="1"/>
    <col min="19" max="117" width="13.83203125" style="106" customWidth="1"/>
    <col min="118" max="118" width="12" style="367"/>
    <col min="119" max="16384" width="12" style="106"/>
  </cols>
  <sheetData>
    <row r="1" spans="1:117" ht="15" customHeight="1">
      <c r="A1" s="619" t="s">
        <v>0</v>
      </c>
      <c r="B1" s="619"/>
      <c r="C1" s="619"/>
      <c r="D1" s="619"/>
      <c r="E1" s="619"/>
      <c r="F1" s="348"/>
      <c r="G1" s="351" t="s">
        <v>2275</v>
      </c>
      <c r="H1" s="348"/>
      <c r="I1" s="348"/>
      <c r="J1" s="348"/>
      <c r="K1" s="351" t="s">
        <v>1144</v>
      </c>
      <c r="L1" s="619" t="s">
        <v>101</v>
      </c>
      <c r="M1" s="619"/>
      <c r="N1" s="619"/>
      <c r="O1" s="365" t="s">
        <v>100</v>
      </c>
      <c r="P1" s="366"/>
      <c r="Q1" s="350">
        <v>0</v>
      </c>
      <c r="R1" s="350">
        <v>1</v>
      </c>
      <c r="S1" s="350">
        <v>2</v>
      </c>
      <c r="T1" s="350">
        <v>3</v>
      </c>
      <c r="U1" s="350">
        <v>4</v>
      </c>
      <c r="V1" s="350">
        <v>5</v>
      </c>
      <c r="W1" s="350">
        <v>6</v>
      </c>
      <c r="X1" s="350">
        <v>7</v>
      </c>
      <c r="Y1" s="350">
        <v>8</v>
      </c>
      <c r="Z1" s="350">
        <v>9</v>
      </c>
      <c r="AA1" s="350">
        <v>10</v>
      </c>
      <c r="AB1" s="350">
        <v>11</v>
      </c>
      <c r="AC1" s="350">
        <v>12</v>
      </c>
      <c r="AD1" s="350">
        <v>13</v>
      </c>
      <c r="AE1" s="350">
        <v>14</v>
      </c>
      <c r="AF1" s="350">
        <v>15</v>
      </c>
      <c r="AG1" s="350">
        <v>16</v>
      </c>
      <c r="AH1" s="350">
        <v>17</v>
      </c>
      <c r="AI1" s="350">
        <v>18</v>
      </c>
      <c r="AJ1" s="350">
        <v>19</v>
      </c>
      <c r="AK1" s="350">
        <v>20</v>
      </c>
      <c r="AL1" s="350">
        <v>21</v>
      </c>
      <c r="AM1" s="350">
        <v>22</v>
      </c>
      <c r="AN1" s="350">
        <v>23</v>
      </c>
      <c r="AO1" s="350">
        <v>24</v>
      </c>
      <c r="AP1" s="350">
        <v>25</v>
      </c>
      <c r="AQ1" s="350">
        <v>26</v>
      </c>
      <c r="AR1" s="350">
        <v>27</v>
      </c>
      <c r="AS1" s="350">
        <v>28</v>
      </c>
      <c r="AT1" s="350">
        <v>29</v>
      </c>
      <c r="AU1" s="350">
        <v>30</v>
      </c>
      <c r="AV1" s="350">
        <v>31</v>
      </c>
      <c r="AW1" s="350">
        <v>32</v>
      </c>
      <c r="AX1" s="350">
        <v>33</v>
      </c>
      <c r="AY1" s="350">
        <v>34</v>
      </c>
      <c r="AZ1" s="350">
        <v>35</v>
      </c>
      <c r="BA1" s="350">
        <v>36</v>
      </c>
      <c r="BB1" s="350">
        <v>37</v>
      </c>
      <c r="BC1" s="350">
        <v>38</v>
      </c>
      <c r="BD1" s="350">
        <v>39</v>
      </c>
      <c r="BE1" s="350">
        <v>40</v>
      </c>
      <c r="BF1" s="350">
        <v>41</v>
      </c>
      <c r="BG1" s="350">
        <v>42</v>
      </c>
      <c r="BH1" s="350">
        <v>43</v>
      </c>
      <c r="BI1" s="350">
        <v>44</v>
      </c>
      <c r="BJ1" s="350">
        <v>45</v>
      </c>
      <c r="BK1" s="350">
        <v>46</v>
      </c>
      <c r="BL1" s="350">
        <v>47</v>
      </c>
      <c r="BM1" s="350">
        <v>48</v>
      </c>
      <c r="BN1" s="350">
        <v>49</v>
      </c>
      <c r="BO1" s="350">
        <v>50</v>
      </c>
      <c r="BP1" s="350">
        <v>51</v>
      </c>
      <c r="BQ1" s="350">
        <v>52</v>
      </c>
      <c r="BR1" s="350">
        <v>53</v>
      </c>
      <c r="BS1" s="350">
        <v>54</v>
      </c>
      <c r="BT1" s="350">
        <v>55</v>
      </c>
      <c r="BU1" s="350">
        <v>56</v>
      </c>
      <c r="BV1" s="350">
        <v>57</v>
      </c>
      <c r="BW1" s="350">
        <v>58</v>
      </c>
      <c r="BX1" s="350">
        <v>59</v>
      </c>
      <c r="BY1" s="350">
        <v>60</v>
      </c>
      <c r="BZ1" s="350">
        <v>61</v>
      </c>
      <c r="CA1" s="350">
        <v>62</v>
      </c>
      <c r="CB1" s="350">
        <v>63</v>
      </c>
      <c r="CC1" s="350">
        <v>64</v>
      </c>
      <c r="CD1" s="350">
        <v>65</v>
      </c>
      <c r="CE1" s="350">
        <v>66</v>
      </c>
      <c r="CF1" s="350">
        <v>67</v>
      </c>
      <c r="CG1" s="350">
        <v>68</v>
      </c>
      <c r="CH1" s="350">
        <v>69</v>
      </c>
      <c r="CI1" s="350">
        <v>70</v>
      </c>
      <c r="CJ1" s="350">
        <v>71</v>
      </c>
      <c r="CK1" s="350">
        <v>72</v>
      </c>
      <c r="CL1" s="350">
        <v>73</v>
      </c>
      <c r="CM1" s="350">
        <v>74</v>
      </c>
      <c r="CN1" s="350">
        <v>75</v>
      </c>
      <c r="CO1" s="350">
        <v>76</v>
      </c>
      <c r="CP1" s="350">
        <v>77</v>
      </c>
      <c r="CQ1" s="350">
        <v>78</v>
      </c>
      <c r="CR1" s="350">
        <v>79</v>
      </c>
      <c r="CS1" s="350">
        <v>80</v>
      </c>
      <c r="CT1" s="350">
        <v>81</v>
      </c>
      <c r="CU1" s="350">
        <v>82</v>
      </c>
      <c r="CV1" s="350">
        <v>83</v>
      </c>
      <c r="CW1" s="350">
        <v>84</v>
      </c>
      <c r="CX1" s="350">
        <v>85</v>
      </c>
      <c r="CY1" s="350">
        <v>86</v>
      </c>
      <c r="CZ1" s="350">
        <v>87</v>
      </c>
      <c r="DA1" s="350">
        <v>88</v>
      </c>
      <c r="DB1" s="350">
        <v>89</v>
      </c>
      <c r="DC1" s="350">
        <v>90</v>
      </c>
      <c r="DD1" s="350">
        <v>91</v>
      </c>
      <c r="DE1" s="350">
        <v>92</v>
      </c>
      <c r="DF1" s="350">
        <v>93</v>
      </c>
      <c r="DG1" s="350">
        <v>94</v>
      </c>
      <c r="DH1" s="350">
        <v>95</v>
      </c>
      <c r="DI1" s="350">
        <v>96</v>
      </c>
      <c r="DJ1" s="350">
        <v>97</v>
      </c>
      <c r="DK1" s="350">
        <v>98</v>
      </c>
      <c r="DL1" s="350">
        <v>99</v>
      </c>
      <c r="DM1" s="350">
        <v>100</v>
      </c>
    </row>
    <row r="2" spans="1:117" ht="24.75" customHeight="1" thickBot="1">
      <c r="A2" s="344" t="s">
        <v>1</v>
      </c>
      <c r="B2" s="344" t="s">
        <v>719</v>
      </c>
      <c r="C2" s="344" t="s">
        <v>2</v>
      </c>
      <c r="D2" s="344" t="s">
        <v>66</v>
      </c>
      <c r="E2" s="344" t="s">
        <v>89</v>
      </c>
      <c r="F2" s="344" t="s">
        <v>90</v>
      </c>
      <c r="G2" s="352" t="s">
        <v>1207</v>
      </c>
      <c r="H2" s="352"/>
      <c r="I2" s="352" t="s">
        <v>1206</v>
      </c>
      <c r="J2" s="352" t="s">
        <v>1484</v>
      </c>
      <c r="K2" s="368" t="s">
        <v>2276</v>
      </c>
      <c r="L2" s="369" t="s">
        <v>102</v>
      </c>
      <c r="M2" s="369" t="s">
        <v>720</v>
      </c>
      <c r="N2" s="624"/>
      <c r="O2" s="370">
        <f>VLOOKUP("LEBENT",Allgemeine_Angaben,5,0)</f>
        <v>30</v>
      </c>
      <c r="P2" s="371"/>
      <c r="Q2" s="353">
        <f t="shared" ref="Q2:AV2" si="0">IF(Q1&lt;=VLOOKUP("LEBENT",Allgemeine_Angaben,5,0),Q1,"Ende Lebensd.")</f>
        <v>0</v>
      </c>
      <c r="R2" s="372">
        <f t="shared" si="0"/>
        <v>1</v>
      </c>
      <c r="S2" s="353">
        <f t="shared" si="0"/>
        <v>2</v>
      </c>
      <c r="T2" s="353">
        <f t="shared" si="0"/>
        <v>3</v>
      </c>
      <c r="U2" s="353">
        <f t="shared" si="0"/>
        <v>4</v>
      </c>
      <c r="V2" s="353">
        <f t="shared" si="0"/>
        <v>5</v>
      </c>
      <c r="W2" s="353">
        <f t="shared" si="0"/>
        <v>6</v>
      </c>
      <c r="X2" s="353">
        <f t="shared" si="0"/>
        <v>7</v>
      </c>
      <c r="Y2" s="353">
        <f t="shared" si="0"/>
        <v>8</v>
      </c>
      <c r="Z2" s="353">
        <f t="shared" si="0"/>
        <v>9</v>
      </c>
      <c r="AA2" s="353">
        <f t="shared" si="0"/>
        <v>10</v>
      </c>
      <c r="AB2" s="353">
        <f t="shared" si="0"/>
        <v>11</v>
      </c>
      <c r="AC2" s="353">
        <f t="shared" si="0"/>
        <v>12</v>
      </c>
      <c r="AD2" s="353">
        <f t="shared" si="0"/>
        <v>13</v>
      </c>
      <c r="AE2" s="353">
        <f t="shared" si="0"/>
        <v>14</v>
      </c>
      <c r="AF2" s="353">
        <f t="shared" si="0"/>
        <v>15</v>
      </c>
      <c r="AG2" s="353">
        <f t="shared" si="0"/>
        <v>16</v>
      </c>
      <c r="AH2" s="353">
        <f t="shared" si="0"/>
        <v>17</v>
      </c>
      <c r="AI2" s="353">
        <f t="shared" si="0"/>
        <v>18</v>
      </c>
      <c r="AJ2" s="353">
        <f t="shared" si="0"/>
        <v>19</v>
      </c>
      <c r="AK2" s="353">
        <f t="shared" si="0"/>
        <v>20</v>
      </c>
      <c r="AL2" s="353">
        <f t="shared" si="0"/>
        <v>21</v>
      </c>
      <c r="AM2" s="353">
        <f t="shared" si="0"/>
        <v>22</v>
      </c>
      <c r="AN2" s="353">
        <f t="shared" si="0"/>
        <v>23</v>
      </c>
      <c r="AO2" s="353">
        <f t="shared" si="0"/>
        <v>24</v>
      </c>
      <c r="AP2" s="353">
        <f t="shared" si="0"/>
        <v>25</v>
      </c>
      <c r="AQ2" s="353">
        <f t="shared" si="0"/>
        <v>26</v>
      </c>
      <c r="AR2" s="353">
        <f t="shared" si="0"/>
        <v>27</v>
      </c>
      <c r="AS2" s="353">
        <f t="shared" si="0"/>
        <v>28</v>
      </c>
      <c r="AT2" s="353">
        <f t="shared" si="0"/>
        <v>29</v>
      </c>
      <c r="AU2" s="353">
        <f t="shared" si="0"/>
        <v>30</v>
      </c>
      <c r="AV2" s="353" t="str">
        <f t="shared" si="0"/>
        <v>Ende Lebensd.</v>
      </c>
      <c r="AW2" s="353" t="str">
        <f t="shared" ref="AW2:CB2" si="1">IF(AW1&lt;=VLOOKUP("LEBENT",Allgemeine_Angaben,5,0),AW1,"Ende Lebensd.")</f>
        <v>Ende Lebensd.</v>
      </c>
      <c r="AX2" s="353" t="str">
        <f t="shared" si="1"/>
        <v>Ende Lebensd.</v>
      </c>
      <c r="AY2" s="353" t="str">
        <f t="shared" si="1"/>
        <v>Ende Lebensd.</v>
      </c>
      <c r="AZ2" s="353" t="str">
        <f t="shared" si="1"/>
        <v>Ende Lebensd.</v>
      </c>
      <c r="BA2" s="353" t="str">
        <f t="shared" si="1"/>
        <v>Ende Lebensd.</v>
      </c>
      <c r="BB2" s="353" t="str">
        <f t="shared" si="1"/>
        <v>Ende Lebensd.</v>
      </c>
      <c r="BC2" s="353" t="str">
        <f t="shared" si="1"/>
        <v>Ende Lebensd.</v>
      </c>
      <c r="BD2" s="353" t="str">
        <f t="shared" si="1"/>
        <v>Ende Lebensd.</v>
      </c>
      <c r="BE2" s="353" t="str">
        <f t="shared" si="1"/>
        <v>Ende Lebensd.</v>
      </c>
      <c r="BF2" s="353" t="str">
        <f t="shared" si="1"/>
        <v>Ende Lebensd.</v>
      </c>
      <c r="BG2" s="353" t="str">
        <f t="shared" si="1"/>
        <v>Ende Lebensd.</v>
      </c>
      <c r="BH2" s="353" t="str">
        <f t="shared" si="1"/>
        <v>Ende Lebensd.</v>
      </c>
      <c r="BI2" s="353" t="str">
        <f t="shared" si="1"/>
        <v>Ende Lebensd.</v>
      </c>
      <c r="BJ2" s="353" t="str">
        <f t="shared" si="1"/>
        <v>Ende Lebensd.</v>
      </c>
      <c r="BK2" s="353" t="str">
        <f t="shared" si="1"/>
        <v>Ende Lebensd.</v>
      </c>
      <c r="BL2" s="353" t="str">
        <f t="shared" si="1"/>
        <v>Ende Lebensd.</v>
      </c>
      <c r="BM2" s="353" t="str">
        <f t="shared" si="1"/>
        <v>Ende Lebensd.</v>
      </c>
      <c r="BN2" s="353" t="str">
        <f t="shared" si="1"/>
        <v>Ende Lebensd.</v>
      </c>
      <c r="BO2" s="353" t="str">
        <f t="shared" si="1"/>
        <v>Ende Lebensd.</v>
      </c>
      <c r="BP2" s="353" t="str">
        <f t="shared" si="1"/>
        <v>Ende Lebensd.</v>
      </c>
      <c r="BQ2" s="353" t="str">
        <f t="shared" si="1"/>
        <v>Ende Lebensd.</v>
      </c>
      <c r="BR2" s="353" t="str">
        <f t="shared" si="1"/>
        <v>Ende Lebensd.</v>
      </c>
      <c r="BS2" s="353" t="str">
        <f t="shared" si="1"/>
        <v>Ende Lebensd.</v>
      </c>
      <c r="BT2" s="353" t="str">
        <f t="shared" si="1"/>
        <v>Ende Lebensd.</v>
      </c>
      <c r="BU2" s="353" t="str">
        <f t="shared" si="1"/>
        <v>Ende Lebensd.</v>
      </c>
      <c r="BV2" s="353" t="str">
        <f t="shared" si="1"/>
        <v>Ende Lebensd.</v>
      </c>
      <c r="BW2" s="353" t="str">
        <f t="shared" si="1"/>
        <v>Ende Lebensd.</v>
      </c>
      <c r="BX2" s="353" t="str">
        <f t="shared" si="1"/>
        <v>Ende Lebensd.</v>
      </c>
      <c r="BY2" s="353" t="str">
        <f t="shared" si="1"/>
        <v>Ende Lebensd.</v>
      </c>
      <c r="BZ2" s="353" t="str">
        <f t="shared" si="1"/>
        <v>Ende Lebensd.</v>
      </c>
      <c r="CA2" s="353" t="str">
        <f t="shared" si="1"/>
        <v>Ende Lebensd.</v>
      </c>
      <c r="CB2" s="353" t="str">
        <f t="shared" si="1"/>
        <v>Ende Lebensd.</v>
      </c>
      <c r="CC2" s="353" t="str">
        <f t="shared" ref="CC2:DH2" si="2">IF(CC1&lt;=VLOOKUP("LEBENT",Allgemeine_Angaben,5,0),CC1,"Ende Lebensd.")</f>
        <v>Ende Lebensd.</v>
      </c>
      <c r="CD2" s="353" t="str">
        <f t="shared" si="2"/>
        <v>Ende Lebensd.</v>
      </c>
      <c r="CE2" s="353" t="str">
        <f t="shared" si="2"/>
        <v>Ende Lebensd.</v>
      </c>
      <c r="CF2" s="353" t="str">
        <f t="shared" si="2"/>
        <v>Ende Lebensd.</v>
      </c>
      <c r="CG2" s="353" t="str">
        <f t="shared" si="2"/>
        <v>Ende Lebensd.</v>
      </c>
      <c r="CH2" s="353" t="str">
        <f t="shared" si="2"/>
        <v>Ende Lebensd.</v>
      </c>
      <c r="CI2" s="353" t="str">
        <f t="shared" si="2"/>
        <v>Ende Lebensd.</v>
      </c>
      <c r="CJ2" s="353" t="str">
        <f t="shared" si="2"/>
        <v>Ende Lebensd.</v>
      </c>
      <c r="CK2" s="353" t="str">
        <f t="shared" si="2"/>
        <v>Ende Lebensd.</v>
      </c>
      <c r="CL2" s="353" t="str">
        <f t="shared" si="2"/>
        <v>Ende Lebensd.</v>
      </c>
      <c r="CM2" s="353" t="str">
        <f t="shared" si="2"/>
        <v>Ende Lebensd.</v>
      </c>
      <c r="CN2" s="353" t="str">
        <f t="shared" si="2"/>
        <v>Ende Lebensd.</v>
      </c>
      <c r="CO2" s="353" t="str">
        <f t="shared" si="2"/>
        <v>Ende Lebensd.</v>
      </c>
      <c r="CP2" s="353" t="str">
        <f t="shared" si="2"/>
        <v>Ende Lebensd.</v>
      </c>
      <c r="CQ2" s="353" t="str">
        <f t="shared" si="2"/>
        <v>Ende Lebensd.</v>
      </c>
      <c r="CR2" s="353" t="str">
        <f t="shared" si="2"/>
        <v>Ende Lebensd.</v>
      </c>
      <c r="CS2" s="353" t="str">
        <f t="shared" si="2"/>
        <v>Ende Lebensd.</v>
      </c>
      <c r="CT2" s="353" t="str">
        <f t="shared" si="2"/>
        <v>Ende Lebensd.</v>
      </c>
      <c r="CU2" s="353" t="str">
        <f t="shared" si="2"/>
        <v>Ende Lebensd.</v>
      </c>
      <c r="CV2" s="353" t="str">
        <f t="shared" si="2"/>
        <v>Ende Lebensd.</v>
      </c>
      <c r="CW2" s="353" t="str">
        <f t="shared" si="2"/>
        <v>Ende Lebensd.</v>
      </c>
      <c r="CX2" s="353" t="str">
        <f t="shared" si="2"/>
        <v>Ende Lebensd.</v>
      </c>
      <c r="CY2" s="353" t="str">
        <f t="shared" si="2"/>
        <v>Ende Lebensd.</v>
      </c>
      <c r="CZ2" s="353" t="str">
        <f t="shared" si="2"/>
        <v>Ende Lebensd.</v>
      </c>
      <c r="DA2" s="353" t="str">
        <f t="shared" si="2"/>
        <v>Ende Lebensd.</v>
      </c>
      <c r="DB2" s="353" t="str">
        <f t="shared" si="2"/>
        <v>Ende Lebensd.</v>
      </c>
      <c r="DC2" s="353" t="str">
        <f t="shared" si="2"/>
        <v>Ende Lebensd.</v>
      </c>
      <c r="DD2" s="353" t="str">
        <f t="shared" si="2"/>
        <v>Ende Lebensd.</v>
      </c>
      <c r="DE2" s="353" t="str">
        <f t="shared" si="2"/>
        <v>Ende Lebensd.</v>
      </c>
      <c r="DF2" s="353" t="str">
        <f t="shared" si="2"/>
        <v>Ende Lebensd.</v>
      </c>
      <c r="DG2" s="353" t="str">
        <f t="shared" si="2"/>
        <v>Ende Lebensd.</v>
      </c>
      <c r="DH2" s="353" t="str">
        <f t="shared" si="2"/>
        <v>Ende Lebensd.</v>
      </c>
      <c r="DI2" s="353" t="str">
        <f t="shared" ref="DI2:DM2" si="3">IF(DI1&lt;=VLOOKUP("LEBENT",Allgemeine_Angaben,5,0),DI1,"Ende Lebensd.")</f>
        <v>Ende Lebensd.</v>
      </c>
      <c r="DJ2" s="353" t="str">
        <f t="shared" si="3"/>
        <v>Ende Lebensd.</v>
      </c>
      <c r="DK2" s="353" t="str">
        <f t="shared" si="3"/>
        <v>Ende Lebensd.</v>
      </c>
      <c r="DL2" s="353" t="str">
        <f t="shared" si="3"/>
        <v>Ende Lebensd.</v>
      </c>
      <c r="DM2" s="353" t="str">
        <f t="shared" si="3"/>
        <v>Ende Lebensd.</v>
      </c>
    </row>
    <row r="3" spans="1:117" ht="15" customHeight="1" thickTop="1" thickBot="1">
      <c r="A3" s="293">
        <v>100</v>
      </c>
      <c r="B3" s="172" t="s">
        <v>721</v>
      </c>
      <c r="C3" s="172" t="s">
        <v>722</v>
      </c>
      <c r="D3" s="172" t="s">
        <v>723</v>
      </c>
      <c r="E3" s="172"/>
      <c r="F3" s="172"/>
      <c r="G3" s="623" t="s">
        <v>2647</v>
      </c>
      <c r="H3" s="623"/>
      <c r="I3" s="623"/>
      <c r="J3" s="623"/>
      <c r="K3" s="373"/>
      <c r="L3" s="613" t="s">
        <v>1537</v>
      </c>
      <c r="M3" s="613"/>
      <c r="N3" s="613"/>
      <c r="O3" s="374"/>
      <c r="P3" s="375"/>
      <c r="Q3" s="620"/>
      <c r="R3" s="621"/>
      <c r="S3" s="293"/>
      <c r="T3" s="293"/>
      <c r="U3" s="293"/>
      <c r="V3" s="293"/>
      <c r="W3" s="293"/>
      <c r="X3" s="293"/>
      <c r="Y3" s="293"/>
      <c r="Z3" s="293"/>
      <c r="AA3" s="293"/>
      <c r="AB3" s="293"/>
      <c r="AC3" s="293"/>
      <c r="AD3" s="293"/>
      <c r="AE3" s="293"/>
      <c r="AF3" s="293"/>
      <c r="AG3" s="293"/>
      <c r="AH3" s="293"/>
      <c r="AI3" s="293"/>
      <c r="AJ3" s="293"/>
      <c r="AK3" s="293"/>
      <c r="AL3" s="293"/>
      <c r="AM3" s="293"/>
      <c r="AN3" s="293"/>
      <c r="AO3" s="293"/>
      <c r="AP3" s="293"/>
      <c r="AQ3" s="293"/>
      <c r="AR3" s="293"/>
      <c r="AS3" s="293"/>
      <c r="AT3" s="293"/>
      <c r="AU3" s="293"/>
      <c r="AV3" s="293"/>
      <c r="AW3" s="293"/>
      <c r="AX3" s="293"/>
      <c r="AY3" s="293"/>
      <c r="AZ3" s="293"/>
      <c r="BA3" s="293"/>
      <c r="BB3" s="293"/>
      <c r="BC3" s="293"/>
      <c r="BD3" s="293"/>
      <c r="BE3" s="293"/>
      <c r="BF3" s="293"/>
      <c r="BG3" s="293"/>
      <c r="BH3" s="293"/>
      <c r="BI3" s="293"/>
      <c r="BJ3" s="293"/>
      <c r="BK3" s="293"/>
      <c r="BL3" s="293"/>
      <c r="BM3" s="293"/>
      <c r="BN3" s="293"/>
      <c r="BO3" s="293"/>
      <c r="BP3" s="293"/>
      <c r="BQ3" s="293"/>
      <c r="BR3" s="293"/>
      <c r="BS3" s="293"/>
      <c r="BT3" s="293"/>
      <c r="BU3" s="293"/>
      <c r="BV3" s="293"/>
      <c r="BW3" s="293"/>
      <c r="BX3" s="293"/>
      <c r="BY3" s="293"/>
      <c r="BZ3" s="293"/>
      <c r="CA3" s="293"/>
      <c r="CB3" s="293"/>
      <c r="CC3" s="293"/>
      <c r="CD3" s="293"/>
      <c r="CE3" s="293"/>
      <c r="CF3" s="293"/>
      <c r="CG3" s="293"/>
      <c r="CH3" s="293"/>
      <c r="CI3" s="293"/>
      <c r="CJ3" s="293"/>
      <c r="CK3" s="293"/>
      <c r="CL3" s="293"/>
      <c r="CM3" s="293"/>
      <c r="CN3" s="293"/>
      <c r="CO3" s="293"/>
      <c r="CP3" s="293"/>
      <c r="CQ3" s="293"/>
      <c r="CR3" s="293"/>
      <c r="CS3" s="293"/>
      <c r="CT3" s="293"/>
      <c r="CU3" s="293"/>
      <c r="CV3" s="293"/>
      <c r="CW3" s="293"/>
      <c r="CX3" s="293"/>
      <c r="CY3" s="293"/>
      <c r="CZ3" s="293"/>
      <c r="DA3" s="293"/>
      <c r="DB3" s="293"/>
      <c r="DC3" s="293"/>
      <c r="DD3" s="293"/>
      <c r="DE3" s="293"/>
      <c r="DF3" s="293"/>
      <c r="DG3" s="293"/>
      <c r="DH3" s="293"/>
      <c r="DI3" s="293"/>
      <c r="DJ3" s="293"/>
      <c r="DK3" s="293"/>
      <c r="DL3" s="293"/>
      <c r="DM3" s="293"/>
    </row>
    <row r="4" spans="1:117" ht="15" customHeight="1" thickTop="1" thickBot="1">
      <c r="A4" s="293">
        <v>200</v>
      </c>
      <c r="B4" s="172" t="s">
        <v>724</v>
      </c>
      <c r="C4" s="172" t="s">
        <v>725</v>
      </c>
      <c r="D4" s="172" t="s">
        <v>726</v>
      </c>
      <c r="E4" s="172"/>
      <c r="F4" s="172" t="s">
        <v>117</v>
      </c>
      <c r="G4" s="171">
        <f>SUM(G5:G8)</f>
        <v>0</v>
      </c>
      <c r="H4" s="171"/>
      <c r="I4" s="171"/>
      <c r="J4" s="172" t="s">
        <v>727</v>
      </c>
      <c r="K4" s="373"/>
      <c r="L4" s="172"/>
      <c r="M4" s="293"/>
      <c r="N4" s="293"/>
      <c r="O4" s="376">
        <f>SUM(O5:O8)</f>
        <v>0</v>
      </c>
      <c r="P4" s="377" t="s">
        <v>103</v>
      </c>
      <c r="Q4" s="622"/>
      <c r="R4" s="622"/>
      <c r="S4" s="293"/>
      <c r="T4" s="293"/>
      <c r="U4" s="293"/>
      <c r="V4" s="293"/>
      <c r="W4" s="293"/>
      <c r="X4" s="293"/>
      <c r="Y4" s="293"/>
      <c r="Z4" s="293"/>
      <c r="AA4" s="293"/>
      <c r="AB4" s="293"/>
      <c r="AC4" s="293"/>
      <c r="AD4" s="293"/>
      <c r="AE4" s="293"/>
      <c r="AF4" s="293"/>
      <c r="AG4" s="293"/>
      <c r="AH4" s="293"/>
      <c r="AI4" s="293"/>
      <c r="AJ4" s="293"/>
      <c r="AK4" s="293"/>
      <c r="AL4" s="293"/>
      <c r="AM4" s="293"/>
      <c r="AN4" s="293"/>
      <c r="AO4" s="293"/>
      <c r="AP4" s="293"/>
      <c r="AQ4" s="293"/>
      <c r="AR4" s="293"/>
      <c r="AS4" s="293"/>
      <c r="AT4" s="293"/>
      <c r="AU4" s="293"/>
      <c r="AV4" s="293"/>
      <c r="AW4" s="293"/>
      <c r="AX4" s="293"/>
      <c r="AY4" s="293"/>
      <c r="AZ4" s="293"/>
      <c r="BA4" s="293"/>
      <c r="BB4" s="293"/>
      <c r="BC4" s="293"/>
      <c r="BD4" s="293"/>
      <c r="BE4" s="293"/>
      <c r="BF4" s="293"/>
      <c r="BG4" s="293"/>
      <c r="BH4" s="293"/>
      <c r="BI4" s="293"/>
      <c r="BJ4" s="293"/>
      <c r="BK4" s="293"/>
      <c r="BL4" s="293"/>
      <c r="BM4" s="293"/>
      <c r="BN4" s="293"/>
      <c r="BO4" s="293"/>
      <c r="BP4" s="293"/>
      <c r="BQ4" s="293"/>
      <c r="BR4" s="293"/>
      <c r="BS4" s="293"/>
      <c r="BT4" s="293"/>
      <c r="BU4" s="293"/>
      <c r="BV4" s="293"/>
      <c r="BW4" s="293"/>
      <c r="BX4" s="293"/>
      <c r="BY4" s="293"/>
      <c r="BZ4" s="293"/>
      <c r="CA4" s="293"/>
      <c r="CB4" s="293"/>
      <c r="CC4" s="293"/>
      <c r="CD4" s="293"/>
      <c r="CE4" s="293"/>
      <c r="CF4" s="293"/>
      <c r="CG4" s="293"/>
      <c r="CH4" s="293"/>
      <c r="CI4" s="293"/>
      <c r="CJ4" s="293"/>
      <c r="CK4" s="293"/>
      <c r="CL4" s="293"/>
      <c r="CM4" s="293"/>
      <c r="CN4" s="293"/>
      <c r="CO4" s="293"/>
      <c r="CP4" s="293"/>
      <c r="CQ4" s="293"/>
      <c r="CR4" s="293"/>
      <c r="CS4" s="293"/>
      <c r="CT4" s="293"/>
      <c r="CU4" s="293"/>
      <c r="CV4" s="293"/>
      <c r="CW4" s="293"/>
      <c r="CX4" s="293"/>
      <c r="CY4" s="293"/>
      <c r="CZ4" s="293"/>
      <c r="DA4" s="293"/>
      <c r="DB4" s="293"/>
      <c r="DC4" s="293"/>
      <c r="DD4" s="293"/>
      <c r="DE4" s="293"/>
      <c r="DF4" s="293"/>
      <c r="DG4" s="293"/>
      <c r="DH4" s="293"/>
      <c r="DI4" s="293"/>
      <c r="DJ4" s="293"/>
      <c r="DK4" s="293"/>
      <c r="DL4" s="293"/>
      <c r="DM4" s="293"/>
    </row>
    <row r="5" spans="1:117" ht="15" customHeight="1" thickBot="1">
      <c r="A5" s="55">
        <v>300</v>
      </c>
      <c r="B5" s="194" t="s">
        <v>728</v>
      </c>
      <c r="C5" s="194" t="s">
        <v>729</v>
      </c>
      <c r="D5" s="194" t="s">
        <v>730</v>
      </c>
      <c r="E5" s="194"/>
      <c r="F5" s="194" t="s">
        <v>731</v>
      </c>
      <c r="G5" s="291">
        <f t="shared" ref="G5:G44" si="4">IF(I5="",H5,I5)</f>
        <v>0</v>
      </c>
      <c r="H5" s="292">
        <f>VLOOKUP("NF",Objektkenndaten,5,0)*VLOOKUP("VWKm2",Verwaltung_Technik,5,0)</f>
        <v>0</v>
      </c>
      <c r="I5" s="168"/>
      <c r="J5" s="194" t="s">
        <v>727</v>
      </c>
      <c r="K5" s="378" t="s">
        <v>732</v>
      </c>
      <c r="L5" s="379" t="s">
        <v>359</v>
      </c>
      <c r="M5" s="325">
        <f>VLOOKUP(L5,Finanzielle_Parameter,5,0)</f>
        <v>2.25</v>
      </c>
      <c r="N5" s="380">
        <f>(1+VLOOKUP(L5,Finanzielle_Parameter,5,0)/100)/(1+VLOOKUP("R",Finanzielle_Parameter,5,0)/100)</f>
        <v>1.0054080629301869</v>
      </c>
      <c r="O5" s="381">
        <f t="shared" ref="O5:Y8" si="5">IF($N5&lt;&gt;1,$G5*($N5^$K5)*(($N5^($K5*INT(O$2/$K5))-1)/($N5^$K5-1)),$G5*INT(O$2/$K5))</f>
        <v>0</v>
      </c>
      <c r="P5" s="169" t="s">
        <v>103</v>
      </c>
      <c r="Q5" s="114">
        <f t="shared" si="5"/>
        <v>0</v>
      </c>
      <c r="R5" s="115">
        <f t="shared" si="5"/>
        <v>0</v>
      </c>
      <c r="S5" s="115">
        <f t="shared" si="5"/>
        <v>0</v>
      </c>
      <c r="T5" s="115">
        <f t="shared" si="5"/>
        <v>0</v>
      </c>
      <c r="U5" s="115">
        <f t="shared" si="5"/>
        <v>0</v>
      </c>
      <c r="V5" s="115">
        <f t="shared" si="5"/>
        <v>0</v>
      </c>
      <c r="W5" s="115">
        <f t="shared" si="5"/>
        <v>0</v>
      </c>
      <c r="X5" s="115">
        <f t="shared" si="5"/>
        <v>0</v>
      </c>
      <c r="Y5" s="115">
        <f t="shared" si="5"/>
        <v>0</v>
      </c>
      <c r="Z5" s="115">
        <f t="shared" ref="Z5:AI8" si="6">IF($N5&lt;&gt;1,$G5*($N5^$K5)*(($N5^($K5*INT(Z$2/$K5))-1)/($N5^$K5-1)),$G5*INT(Z$2/$K5))</f>
        <v>0</v>
      </c>
      <c r="AA5" s="115">
        <f t="shared" si="6"/>
        <v>0</v>
      </c>
      <c r="AB5" s="115">
        <f t="shared" si="6"/>
        <v>0</v>
      </c>
      <c r="AC5" s="115">
        <f t="shared" si="6"/>
        <v>0</v>
      </c>
      <c r="AD5" s="115">
        <f t="shared" si="6"/>
        <v>0</v>
      </c>
      <c r="AE5" s="115">
        <f t="shared" si="6"/>
        <v>0</v>
      </c>
      <c r="AF5" s="115">
        <f t="shared" si="6"/>
        <v>0</v>
      </c>
      <c r="AG5" s="115">
        <f t="shared" si="6"/>
        <v>0</v>
      </c>
      <c r="AH5" s="115">
        <f t="shared" si="6"/>
        <v>0</v>
      </c>
      <c r="AI5" s="115">
        <f t="shared" si="6"/>
        <v>0</v>
      </c>
      <c r="AJ5" s="115">
        <f t="shared" ref="AJ5:AS8" si="7">IF($N5&lt;&gt;1,$G5*($N5^$K5)*(($N5^($K5*INT(AJ$2/$K5))-1)/($N5^$K5-1)),$G5*INT(AJ$2/$K5))</f>
        <v>0</v>
      </c>
      <c r="AK5" s="115">
        <f t="shared" si="7"/>
        <v>0</v>
      </c>
      <c r="AL5" s="115">
        <f t="shared" si="7"/>
        <v>0</v>
      </c>
      <c r="AM5" s="115">
        <f t="shared" si="7"/>
        <v>0</v>
      </c>
      <c r="AN5" s="115">
        <f t="shared" si="7"/>
        <v>0</v>
      </c>
      <c r="AO5" s="115">
        <f t="shared" si="7"/>
        <v>0</v>
      </c>
      <c r="AP5" s="115">
        <f t="shared" si="7"/>
        <v>0</v>
      </c>
      <c r="AQ5" s="115">
        <f t="shared" si="7"/>
        <v>0</v>
      </c>
      <c r="AR5" s="115">
        <f t="shared" si="7"/>
        <v>0</v>
      </c>
      <c r="AS5" s="115">
        <f t="shared" si="7"/>
        <v>0</v>
      </c>
      <c r="AT5" s="115">
        <f t="shared" ref="AT5:BC8" si="8">IF($N5&lt;&gt;1,$G5*($N5^$K5)*(($N5^($K5*INT(AT$2/$K5))-1)/($N5^$K5-1)),$G5*INT(AT$2/$K5))</f>
        <v>0</v>
      </c>
      <c r="AU5" s="115">
        <f t="shared" si="8"/>
        <v>0</v>
      </c>
      <c r="AV5" s="115" t="e">
        <f t="shared" si="8"/>
        <v>#VALUE!</v>
      </c>
      <c r="AW5" s="115" t="e">
        <f t="shared" si="8"/>
        <v>#VALUE!</v>
      </c>
      <c r="AX5" s="115" t="e">
        <f t="shared" si="8"/>
        <v>#VALUE!</v>
      </c>
      <c r="AY5" s="115" t="e">
        <f t="shared" si="8"/>
        <v>#VALUE!</v>
      </c>
      <c r="AZ5" s="115" t="e">
        <f t="shared" si="8"/>
        <v>#VALUE!</v>
      </c>
      <c r="BA5" s="115" t="e">
        <f t="shared" si="8"/>
        <v>#VALUE!</v>
      </c>
      <c r="BB5" s="115" t="e">
        <f t="shared" si="8"/>
        <v>#VALUE!</v>
      </c>
      <c r="BC5" s="115" t="e">
        <f t="shared" si="8"/>
        <v>#VALUE!</v>
      </c>
      <c r="BD5" s="115" t="e">
        <f t="shared" ref="BD5:BM8" si="9">IF($N5&lt;&gt;1,$G5*($N5^$K5)*(($N5^($K5*INT(BD$2/$K5))-1)/($N5^$K5-1)),$G5*INT(BD$2/$K5))</f>
        <v>#VALUE!</v>
      </c>
      <c r="BE5" s="115" t="e">
        <f t="shared" si="9"/>
        <v>#VALUE!</v>
      </c>
      <c r="BF5" s="115" t="e">
        <f t="shared" si="9"/>
        <v>#VALUE!</v>
      </c>
      <c r="BG5" s="115" t="e">
        <f t="shared" si="9"/>
        <v>#VALUE!</v>
      </c>
      <c r="BH5" s="115" t="e">
        <f t="shared" si="9"/>
        <v>#VALUE!</v>
      </c>
      <c r="BI5" s="115" t="e">
        <f t="shared" si="9"/>
        <v>#VALUE!</v>
      </c>
      <c r="BJ5" s="115" t="e">
        <f t="shared" si="9"/>
        <v>#VALUE!</v>
      </c>
      <c r="BK5" s="115" t="e">
        <f t="shared" si="9"/>
        <v>#VALUE!</v>
      </c>
      <c r="BL5" s="115" t="e">
        <f t="shared" si="9"/>
        <v>#VALUE!</v>
      </c>
      <c r="BM5" s="115" t="e">
        <f t="shared" si="9"/>
        <v>#VALUE!</v>
      </c>
      <c r="BN5" s="115" t="e">
        <f t="shared" ref="BN5:BW8" si="10">IF($N5&lt;&gt;1,$G5*($N5^$K5)*(($N5^($K5*INT(BN$2/$K5))-1)/($N5^$K5-1)),$G5*INT(BN$2/$K5))</f>
        <v>#VALUE!</v>
      </c>
      <c r="BO5" s="115" t="e">
        <f t="shared" si="10"/>
        <v>#VALUE!</v>
      </c>
      <c r="BP5" s="115" t="e">
        <f t="shared" si="10"/>
        <v>#VALUE!</v>
      </c>
      <c r="BQ5" s="115" t="e">
        <f t="shared" si="10"/>
        <v>#VALUE!</v>
      </c>
      <c r="BR5" s="115" t="e">
        <f t="shared" si="10"/>
        <v>#VALUE!</v>
      </c>
      <c r="BS5" s="115" t="e">
        <f t="shared" si="10"/>
        <v>#VALUE!</v>
      </c>
      <c r="BT5" s="115" t="e">
        <f t="shared" si="10"/>
        <v>#VALUE!</v>
      </c>
      <c r="BU5" s="115" t="e">
        <f t="shared" si="10"/>
        <v>#VALUE!</v>
      </c>
      <c r="BV5" s="115" t="e">
        <f t="shared" si="10"/>
        <v>#VALUE!</v>
      </c>
      <c r="BW5" s="115" t="e">
        <f t="shared" si="10"/>
        <v>#VALUE!</v>
      </c>
      <c r="BX5" s="115" t="e">
        <f t="shared" ref="BX5:CG8" si="11">IF($N5&lt;&gt;1,$G5*($N5^$K5)*(($N5^($K5*INT(BX$2/$K5))-1)/($N5^$K5-1)),$G5*INT(BX$2/$K5))</f>
        <v>#VALUE!</v>
      </c>
      <c r="BY5" s="115" t="e">
        <f t="shared" si="11"/>
        <v>#VALUE!</v>
      </c>
      <c r="BZ5" s="115" t="e">
        <f t="shared" si="11"/>
        <v>#VALUE!</v>
      </c>
      <c r="CA5" s="115" t="e">
        <f t="shared" si="11"/>
        <v>#VALUE!</v>
      </c>
      <c r="CB5" s="115" t="e">
        <f t="shared" si="11"/>
        <v>#VALUE!</v>
      </c>
      <c r="CC5" s="115" t="e">
        <f t="shared" si="11"/>
        <v>#VALUE!</v>
      </c>
      <c r="CD5" s="115" t="e">
        <f t="shared" si="11"/>
        <v>#VALUE!</v>
      </c>
      <c r="CE5" s="115" t="e">
        <f t="shared" si="11"/>
        <v>#VALUE!</v>
      </c>
      <c r="CF5" s="115" t="e">
        <f t="shared" si="11"/>
        <v>#VALUE!</v>
      </c>
      <c r="CG5" s="115" t="e">
        <f t="shared" si="11"/>
        <v>#VALUE!</v>
      </c>
      <c r="CH5" s="115" t="e">
        <f t="shared" ref="CH5:CQ8" si="12">IF($N5&lt;&gt;1,$G5*($N5^$K5)*(($N5^($K5*INT(CH$2/$K5))-1)/($N5^$K5-1)),$G5*INT(CH$2/$K5))</f>
        <v>#VALUE!</v>
      </c>
      <c r="CI5" s="115" t="e">
        <f t="shared" si="12"/>
        <v>#VALUE!</v>
      </c>
      <c r="CJ5" s="115" t="e">
        <f t="shared" si="12"/>
        <v>#VALUE!</v>
      </c>
      <c r="CK5" s="115" t="e">
        <f t="shared" si="12"/>
        <v>#VALUE!</v>
      </c>
      <c r="CL5" s="115" t="e">
        <f t="shared" si="12"/>
        <v>#VALUE!</v>
      </c>
      <c r="CM5" s="115" t="e">
        <f t="shared" si="12"/>
        <v>#VALUE!</v>
      </c>
      <c r="CN5" s="115" t="e">
        <f t="shared" si="12"/>
        <v>#VALUE!</v>
      </c>
      <c r="CO5" s="115" t="e">
        <f t="shared" si="12"/>
        <v>#VALUE!</v>
      </c>
      <c r="CP5" s="115" t="e">
        <f t="shared" si="12"/>
        <v>#VALUE!</v>
      </c>
      <c r="CQ5" s="115" t="e">
        <f t="shared" si="12"/>
        <v>#VALUE!</v>
      </c>
      <c r="CR5" s="115" t="e">
        <f t="shared" ref="CR5:DA8" si="13">IF($N5&lt;&gt;1,$G5*($N5^$K5)*(($N5^($K5*INT(CR$2/$K5))-1)/($N5^$K5-1)),$G5*INT(CR$2/$K5))</f>
        <v>#VALUE!</v>
      </c>
      <c r="CS5" s="115" t="e">
        <f t="shared" si="13"/>
        <v>#VALUE!</v>
      </c>
      <c r="CT5" s="115" t="e">
        <f t="shared" si="13"/>
        <v>#VALUE!</v>
      </c>
      <c r="CU5" s="115" t="e">
        <f t="shared" si="13"/>
        <v>#VALUE!</v>
      </c>
      <c r="CV5" s="115" t="e">
        <f t="shared" si="13"/>
        <v>#VALUE!</v>
      </c>
      <c r="CW5" s="115" t="e">
        <f t="shared" si="13"/>
        <v>#VALUE!</v>
      </c>
      <c r="CX5" s="115" t="e">
        <f t="shared" si="13"/>
        <v>#VALUE!</v>
      </c>
      <c r="CY5" s="115" t="e">
        <f t="shared" si="13"/>
        <v>#VALUE!</v>
      </c>
      <c r="CZ5" s="115" t="e">
        <f t="shared" si="13"/>
        <v>#VALUE!</v>
      </c>
      <c r="DA5" s="115" t="e">
        <f t="shared" si="13"/>
        <v>#VALUE!</v>
      </c>
      <c r="DB5" s="115" t="e">
        <f t="shared" ref="DB5:DM8" si="14">IF($N5&lt;&gt;1,$G5*($N5^$K5)*(($N5^($K5*INT(DB$2/$K5))-1)/($N5^$K5-1)),$G5*INT(DB$2/$K5))</f>
        <v>#VALUE!</v>
      </c>
      <c r="DC5" s="115" t="e">
        <f t="shared" si="14"/>
        <v>#VALUE!</v>
      </c>
      <c r="DD5" s="115" t="e">
        <f t="shared" si="14"/>
        <v>#VALUE!</v>
      </c>
      <c r="DE5" s="115" t="e">
        <f t="shared" si="14"/>
        <v>#VALUE!</v>
      </c>
      <c r="DF5" s="115" t="e">
        <f t="shared" si="14"/>
        <v>#VALUE!</v>
      </c>
      <c r="DG5" s="115" t="e">
        <f t="shared" si="14"/>
        <v>#VALUE!</v>
      </c>
      <c r="DH5" s="115" t="e">
        <f t="shared" si="14"/>
        <v>#VALUE!</v>
      </c>
      <c r="DI5" s="115" t="e">
        <f t="shared" si="14"/>
        <v>#VALUE!</v>
      </c>
      <c r="DJ5" s="115" t="e">
        <f t="shared" si="14"/>
        <v>#VALUE!</v>
      </c>
      <c r="DK5" s="115" t="e">
        <f t="shared" si="14"/>
        <v>#VALUE!</v>
      </c>
      <c r="DL5" s="115" t="e">
        <f t="shared" si="14"/>
        <v>#VALUE!</v>
      </c>
      <c r="DM5" s="115" t="e">
        <f t="shared" si="14"/>
        <v>#VALUE!</v>
      </c>
    </row>
    <row r="6" spans="1:117" ht="15" customHeight="1" thickBot="1">
      <c r="A6" s="55">
        <v>400</v>
      </c>
      <c r="B6" s="194" t="s">
        <v>728</v>
      </c>
      <c r="C6" s="194" t="s">
        <v>733</v>
      </c>
      <c r="D6" s="194" t="s">
        <v>734</v>
      </c>
      <c r="E6" s="194"/>
      <c r="F6" s="104"/>
      <c r="G6" s="291">
        <f t="shared" si="4"/>
        <v>0</v>
      </c>
      <c r="H6" s="292"/>
      <c r="I6" s="306"/>
      <c r="J6" s="194" t="s">
        <v>727</v>
      </c>
      <c r="K6" s="378" t="s">
        <v>732</v>
      </c>
      <c r="L6" s="379" t="s">
        <v>359</v>
      </c>
      <c r="M6" s="325">
        <f>VLOOKUP(L6,Finanzielle_Parameter,5,0)</f>
        <v>2.25</v>
      </c>
      <c r="N6" s="380">
        <f>(1+VLOOKUP(L6,Finanzielle_Parameter,5,0)/100)/(1+VLOOKUP("R",Finanzielle_Parameter,5,0)/100)</f>
        <v>1.0054080629301869</v>
      </c>
      <c r="O6" s="381">
        <f t="shared" si="5"/>
        <v>0</v>
      </c>
      <c r="P6" s="169" t="s">
        <v>103</v>
      </c>
      <c r="Q6" s="114">
        <f t="shared" si="5"/>
        <v>0</v>
      </c>
      <c r="R6" s="115">
        <f t="shared" si="5"/>
        <v>0</v>
      </c>
      <c r="S6" s="115">
        <f t="shared" si="5"/>
        <v>0</v>
      </c>
      <c r="T6" s="115">
        <f t="shared" si="5"/>
        <v>0</v>
      </c>
      <c r="U6" s="115">
        <f t="shared" si="5"/>
        <v>0</v>
      </c>
      <c r="V6" s="115">
        <f t="shared" si="5"/>
        <v>0</v>
      </c>
      <c r="W6" s="115">
        <f t="shared" si="5"/>
        <v>0</v>
      </c>
      <c r="X6" s="115">
        <f t="shared" si="5"/>
        <v>0</v>
      </c>
      <c r="Y6" s="115">
        <f t="shared" si="5"/>
        <v>0</v>
      </c>
      <c r="Z6" s="115">
        <f t="shared" si="6"/>
        <v>0</v>
      </c>
      <c r="AA6" s="115">
        <f t="shared" si="6"/>
        <v>0</v>
      </c>
      <c r="AB6" s="115">
        <f t="shared" si="6"/>
        <v>0</v>
      </c>
      <c r="AC6" s="115">
        <f t="shared" si="6"/>
        <v>0</v>
      </c>
      <c r="AD6" s="115">
        <f t="shared" si="6"/>
        <v>0</v>
      </c>
      <c r="AE6" s="115">
        <f t="shared" si="6"/>
        <v>0</v>
      </c>
      <c r="AF6" s="115">
        <f t="shared" si="6"/>
        <v>0</v>
      </c>
      <c r="AG6" s="115">
        <f t="shared" si="6"/>
        <v>0</v>
      </c>
      <c r="AH6" s="115">
        <f t="shared" si="6"/>
        <v>0</v>
      </c>
      <c r="AI6" s="115">
        <f t="shared" si="6"/>
        <v>0</v>
      </c>
      <c r="AJ6" s="115">
        <f t="shared" si="7"/>
        <v>0</v>
      </c>
      <c r="AK6" s="115">
        <f t="shared" si="7"/>
        <v>0</v>
      </c>
      <c r="AL6" s="115">
        <f t="shared" si="7"/>
        <v>0</v>
      </c>
      <c r="AM6" s="115">
        <f t="shared" si="7"/>
        <v>0</v>
      </c>
      <c r="AN6" s="115">
        <f t="shared" si="7"/>
        <v>0</v>
      </c>
      <c r="AO6" s="115">
        <f t="shared" si="7"/>
        <v>0</v>
      </c>
      <c r="AP6" s="115">
        <f t="shared" si="7"/>
        <v>0</v>
      </c>
      <c r="AQ6" s="115">
        <f t="shared" si="7"/>
        <v>0</v>
      </c>
      <c r="AR6" s="115">
        <f t="shared" si="7"/>
        <v>0</v>
      </c>
      <c r="AS6" s="115">
        <f t="shared" si="7"/>
        <v>0</v>
      </c>
      <c r="AT6" s="115">
        <f t="shared" si="8"/>
        <v>0</v>
      </c>
      <c r="AU6" s="115">
        <f t="shared" si="8"/>
        <v>0</v>
      </c>
      <c r="AV6" s="115" t="e">
        <f t="shared" si="8"/>
        <v>#VALUE!</v>
      </c>
      <c r="AW6" s="115" t="e">
        <f t="shared" si="8"/>
        <v>#VALUE!</v>
      </c>
      <c r="AX6" s="115" t="e">
        <f t="shared" si="8"/>
        <v>#VALUE!</v>
      </c>
      <c r="AY6" s="115" t="e">
        <f t="shared" si="8"/>
        <v>#VALUE!</v>
      </c>
      <c r="AZ6" s="115" t="e">
        <f t="shared" si="8"/>
        <v>#VALUE!</v>
      </c>
      <c r="BA6" s="115" t="e">
        <f t="shared" si="8"/>
        <v>#VALUE!</v>
      </c>
      <c r="BB6" s="115" t="e">
        <f t="shared" si="8"/>
        <v>#VALUE!</v>
      </c>
      <c r="BC6" s="115" t="e">
        <f t="shared" si="8"/>
        <v>#VALUE!</v>
      </c>
      <c r="BD6" s="115" t="e">
        <f t="shared" si="9"/>
        <v>#VALUE!</v>
      </c>
      <c r="BE6" s="115" t="e">
        <f t="shared" si="9"/>
        <v>#VALUE!</v>
      </c>
      <c r="BF6" s="115" t="e">
        <f t="shared" si="9"/>
        <v>#VALUE!</v>
      </c>
      <c r="BG6" s="115" t="e">
        <f t="shared" si="9"/>
        <v>#VALUE!</v>
      </c>
      <c r="BH6" s="115" t="e">
        <f t="shared" si="9"/>
        <v>#VALUE!</v>
      </c>
      <c r="BI6" s="115" t="e">
        <f t="shared" si="9"/>
        <v>#VALUE!</v>
      </c>
      <c r="BJ6" s="115" t="e">
        <f t="shared" si="9"/>
        <v>#VALUE!</v>
      </c>
      <c r="BK6" s="115" t="e">
        <f t="shared" si="9"/>
        <v>#VALUE!</v>
      </c>
      <c r="BL6" s="115" t="e">
        <f t="shared" si="9"/>
        <v>#VALUE!</v>
      </c>
      <c r="BM6" s="115" t="e">
        <f t="shared" si="9"/>
        <v>#VALUE!</v>
      </c>
      <c r="BN6" s="115" t="e">
        <f t="shared" si="10"/>
        <v>#VALUE!</v>
      </c>
      <c r="BO6" s="115" t="e">
        <f t="shared" si="10"/>
        <v>#VALUE!</v>
      </c>
      <c r="BP6" s="115" t="e">
        <f t="shared" si="10"/>
        <v>#VALUE!</v>
      </c>
      <c r="BQ6" s="115" t="e">
        <f t="shared" si="10"/>
        <v>#VALUE!</v>
      </c>
      <c r="BR6" s="115" t="e">
        <f t="shared" si="10"/>
        <v>#VALUE!</v>
      </c>
      <c r="BS6" s="115" t="e">
        <f t="shared" si="10"/>
        <v>#VALUE!</v>
      </c>
      <c r="BT6" s="115" t="e">
        <f t="shared" si="10"/>
        <v>#VALUE!</v>
      </c>
      <c r="BU6" s="115" t="e">
        <f t="shared" si="10"/>
        <v>#VALUE!</v>
      </c>
      <c r="BV6" s="115" t="e">
        <f t="shared" si="10"/>
        <v>#VALUE!</v>
      </c>
      <c r="BW6" s="115" t="e">
        <f t="shared" si="10"/>
        <v>#VALUE!</v>
      </c>
      <c r="BX6" s="115" t="e">
        <f t="shared" si="11"/>
        <v>#VALUE!</v>
      </c>
      <c r="BY6" s="115" t="e">
        <f t="shared" si="11"/>
        <v>#VALUE!</v>
      </c>
      <c r="BZ6" s="115" t="e">
        <f t="shared" si="11"/>
        <v>#VALUE!</v>
      </c>
      <c r="CA6" s="115" t="e">
        <f t="shared" si="11"/>
        <v>#VALUE!</v>
      </c>
      <c r="CB6" s="115" t="e">
        <f t="shared" si="11"/>
        <v>#VALUE!</v>
      </c>
      <c r="CC6" s="115" t="e">
        <f t="shared" si="11"/>
        <v>#VALUE!</v>
      </c>
      <c r="CD6" s="115" t="e">
        <f t="shared" si="11"/>
        <v>#VALUE!</v>
      </c>
      <c r="CE6" s="115" t="e">
        <f t="shared" si="11"/>
        <v>#VALUE!</v>
      </c>
      <c r="CF6" s="115" t="e">
        <f t="shared" si="11"/>
        <v>#VALUE!</v>
      </c>
      <c r="CG6" s="115" t="e">
        <f t="shared" si="11"/>
        <v>#VALUE!</v>
      </c>
      <c r="CH6" s="115" t="e">
        <f t="shared" si="12"/>
        <v>#VALUE!</v>
      </c>
      <c r="CI6" s="115" t="e">
        <f t="shared" si="12"/>
        <v>#VALUE!</v>
      </c>
      <c r="CJ6" s="115" t="e">
        <f t="shared" si="12"/>
        <v>#VALUE!</v>
      </c>
      <c r="CK6" s="115" t="e">
        <f t="shared" si="12"/>
        <v>#VALUE!</v>
      </c>
      <c r="CL6" s="115" t="e">
        <f t="shared" si="12"/>
        <v>#VALUE!</v>
      </c>
      <c r="CM6" s="115" t="e">
        <f t="shared" si="12"/>
        <v>#VALUE!</v>
      </c>
      <c r="CN6" s="115" t="e">
        <f t="shared" si="12"/>
        <v>#VALUE!</v>
      </c>
      <c r="CO6" s="115" t="e">
        <f t="shared" si="12"/>
        <v>#VALUE!</v>
      </c>
      <c r="CP6" s="115" t="e">
        <f t="shared" si="12"/>
        <v>#VALUE!</v>
      </c>
      <c r="CQ6" s="115" t="e">
        <f t="shared" si="12"/>
        <v>#VALUE!</v>
      </c>
      <c r="CR6" s="115" t="e">
        <f t="shared" si="13"/>
        <v>#VALUE!</v>
      </c>
      <c r="CS6" s="115" t="e">
        <f t="shared" si="13"/>
        <v>#VALUE!</v>
      </c>
      <c r="CT6" s="115" t="e">
        <f t="shared" si="13"/>
        <v>#VALUE!</v>
      </c>
      <c r="CU6" s="115" t="e">
        <f t="shared" si="13"/>
        <v>#VALUE!</v>
      </c>
      <c r="CV6" s="115" t="e">
        <f t="shared" si="13"/>
        <v>#VALUE!</v>
      </c>
      <c r="CW6" s="115" t="e">
        <f t="shared" si="13"/>
        <v>#VALUE!</v>
      </c>
      <c r="CX6" s="115" t="e">
        <f t="shared" si="13"/>
        <v>#VALUE!</v>
      </c>
      <c r="CY6" s="115" t="e">
        <f t="shared" si="13"/>
        <v>#VALUE!</v>
      </c>
      <c r="CZ6" s="115" t="e">
        <f t="shared" si="13"/>
        <v>#VALUE!</v>
      </c>
      <c r="DA6" s="115" t="e">
        <f t="shared" si="13"/>
        <v>#VALUE!</v>
      </c>
      <c r="DB6" s="115" t="e">
        <f t="shared" si="14"/>
        <v>#VALUE!</v>
      </c>
      <c r="DC6" s="115" t="e">
        <f t="shared" si="14"/>
        <v>#VALUE!</v>
      </c>
      <c r="DD6" s="115" t="e">
        <f t="shared" si="14"/>
        <v>#VALUE!</v>
      </c>
      <c r="DE6" s="115" t="e">
        <f t="shared" si="14"/>
        <v>#VALUE!</v>
      </c>
      <c r="DF6" s="115" t="e">
        <f t="shared" si="14"/>
        <v>#VALUE!</v>
      </c>
      <c r="DG6" s="115" t="e">
        <f t="shared" si="14"/>
        <v>#VALUE!</v>
      </c>
      <c r="DH6" s="115" t="e">
        <f t="shared" si="14"/>
        <v>#VALUE!</v>
      </c>
      <c r="DI6" s="115" t="e">
        <f t="shared" si="14"/>
        <v>#VALUE!</v>
      </c>
      <c r="DJ6" s="115" t="e">
        <f t="shared" si="14"/>
        <v>#VALUE!</v>
      </c>
      <c r="DK6" s="115" t="e">
        <f t="shared" si="14"/>
        <v>#VALUE!</v>
      </c>
      <c r="DL6" s="115" t="e">
        <f t="shared" si="14"/>
        <v>#VALUE!</v>
      </c>
      <c r="DM6" s="115" t="e">
        <f t="shared" si="14"/>
        <v>#VALUE!</v>
      </c>
    </row>
    <row r="7" spans="1:117" ht="15" customHeight="1" thickBot="1">
      <c r="A7" s="55">
        <v>500</v>
      </c>
      <c r="B7" s="194" t="s">
        <v>728</v>
      </c>
      <c r="C7" s="194" t="s">
        <v>735</v>
      </c>
      <c r="D7" s="194" t="s">
        <v>736</v>
      </c>
      <c r="E7" s="194"/>
      <c r="F7" s="194"/>
      <c r="G7" s="291">
        <f t="shared" si="4"/>
        <v>0</v>
      </c>
      <c r="H7" s="292"/>
      <c r="I7" s="306"/>
      <c r="J7" s="194" t="s">
        <v>727</v>
      </c>
      <c r="K7" s="378" t="s">
        <v>732</v>
      </c>
      <c r="L7" s="379" t="s">
        <v>359</v>
      </c>
      <c r="M7" s="325">
        <f>VLOOKUP(L7,Finanzielle_Parameter,5,0)</f>
        <v>2.25</v>
      </c>
      <c r="N7" s="380">
        <f>(1+VLOOKUP(L7,Finanzielle_Parameter,5,0)/100)/(1+VLOOKUP("R",Finanzielle_Parameter,5,0)/100)</f>
        <v>1.0054080629301869</v>
      </c>
      <c r="O7" s="381">
        <f t="shared" si="5"/>
        <v>0</v>
      </c>
      <c r="P7" s="169" t="s">
        <v>103</v>
      </c>
      <c r="Q7" s="114">
        <f t="shared" si="5"/>
        <v>0</v>
      </c>
      <c r="R7" s="115">
        <f t="shared" si="5"/>
        <v>0</v>
      </c>
      <c r="S7" s="115">
        <f t="shared" si="5"/>
        <v>0</v>
      </c>
      <c r="T7" s="115">
        <f t="shared" si="5"/>
        <v>0</v>
      </c>
      <c r="U7" s="115">
        <f t="shared" si="5"/>
        <v>0</v>
      </c>
      <c r="V7" s="115">
        <f t="shared" si="5"/>
        <v>0</v>
      </c>
      <c r="W7" s="115">
        <f t="shared" si="5"/>
        <v>0</v>
      </c>
      <c r="X7" s="115">
        <f t="shared" si="5"/>
        <v>0</v>
      </c>
      <c r="Y7" s="115">
        <f t="shared" si="5"/>
        <v>0</v>
      </c>
      <c r="Z7" s="115">
        <f t="shared" si="6"/>
        <v>0</v>
      </c>
      <c r="AA7" s="115">
        <f t="shared" si="6"/>
        <v>0</v>
      </c>
      <c r="AB7" s="115">
        <f t="shared" si="6"/>
        <v>0</v>
      </c>
      <c r="AC7" s="115">
        <f t="shared" si="6"/>
        <v>0</v>
      </c>
      <c r="AD7" s="115">
        <f t="shared" si="6"/>
        <v>0</v>
      </c>
      <c r="AE7" s="115">
        <f t="shared" si="6"/>
        <v>0</v>
      </c>
      <c r="AF7" s="115">
        <f t="shared" si="6"/>
        <v>0</v>
      </c>
      <c r="AG7" s="115">
        <f t="shared" si="6"/>
        <v>0</v>
      </c>
      <c r="AH7" s="115">
        <f t="shared" si="6"/>
        <v>0</v>
      </c>
      <c r="AI7" s="115">
        <f t="shared" si="6"/>
        <v>0</v>
      </c>
      <c r="AJ7" s="115">
        <f t="shared" si="7"/>
        <v>0</v>
      </c>
      <c r="AK7" s="115">
        <f t="shared" si="7"/>
        <v>0</v>
      </c>
      <c r="AL7" s="115">
        <f t="shared" si="7"/>
        <v>0</v>
      </c>
      <c r="AM7" s="115">
        <f t="shared" si="7"/>
        <v>0</v>
      </c>
      <c r="AN7" s="115">
        <f t="shared" si="7"/>
        <v>0</v>
      </c>
      <c r="AO7" s="115">
        <f t="shared" si="7"/>
        <v>0</v>
      </c>
      <c r="AP7" s="115">
        <f t="shared" si="7"/>
        <v>0</v>
      </c>
      <c r="AQ7" s="115">
        <f t="shared" si="7"/>
        <v>0</v>
      </c>
      <c r="AR7" s="115">
        <f t="shared" si="7"/>
        <v>0</v>
      </c>
      <c r="AS7" s="115">
        <f t="shared" si="7"/>
        <v>0</v>
      </c>
      <c r="AT7" s="115">
        <f t="shared" si="8"/>
        <v>0</v>
      </c>
      <c r="AU7" s="115">
        <f t="shared" si="8"/>
        <v>0</v>
      </c>
      <c r="AV7" s="115" t="e">
        <f t="shared" si="8"/>
        <v>#VALUE!</v>
      </c>
      <c r="AW7" s="115" t="e">
        <f t="shared" si="8"/>
        <v>#VALUE!</v>
      </c>
      <c r="AX7" s="115" t="e">
        <f t="shared" si="8"/>
        <v>#VALUE!</v>
      </c>
      <c r="AY7" s="115" t="e">
        <f t="shared" si="8"/>
        <v>#VALUE!</v>
      </c>
      <c r="AZ7" s="115" t="e">
        <f t="shared" si="8"/>
        <v>#VALUE!</v>
      </c>
      <c r="BA7" s="115" t="e">
        <f t="shared" si="8"/>
        <v>#VALUE!</v>
      </c>
      <c r="BB7" s="115" t="e">
        <f t="shared" si="8"/>
        <v>#VALUE!</v>
      </c>
      <c r="BC7" s="115" t="e">
        <f t="shared" si="8"/>
        <v>#VALUE!</v>
      </c>
      <c r="BD7" s="115" t="e">
        <f t="shared" si="9"/>
        <v>#VALUE!</v>
      </c>
      <c r="BE7" s="115" t="e">
        <f t="shared" si="9"/>
        <v>#VALUE!</v>
      </c>
      <c r="BF7" s="115" t="e">
        <f t="shared" si="9"/>
        <v>#VALUE!</v>
      </c>
      <c r="BG7" s="115" t="e">
        <f t="shared" si="9"/>
        <v>#VALUE!</v>
      </c>
      <c r="BH7" s="115" t="e">
        <f t="shared" si="9"/>
        <v>#VALUE!</v>
      </c>
      <c r="BI7" s="115" t="e">
        <f t="shared" si="9"/>
        <v>#VALUE!</v>
      </c>
      <c r="BJ7" s="115" t="e">
        <f t="shared" si="9"/>
        <v>#VALUE!</v>
      </c>
      <c r="BK7" s="115" t="e">
        <f t="shared" si="9"/>
        <v>#VALUE!</v>
      </c>
      <c r="BL7" s="115" t="e">
        <f t="shared" si="9"/>
        <v>#VALUE!</v>
      </c>
      <c r="BM7" s="115" t="e">
        <f t="shared" si="9"/>
        <v>#VALUE!</v>
      </c>
      <c r="BN7" s="115" t="e">
        <f t="shared" si="10"/>
        <v>#VALUE!</v>
      </c>
      <c r="BO7" s="115" t="e">
        <f t="shared" si="10"/>
        <v>#VALUE!</v>
      </c>
      <c r="BP7" s="115" t="e">
        <f t="shared" si="10"/>
        <v>#VALUE!</v>
      </c>
      <c r="BQ7" s="115" t="e">
        <f t="shared" si="10"/>
        <v>#VALUE!</v>
      </c>
      <c r="BR7" s="115" t="e">
        <f t="shared" si="10"/>
        <v>#VALUE!</v>
      </c>
      <c r="BS7" s="115" t="e">
        <f t="shared" si="10"/>
        <v>#VALUE!</v>
      </c>
      <c r="BT7" s="115" t="e">
        <f t="shared" si="10"/>
        <v>#VALUE!</v>
      </c>
      <c r="BU7" s="115" t="e">
        <f t="shared" si="10"/>
        <v>#VALUE!</v>
      </c>
      <c r="BV7" s="115" t="e">
        <f t="shared" si="10"/>
        <v>#VALUE!</v>
      </c>
      <c r="BW7" s="115" t="e">
        <f t="shared" si="10"/>
        <v>#VALUE!</v>
      </c>
      <c r="BX7" s="115" t="e">
        <f t="shared" si="11"/>
        <v>#VALUE!</v>
      </c>
      <c r="BY7" s="115" t="e">
        <f t="shared" si="11"/>
        <v>#VALUE!</v>
      </c>
      <c r="BZ7" s="115" t="e">
        <f t="shared" si="11"/>
        <v>#VALUE!</v>
      </c>
      <c r="CA7" s="115" t="e">
        <f t="shared" si="11"/>
        <v>#VALUE!</v>
      </c>
      <c r="CB7" s="115" t="e">
        <f t="shared" si="11"/>
        <v>#VALUE!</v>
      </c>
      <c r="CC7" s="115" t="e">
        <f t="shared" si="11"/>
        <v>#VALUE!</v>
      </c>
      <c r="CD7" s="115" t="e">
        <f t="shared" si="11"/>
        <v>#VALUE!</v>
      </c>
      <c r="CE7" s="115" t="e">
        <f t="shared" si="11"/>
        <v>#VALUE!</v>
      </c>
      <c r="CF7" s="115" t="e">
        <f t="shared" si="11"/>
        <v>#VALUE!</v>
      </c>
      <c r="CG7" s="115" t="e">
        <f t="shared" si="11"/>
        <v>#VALUE!</v>
      </c>
      <c r="CH7" s="115" t="e">
        <f t="shared" si="12"/>
        <v>#VALUE!</v>
      </c>
      <c r="CI7" s="115" t="e">
        <f t="shared" si="12"/>
        <v>#VALUE!</v>
      </c>
      <c r="CJ7" s="115" t="e">
        <f t="shared" si="12"/>
        <v>#VALUE!</v>
      </c>
      <c r="CK7" s="115" t="e">
        <f t="shared" si="12"/>
        <v>#VALUE!</v>
      </c>
      <c r="CL7" s="115" t="e">
        <f t="shared" si="12"/>
        <v>#VALUE!</v>
      </c>
      <c r="CM7" s="115" t="e">
        <f t="shared" si="12"/>
        <v>#VALUE!</v>
      </c>
      <c r="CN7" s="115" t="e">
        <f t="shared" si="12"/>
        <v>#VALUE!</v>
      </c>
      <c r="CO7" s="115" t="e">
        <f t="shared" si="12"/>
        <v>#VALUE!</v>
      </c>
      <c r="CP7" s="115" t="e">
        <f t="shared" si="12"/>
        <v>#VALUE!</v>
      </c>
      <c r="CQ7" s="115" t="e">
        <f t="shared" si="12"/>
        <v>#VALUE!</v>
      </c>
      <c r="CR7" s="115" t="e">
        <f t="shared" si="13"/>
        <v>#VALUE!</v>
      </c>
      <c r="CS7" s="115" t="e">
        <f t="shared" si="13"/>
        <v>#VALUE!</v>
      </c>
      <c r="CT7" s="115" t="e">
        <f t="shared" si="13"/>
        <v>#VALUE!</v>
      </c>
      <c r="CU7" s="115" t="e">
        <f t="shared" si="13"/>
        <v>#VALUE!</v>
      </c>
      <c r="CV7" s="115" t="e">
        <f t="shared" si="13"/>
        <v>#VALUE!</v>
      </c>
      <c r="CW7" s="115" t="e">
        <f t="shared" si="13"/>
        <v>#VALUE!</v>
      </c>
      <c r="CX7" s="115" t="e">
        <f t="shared" si="13"/>
        <v>#VALUE!</v>
      </c>
      <c r="CY7" s="115" t="e">
        <f t="shared" si="13"/>
        <v>#VALUE!</v>
      </c>
      <c r="CZ7" s="115" t="e">
        <f t="shared" si="13"/>
        <v>#VALUE!</v>
      </c>
      <c r="DA7" s="115" t="e">
        <f t="shared" si="13"/>
        <v>#VALUE!</v>
      </c>
      <c r="DB7" s="115" t="e">
        <f t="shared" si="14"/>
        <v>#VALUE!</v>
      </c>
      <c r="DC7" s="115" t="e">
        <f t="shared" si="14"/>
        <v>#VALUE!</v>
      </c>
      <c r="DD7" s="115" t="e">
        <f t="shared" si="14"/>
        <v>#VALUE!</v>
      </c>
      <c r="DE7" s="115" t="e">
        <f t="shared" si="14"/>
        <v>#VALUE!</v>
      </c>
      <c r="DF7" s="115" t="e">
        <f t="shared" si="14"/>
        <v>#VALUE!</v>
      </c>
      <c r="DG7" s="115" t="e">
        <f t="shared" si="14"/>
        <v>#VALUE!</v>
      </c>
      <c r="DH7" s="115" t="e">
        <f t="shared" si="14"/>
        <v>#VALUE!</v>
      </c>
      <c r="DI7" s="115" t="e">
        <f t="shared" si="14"/>
        <v>#VALUE!</v>
      </c>
      <c r="DJ7" s="115" t="e">
        <f t="shared" si="14"/>
        <v>#VALUE!</v>
      </c>
      <c r="DK7" s="115" t="e">
        <f t="shared" si="14"/>
        <v>#VALUE!</v>
      </c>
      <c r="DL7" s="115" t="e">
        <f t="shared" si="14"/>
        <v>#VALUE!</v>
      </c>
      <c r="DM7" s="115" t="e">
        <f t="shared" si="14"/>
        <v>#VALUE!</v>
      </c>
    </row>
    <row r="8" spans="1:117" ht="15" customHeight="1" thickBot="1">
      <c r="A8" s="55">
        <v>600</v>
      </c>
      <c r="B8" s="194" t="s">
        <v>728</v>
      </c>
      <c r="C8" s="194" t="s">
        <v>737</v>
      </c>
      <c r="D8" s="194" t="s">
        <v>198</v>
      </c>
      <c r="E8" s="194"/>
      <c r="F8" s="194"/>
      <c r="G8" s="291">
        <f t="shared" si="4"/>
        <v>0</v>
      </c>
      <c r="H8" s="292"/>
      <c r="I8" s="306"/>
      <c r="J8" s="194" t="s">
        <v>727</v>
      </c>
      <c r="K8" s="378" t="s">
        <v>732</v>
      </c>
      <c r="L8" s="379" t="s">
        <v>359</v>
      </c>
      <c r="M8" s="325">
        <f>VLOOKUP(L8,Finanzielle_Parameter,5,0)</f>
        <v>2.25</v>
      </c>
      <c r="N8" s="380">
        <f>(1+VLOOKUP(L8,Finanzielle_Parameter,5,0)/100)/(1+VLOOKUP("R",Finanzielle_Parameter,5,0)/100)</f>
        <v>1.0054080629301869</v>
      </c>
      <c r="O8" s="381">
        <f t="shared" si="5"/>
        <v>0</v>
      </c>
      <c r="P8" s="169" t="s">
        <v>103</v>
      </c>
      <c r="Q8" s="114">
        <f t="shared" si="5"/>
        <v>0</v>
      </c>
      <c r="R8" s="115">
        <f t="shared" si="5"/>
        <v>0</v>
      </c>
      <c r="S8" s="115">
        <f t="shared" si="5"/>
        <v>0</v>
      </c>
      <c r="T8" s="115">
        <f t="shared" si="5"/>
        <v>0</v>
      </c>
      <c r="U8" s="115">
        <f t="shared" si="5"/>
        <v>0</v>
      </c>
      <c r="V8" s="115">
        <f t="shared" si="5"/>
        <v>0</v>
      </c>
      <c r="W8" s="115">
        <f t="shared" si="5"/>
        <v>0</v>
      </c>
      <c r="X8" s="115">
        <f t="shared" si="5"/>
        <v>0</v>
      </c>
      <c r="Y8" s="115">
        <f t="shared" si="5"/>
        <v>0</v>
      </c>
      <c r="Z8" s="115">
        <f t="shared" si="6"/>
        <v>0</v>
      </c>
      <c r="AA8" s="115">
        <f t="shared" si="6"/>
        <v>0</v>
      </c>
      <c r="AB8" s="115">
        <f t="shared" si="6"/>
        <v>0</v>
      </c>
      <c r="AC8" s="115">
        <f t="shared" si="6"/>
        <v>0</v>
      </c>
      <c r="AD8" s="115">
        <f t="shared" si="6"/>
        <v>0</v>
      </c>
      <c r="AE8" s="115">
        <f t="shared" si="6"/>
        <v>0</v>
      </c>
      <c r="AF8" s="115">
        <f t="shared" si="6"/>
        <v>0</v>
      </c>
      <c r="AG8" s="115">
        <f t="shared" si="6"/>
        <v>0</v>
      </c>
      <c r="AH8" s="115">
        <f t="shared" si="6"/>
        <v>0</v>
      </c>
      <c r="AI8" s="115">
        <f t="shared" si="6"/>
        <v>0</v>
      </c>
      <c r="AJ8" s="115">
        <f t="shared" si="7"/>
        <v>0</v>
      </c>
      <c r="AK8" s="115">
        <f t="shared" si="7"/>
        <v>0</v>
      </c>
      <c r="AL8" s="115">
        <f t="shared" si="7"/>
        <v>0</v>
      </c>
      <c r="AM8" s="115">
        <f t="shared" si="7"/>
        <v>0</v>
      </c>
      <c r="AN8" s="115">
        <f t="shared" si="7"/>
        <v>0</v>
      </c>
      <c r="AO8" s="115">
        <f t="shared" si="7"/>
        <v>0</v>
      </c>
      <c r="AP8" s="115">
        <f t="shared" si="7"/>
        <v>0</v>
      </c>
      <c r="AQ8" s="115">
        <f t="shared" si="7"/>
        <v>0</v>
      </c>
      <c r="AR8" s="115">
        <f t="shared" si="7"/>
        <v>0</v>
      </c>
      <c r="AS8" s="115">
        <f t="shared" si="7"/>
        <v>0</v>
      </c>
      <c r="AT8" s="115">
        <f t="shared" si="8"/>
        <v>0</v>
      </c>
      <c r="AU8" s="115">
        <f t="shared" si="8"/>
        <v>0</v>
      </c>
      <c r="AV8" s="115" t="e">
        <f t="shared" si="8"/>
        <v>#VALUE!</v>
      </c>
      <c r="AW8" s="115" t="e">
        <f t="shared" si="8"/>
        <v>#VALUE!</v>
      </c>
      <c r="AX8" s="115" t="e">
        <f t="shared" si="8"/>
        <v>#VALUE!</v>
      </c>
      <c r="AY8" s="115" t="e">
        <f t="shared" si="8"/>
        <v>#VALUE!</v>
      </c>
      <c r="AZ8" s="115" t="e">
        <f t="shared" si="8"/>
        <v>#VALUE!</v>
      </c>
      <c r="BA8" s="115" t="e">
        <f t="shared" si="8"/>
        <v>#VALUE!</v>
      </c>
      <c r="BB8" s="115" t="e">
        <f t="shared" si="8"/>
        <v>#VALUE!</v>
      </c>
      <c r="BC8" s="115" t="e">
        <f t="shared" si="8"/>
        <v>#VALUE!</v>
      </c>
      <c r="BD8" s="115" t="e">
        <f t="shared" si="9"/>
        <v>#VALUE!</v>
      </c>
      <c r="BE8" s="115" t="e">
        <f t="shared" si="9"/>
        <v>#VALUE!</v>
      </c>
      <c r="BF8" s="115" t="e">
        <f t="shared" si="9"/>
        <v>#VALUE!</v>
      </c>
      <c r="BG8" s="115" t="e">
        <f t="shared" si="9"/>
        <v>#VALUE!</v>
      </c>
      <c r="BH8" s="115" t="e">
        <f t="shared" si="9"/>
        <v>#VALUE!</v>
      </c>
      <c r="BI8" s="115" t="e">
        <f t="shared" si="9"/>
        <v>#VALUE!</v>
      </c>
      <c r="BJ8" s="115" t="e">
        <f t="shared" si="9"/>
        <v>#VALUE!</v>
      </c>
      <c r="BK8" s="115" t="e">
        <f t="shared" si="9"/>
        <v>#VALUE!</v>
      </c>
      <c r="BL8" s="115" t="e">
        <f t="shared" si="9"/>
        <v>#VALUE!</v>
      </c>
      <c r="BM8" s="115" t="e">
        <f t="shared" si="9"/>
        <v>#VALUE!</v>
      </c>
      <c r="BN8" s="115" t="e">
        <f t="shared" si="10"/>
        <v>#VALUE!</v>
      </c>
      <c r="BO8" s="115" t="e">
        <f t="shared" si="10"/>
        <v>#VALUE!</v>
      </c>
      <c r="BP8" s="115" t="e">
        <f t="shared" si="10"/>
        <v>#VALUE!</v>
      </c>
      <c r="BQ8" s="115" t="e">
        <f t="shared" si="10"/>
        <v>#VALUE!</v>
      </c>
      <c r="BR8" s="115" t="e">
        <f t="shared" si="10"/>
        <v>#VALUE!</v>
      </c>
      <c r="BS8" s="115" t="e">
        <f t="shared" si="10"/>
        <v>#VALUE!</v>
      </c>
      <c r="BT8" s="115" t="e">
        <f t="shared" si="10"/>
        <v>#VALUE!</v>
      </c>
      <c r="BU8" s="115" t="e">
        <f t="shared" si="10"/>
        <v>#VALUE!</v>
      </c>
      <c r="BV8" s="115" t="e">
        <f t="shared" si="10"/>
        <v>#VALUE!</v>
      </c>
      <c r="BW8" s="115" t="e">
        <f t="shared" si="10"/>
        <v>#VALUE!</v>
      </c>
      <c r="BX8" s="115" t="e">
        <f t="shared" si="11"/>
        <v>#VALUE!</v>
      </c>
      <c r="BY8" s="115" t="e">
        <f t="shared" si="11"/>
        <v>#VALUE!</v>
      </c>
      <c r="BZ8" s="115" t="e">
        <f t="shared" si="11"/>
        <v>#VALUE!</v>
      </c>
      <c r="CA8" s="115" t="e">
        <f t="shared" si="11"/>
        <v>#VALUE!</v>
      </c>
      <c r="CB8" s="115" t="e">
        <f t="shared" si="11"/>
        <v>#VALUE!</v>
      </c>
      <c r="CC8" s="115" t="e">
        <f t="shared" si="11"/>
        <v>#VALUE!</v>
      </c>
      <c r="CD8" s="115" t="e">
        <f t="shared" si="11"/>
        <v>#VALUE!</v>
      </c>
      <c r="CE8" s="115" t="e">
        <f t="shared" si="11"/>
        <v>#VALUE!</v>
      </c>
      <c r="CF8" s="115" t="e">
        <f t="shared" si="11"/>
        <v>#VALUE!</v>
      </c>
      <c r="CG8" s="115" t="e">
        <f t="shared" si="11"/>
        <v>#VALUE!</v>
      </c>
      <c r="CH8" s="115" t="e">
        <f t="shared" si="12"/>
        <v>#VALUE!</v>
      </c>
      <c r="CI8" s="115" t="e">
        <f t="shared" si="12"/>
        <v>#VALUE!</v>
      </c>
      <c r="CJ8" s="115" t="e">
        <f t="shared" si="12"/>
        <v>#VALUE!</v>
      </c>
      <c r="CK8" s="115" t="e">
        <f t="shared" si="12"/>
        <v>#VALUE!</v>
      </c>
      <c r="CL8" s="115" t="e">
        <f t="shared" si="12"/>
        <v>#VALUE!</v>
      </c>
      <c r="CM8" s="115" t="e">
        <f t="shared" si="12"/>
        <v>#VALUE!</v>
      </c>
      <c r="CN8" s="115" t="e">
        <f t="shared" si="12"/>
        <v>#VALUE!</v>
      </c>
      <c r="CO8" s="115" t="e">
        <f t="shared" si="12"/>
        <v>#VALUE!</v>
      </c>
      <c r="CP8" s="115" t="e">
        <f t="shared" si="12"/>
        <v>#VALUE!</v>
      </c>
      <c r="CQ8" s="115" t="e">
        <f t="shared" si="12"/>
        <v>#VALUE!</v>
      </c>
      <c r="CR8" s="115" t="e">
        <f t="shared" si="13"/>
        <v>#VALUE!</v>
      </c>
      <c r="CS8" s="115" t="e">
        <f t="shared" si="13"/>
        <v>#VALUE!</v>
      </c>
      <c r="CT8" s="115" t="e">
        <f t="shared" si="13"/>
        <v>#VALUE!</v>
      </c>
      <c r="CU8" s="115" t="e">
        <f t="shared" si="13"/>
        <v>#VALUE!</v>
      </c>
      <c r="CV8" s="115" t="e">
        <f t="shared" si="13"/>
        <v>#VALUE!</v>
      </c>
      <c r="CW8" s="115" t="e">
        <f t="shared" si="13"/>
        <v>#VALUE!</v>
      </c>
      <c r="CX8" s="115" t="e">
        <f t="shared" si="13"/>
        <v>#VALUE!</v>
      </c>
      <c r="CY8" s="115" t="e">
        <f t="shared" si="13"/>
        <v>#VALUE!</v>
      </c>
      <c r="CZ8" s="115" t="e">
        <f t="shared" si="13"/>
        <v>#VALUE!</v>
      </c>
      <c r="DA8" s="115" t="e">
        <f t="shared" si="13"/>
        <v>#VALUE!</v>
      </c>
      <c r="DB8" s="115" t="e">
        <f t="shared" si="14"/>
        <v>#VALUE!</v>
      </c>
      <c r="DC8" s="115" t="e">
        <f t="shared" si="14"/>
        <v>#VALUE!</v>
      </c>
      <c r="DD8" s="115" t="e">
        <f t="shared" si="14"/>
        <v>#VALUE!</v>
      </c>
      <c r="DE8" s="115" t="e">
        <f t="shared" si="14"/>
        <v>#VALUE!</v>
      </c>
      <c r="DF8" s="115" t="e">
        <f t="shared" si="14"/>
        <v>#VALUE!</v>
      </c>
      <c r="DG8" s="115" t="e">
        <f t="shared" si="14"/>
        <v>#VALUE!</v>
      </c>
      <c r="DH8" s="115" t="e">
        <f t="shared" si="14"/>
        <v>#VALUE!</v>
      </c>
      <c r="DI8" s="115" t="e">
        <f t="shared" si="14"/>
        <v>#VALUE!</v>
      </c>
      <c r="DJ8" s="115" t="e">
        <f t="shared" si="14"/>
        <v>#VALUE!</v>
      </c>
      <c r="DK8" s="115" t="e">
        <f t="shared" si="14"/>
        <v>#VALUE!</v>
      </c>
      <c r="DL8" s="115" t="e">
        <f t="shared" si="14"/>
        <v>#VALUE!</v>
      </c>
      <c r="DM8" s="115" t="e">
        <f t="shared" si="14"/>
        <v>#VALUE!</v>
      </c>
    </row>
    <row r="9" spans="1:117" ht="15" customHeight="1" thickBot="1">
      <c r="A9" s="293">
        <v>800</v>
      </c>
      <c r="B9" s="172" t="s">
        <v>724</v>
      </c>
      <c r="C9" s="172" t="s">
        <v>738</v>
      </c>
      <c r="D9" s="172" t="s">
        <v>365</v>
      </c>
      <c r="E9" s="172"/>
      <c r="F9" s="172" t="s">
        <v>117</v>
      </c>
      <c r="G9" s="171">
        <f>SUM(G10:G11,G12,G28)</f>
        <v>0</v>
      </c>
      <c r="H9" s="171"/>
      <c r="I9" s="171"/>
      <c r="J9" s="172" t="s">
        <v>727</v>
      </c>
      <c r="K9" s="373"/>
      <c r="L9" s="172"/>
      <c r="M9" s="293"/>
      <c r="N9" s="293"/>
      <c r="O9" s="376">
        <f>SUM(O10:O11,O12,O28)</f>
        <v>0</v>
      </c>
      <c r="P9" s="377" t="s">
        <v>103</v>
      </c>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c r="CA9" s="116"/>
      <c r="CB9" s="116"/>
      <c r="CC9" s="116"/>
      <c r="CD9" s="116"/>
      <c r="CE9" s="116"/>
      <c r="CF9" s="116"/>
      <c r="CG9" s="116"/>
      <c r="CH9" s="116"/>
      <c r="CI9" s="116"/>
      <c r="CJ9" s="116"/>
      <c r="CK9" s="116"/>
      <c r="CL9" s="116"/>
      <c r="CM9" s="116"/>
      <c r="CN9" s="116"/>
      <c r="CO9" s="116"/>
      <c r="CP9" s="116"/>
      <c r="CQ9" s="116"/>
      <c r="CR9" s="116"/>
      <c r="CS9" s="116"/>
      <c r="CT9" s="116"/>
      <c r="CU9" s="116"/>
      <c r="CV9" s="116"/>
      <c r="CW9" s="116"/>
      <c r="CX9" s="116"/>
      <c r="CY9" s="116"/>
      <c r="CZ9" s="116"/>
      <c r="DA9" s="116"/>
      <c r="DB9" s="116"/>
      <c r="DC9" s="116"/>
      <c r="DD9" s="116"/>
      <c r="DE9" s="116"/>
      <c r="DF9" s="116"/>
      <c r="DG9" s="116"/>
      <c r="DH9" s="116"/>
      <c r="DI9" s="116"/>
      <c r="DJ9" s="116"/>
      <c r="DK9" s="116"/>
      <c r="DL9" s="116"/>
      <c r="DM9" s="116"/>
    </row>
    <row r="10" spans="1:117" ht="15" customHeight="1" thickBot="1">
      <c r="A10" s="55">
        <v>900</v>
      </c>
      <c r="B10" s="194" t="s">
        <v>728</v>
      </c>
      <c r="C10" s="194" t="s">
        <v>739</v>
      </c>
      <c r="D10" s="194" t="s">
        <v>367</v>
      </c>
      <c r="E10" s="194"/>
      <c r="F10" s="194" t="s">
        <v>740</v>
      </c>
      <c r="G10" s="291">
        <f t="shared" si="4"/>
        <v>0</v>
      </c>
      <c r="H10" s="292">
        <f>VLOOKUP("TGM",Verwaltung_Technik,5,0)*VLOOKUP("NF",Objektkenndaten,5,0)</f>
        <v>0</v>
      </c>
      <c r="I10" s="168"/>
      <c r="J10" s="194" t="s">
        <v>727</v>
      </c>
      <c r="K10" s="378">
        <v>1</v>
      </c>
      <c r="L10" s="379" t="s">
        <v>358</v>
      </c>
      <c r="M10" s="325">
        <f>VLOOKUP(L10,Finanzielle_Parameter,5,0)</f>
        <v>1.35</v>
      </c>
      <c r="N10" s="380">
        <f>(1+VLOOKUP(L10,Finanzielle_Parameter,5,0)/100)/(1+VLOOKUP("R",Finanzielle_Parameter,5,0)/100)</f>
        <v>0.99655850540806312</v>
      </c>
      <c r="O10" s="381">
        <f t="shared" ref="O10:Y11" si="15">IF($N10&lt;&gt;1,$G10*($N10^$K10)*(($N10^($K10*INT(O$2/$K10))-1)/($N10^$K10-1)),$G10*INT(O$2/$K10))</f>
        <v>0</v>
      </c>
      <c r="P10" s="169" t="s">
        <v>103</v>
      </c>
      <c r="Q10" s="114">
        <f t="shared" si="15"/>
        <v>0</v>
      </c>
      <c r="R10" s="115">
        <f t="shared" si="15"/>
        <v>0</v>
      </c>
      <c r="S10" s="115">
        <f t="shared" si="15"/>
        <v>0</v>
      </c>
      <c r="T10" s="115">
        <f t="shared" si="15"/>
        <v>0</v>
      </c>
      <c r="U10" s="115">
        <f t="shared" si="15"/>
        <v>0</v>
      </c>
      <c r="V10" s="115">
        <f t="shared" si="15"/>
        <v>0</v>
      </c>
      <c r="W10" s="115">
        <f t="shared" si="15"/>
        <v>0</v>
      </c>
      <c r="X10" s="115">
        <f t="shared" si="15"/>
        <v>0</v>
      </c>
      <c r="Y10" s="115">
        <f t="shared" si="15"/>
        <v>0</v>
      </c>
      <c r="Z10" s="115">
        <f t="shared" ref="Z10:AI11" si="16">IF($N10&lt;&gt;1,$G10*($N10^$K10)*(($N10^($K10*INT(Z$2/$K10))-1)/($N10^$K10-1)),$G10*INT(Z$2/$K10))</f>
        <v>0</v>
      </c>
      <c r="AA10" s="115">
        <f t="shared" si="16"/>
        <v>0</v>
      </c>
      <c r="AB10" s="115">
        <f t="shared" si="16"/>
        <v>0</v>
      </c>
      <c r="AC10" s="115">
        <f t="shared" si="16"/>
        <v>0</v>
      </c>
      <c r="AD10" s="115">
        <f t="shared" si="16"/>
        <v>0</v>
      </c>
      <c r="AE10" s="115">
        <f t="shared" si="16"/>
        <v>0</v>
      </c>
      <c r="AF10" s="115">
        <f t="shared" si="16"/>
        <v>0</v>
      </c>
      <c r="AG10" s="115">
        <f t="shared" si="16"/>
        <v>0</v>
      </c>
      <c r="AH10" s="115">
        <f t="shared" si="16"/>
        <v>0</v>
      </c>
      <c r="AI10" s="115">
        <f t="shared" si="16"/>
        <v>0</v>
      </c>
      <c r="AJ10" s="115">
        <f t="shared" ref="AJ10:AS11" si="17">IF($N10&lt;&gt;1,$G10*($N10^$K10)*(($N10^($K10*INT(AJ$2/$K10))-1)/($N10^$K10-1)),$G10*INT(AJ$2/$K10))</f>
        <v>0</v>
      </c>
      <c r="AK10" s="115">
        <f t="shared" si="17"/>
        <v>0</v>
      </c>
      <c r="AL10" s="115">
        <f t="shared" si="17"/>
        <v>0</v>
      </c>
      <c r="AM10" s="115">
        <f t="shared" si="17"/>
        <v>0</v>
      </c>
      <c r="AN10" s="115">
        <f t="shared" si="17"/>
        <v>0</v>
      </c>
      <c r="AO10" s="115">
        <f t="shared" si="17"/>
        <v>0</v>
      </c>
      <c r="AP10" s="115">
        <f t="shared" si="17"/>
        <v>0</v>
      </c>
      <c r="AQ10" s="115">
        <f t="shared" si="17"/>
        <v>0</v>
      </c>
      <c r="AR10" s="115">
        <f t="shared" si="17"/>
        <v>0</v>
      </c>
      <c r="AS10" s="115">
        <f t="shared" si="17"/>
        <v>0</v>
      </c>
      <c r="AT10" s="115">
        <f t="shared" ref="AT10:BC11" si="18">IF($N10&lt;&gt;1,$G10*($N10^$K10)*(($N10^($K10*INT(AT$2/$K10))-1)/($N10^$K10-1)),$G10*INT(AT$2/$K10))</f>
        <v>0</v>
      </c>
      <c r="AU10" s="115">
        <f t="shared" si="18"/>
        <v>0</v>
      </c>
      <c r="AV10" s="115" t="e">
        <f t="shared" si="18"/>
        <v>#VALUE!</v>
      </c>
      <c r="AW10" s="115" t="e">
        <f t="shared" si="18"/>
        <v>#VALUE!</v>
      </c>
      <c r="AX10" s="115" t="e">
        <f t="shared" si="18"/>
        <v>#VALUE!</v>
      </c>
      <c r="AY10" s="115" t="e">
        <f t="shared" si="18"/>
        <v>#VALUE!</v>
      </c>
      <c r="AZ10" s="115" t="e">
        <f t="shared" si="18"/>
        <v>#VALUE!</v>
      </c>
      <c r="BA10" s="115" t="e">
        <f t="shared" si="18"/>
        <v>#VALUE!</v>
      </c>
      <c r="BB10" s="115" t="e">
        <f t="shared" si="18"/>
        <v>#VALUE!</v>
      </c>
      <c r="BC10" s="115" t="e">
        <f t="shared" si="18"/>
        <v>#VALUE!</v>
      </c>
      <c r="BD10" s="115" t="e">
        <f t="shared" ref="BD10:BM11" si="19">IF($N10&lt;&gt;1,$G10*($N10^$K10)*(($N10^($K10*INT(BD$2/$K10))-1)/($N10^$K10-1)),$G10*INT(BD$2/$K10))</f>
        <v>#VALUE!</v>
      </c>
      <c r="BE10" s="115" t="e">
        <f t="shared" si="19"/>
        <v>#VALUE!</v>
      </c>
      <c r="BF10" s="115" t="e">
        <f t="shared" si="19"/>
        <v>#VALUE!</v>
      </c>
      <c r="BG10" s="115" t="e">
        <f t="shared" si="19"/>
        <v>#VALUE!</v>
      </c>
      <c r="BH10" s="115" t="e">
        <f t="shared" si="19"/>
        <v>#VALUE!</v>
      </c>
      <c r="BI10" s="115" t="e">
        <f t="shared" si="19"/>
        <v>#VALUE!</v>
      </c>
      <c r="BJ10" s="115" t="e">
        <f t="shared" si="19"/>
        <v>#VALUE!</v>
      </c>
      <c r="BK10" s="115" t="e">
        <f t="shared" si="19"/>
        <v>#VALUE!</v>
      </c>
      <c r="BL10" s="115" t="e">
        <f t="shared" si="19"/>
        <v>#VALUE!</v>
      </c>
      <c r="BM10" s="115" t="e">
        <f t="shared" si="19"/>
        <v>#VALUE!</v>
      </c>
      <c r="BN10" s="115" t="e">
        <f t="shared" ref="BN10:BW11" si="20">IF($N10&lt;&gt;1,$G10*($N10^$K10)*(($N10^($K10*INT(BN$2/$K10))-1)/($N10^$K10-1)),$G10*INT(BN$2/$K10))</f>
        <v>#VALUE!</v>
      </c>
      <c r="BO10" s="115" t="e">
        <f t="shared" si="20"/>
        <v>#VALUE!</v>
      </c>
      <c r="BP10" s="115" t="e">
        <f t="shared" si="20"/>
        <v>#VALUE!</v>
      </c>
      <c r="BQ10" s="115" t="e">
        <f t="shared" si="20"/>
        <v>#VALUE!</v>
      </c>
      <c r="BR10" s="115" t="e">
        <f t="shared" si="20"/>
        <v>#VALUE!</v>
      </c>
      <c r="BS10" s="115" t="e">
        <f t="shared" si="20"/>
        <v>#VALUE!</v>
      </c>
      <c r="BT10" s="115" t="e">
        <f t="shared" si="20"/>
        <v>#VALUE!</v>
      </c>
      <c r="BU10" s="115" t="e">
        <f t="shared" si="20"/>
        <v>#VALUE!</v>
      </c>
      <c r="BV10" s="115" t="e">
        <f t="shared" si="20"/>
        <v>#VALUE!</v>
      </c>
      <c r="BW10" s="115" t="e">
        <f t="shared" si="20"/>
        <v>#VALUE!</v>
      </c>
      <c r="BX10" s="115" t="e">
        <f t="shared" ref="BX10:CG11" si="21">IF($N10&lt;&gt;1,$G10*($N10^$K10)*(($N10^($K10*INT(BX$2/$K10))-1)/($N10^$K10-1)),$G10*INT(BX$2/$K10))</f>
        <v>#VALUE!</v>
      </c>
      <c r="BY10" s="115" t="e">
        <f t="shared" si="21"/>
        <v>#VALUE!</v>
      </c>
      <c r="BZ10" s="115" t="e">
        <f t="shared" si="21"/>
        <v>#VALUE!</v>
      </c>
      <c r="CA10" s="115" t="e">
        <f t="shared" si="21"/>
        <v>#VALUE!</v>
      </c>
      <c r="CB10" s="115" t="e">
        <f t="shared" si="21"/>
        <v>#VALUE!</v>
      </c>
      <c r="CC10" s="115" t="e">
        <f t="shared" si="21"/>
        <v>#VALUE!</v>
      </c>
      <c r="CD10" s="115" t="e">
        <f t="shared" si="21"/>
        <v>#VALUE!</v>
      </c>
      <c r="CE10" s="115" t="e">
        <f t="shared" si="21"/>
        <v>#VALUE!</v>
      </c>
      <c r="CF10" s="115" t="e">
        <f t="shared" si="21"/>
        <v>#VALUE!</v>
      </c>
      <c r="CG10" s="115" t="e">
        <f t="shared" si="21"/>
        <v>#VALUE!</v>
      </c>
      <c r="CH10" s="115" t="e">
        <f t="shared" ref="CH10:CQ11" si="22">IF($N10&lt;&gt;1,$G10*($N10^$K10)*(($N10^($K10*INT(CH$2/$K10))-1)/($N10^$K10-1)),$G10*INT(CH$2/$K10))</f>
        <v>#VALUE!</v>
      </c>
      <c r="CI10" s="115" t="e">
        <f t="shared" si="22"/>
        <v>#VALUE!</v>
      </c>
      <c r="CJ10" s="115" t="e">
        <f t="shared" si="22"/>
        <v>#VALUE!</v>
      </c>
      <c r="CK10" s="115" t="e">
        <f t="shared" si="22"/>
        <v>#VALUE!</v>
      </c>
      <c r="CL10" s="115" t="e">
        <f t="shared" si="22"/>
        <v>#VALUE!</v>
      </c>
      <c r="CM10" s="115" t="e">
        <f t="shared" si="22"/>
        <v>#VALUE!</v>
      </c>
      <c r="CN10" s="115" t="e">
        <f t="shared" si="22"/>
        <v>#VALUE!</v>
      </c>
      <c r="CO10" s="115" t="e">
        <f t="shared" si="22"/>
        <v>#VALUE!</v>
      </c>
      <c r="CP10" s="115" t="e">
        <f t="shared" si="22"/>
        <v>#VALUE!</v>
      </c>
      <c r="CQ10" s="115" t="e">
        <f t="shared" si="22"/>
        <v>#VALUE!</v>
      </c>
      <c r="CR10" s="115" t="e">
        <f t="shared" ref="CR10:DA11" si="23">IF($N10&lt;&gt;1,$G10*($N10^$K10)*(($N10^($K10*INT(CR$2/$K10))-1)/($N10^$K10-1)),$G10*INT(CR$2/$K10))</f>
        <v>#VALUE!</v>
      </c>
      <c r="CS10" s="115" t="e">
        <f t="shared" si="23"/>
        <v>#VALUE!</v>
      </c>
      <c r="CT10" s="115" t="e">
        <f t="shared" si="23"/>
        <v>#VALUE!</v>
      </c>
      <c r="CU10" s="115" t="e">
        <f t="shared" si="23"/>
        <v>#VALUE!</v>
      </c>
      <c r="CV10" s="115" t="e">
        <f t="shared" si="23"/>
        <v>#VALUE!</v>
      </c>
      <c r="CW10" s="115" t="e">
        <f t="shared" si="23"/>
        <v>#VALUE!</v>
      </c>
      <c r="CX10" s="115" t="e">
        <f t="shared" si="23"/>
        <v>#VALUE!</v>
      </c>
      <c r="CY10" s="115" t="e">
        <f t="shared" si="23"/>
        <v>#VALUE!</v>
      </c>
      <c r="CZ10" s="115" t="e">
        <f t="shared" si="23"/>
        <v>#VALUE!</v>
      </c>
      <c r="DA10" s="115" t="e">
        <f t="shared" si="23"/>
        <v>#VALUE!</v>
      </c>
      <c r="DB10" s="115" t="e">
        <f t="shared" ref="DB10:DM11" si="24">IF($N10&lt;&gt;1,$G10*($N10^$K10)*(($N10^($K10*INT(DB$2/$K10))-1)/($N10^$K10-1)),$G10*INT(DB$2/$K10))</f>
        <v>#VALUE!</v>
      </c>
      <c r="DC10" s="115" t="e">
        <f t="shared" si="24"/>
        <v>#VALUE!</v>
      </c>
      <c r="DD10" s="115" t="e">
        <f t="shared" si="24"/>
        <v>#VALUE!</v>
      </c>
      <c r="DE10" s="115" t="e">
        <f t="shared" si="24"/>
        <v>#VALUE!</v>
      </c>
      <c r="DF10" s="115" t="e">
        <f t="shared" si="24"/>
        <v>#VALUE!</v>
      </c>
      <c r="DG10" s="115" t="e">
        <f t="shared" si="24"/>
        <v>#VALUE!</v>
      </c>
      <c r="DH10" s="115" t="e">
        <f t="shared" si="24"/>
        <v>#VALUE!</v>
      </c>
      <c r="DI10" s="115" t="e">
        <f t="shared" si="24"/>
        <v>#VALUE!</v>
      </c>
      <c r="DJ10" s="115" t="e">
        <f t="shared" si="24"/>
        <v>#VALUE!</v>
      </c>
      <c r="DK10" s="115" t="e">
        <f t="shared" si="24"/>
        <v>#VALUE!</v>
      </c>
      <c r="DL10" s="115" t="e">
        <f t="shared" si="24"/>
        <v>#VALUE!</v>
      </c>
      <c r="DM10" s="115" t="e">
        <f t="shared" si="24"/>
        <v>#VALUE!</v>
      </c>
    </row>
    <row r="11" spans="1:117" ht="15" customHeight="1" thickBot="1">
      <c r="A11" s="55">
        <v>1000</v>
      </c>
      <c r="B11" s="194" t="s">
        <v>728</v>
      </c>
      <c r="C11" s="194" t="s">
        <v>741</v>
      </c>
      <c r="D11" s="194" t="s">
        <v>742</v>
      </c>
      <c r="E11" s="194"/>
      <c r="F11" s="194"/>
      <c r="G11" s="291">
        <f t="shared" si="4"/>
        <v>0</v>
      </c>
      <c r="H11" s="292"/>
      <c r="I11" s="306"/>
      <c r="J11" s="194" t="s">
        <v>727</v>
      </c>
      <c r="K11" s="378" t="s">
        <v>732</v>
      </c>
      <c r="L11" s="379" t="s">
        <v>358</v>
      </c>
      <c r="M11" s="325">
        <f>VLOOKUP(L11,Finanzielle_Parameter,5,0)</f>
        <v>1.35</v>
      </c>
      <c r="N11" s="380">
        <f>(1+VLOOKUP(L11,Finanzielle_Parameter,5,0)/100)/(1+VLOOKUP("R",Finanzielle_Parameter,5,0)/100)</f>
        <v>0.99655850540806312</v>
      </c>
      <c r="O11" s="381">
        <f t="shared" si="15"/>
        <v>0</v>
      </c>
      <c r="P11" s="169" t="s">
        <v>103</v>
      </c>
      <c r="Q11" s="114">
        <f t="shared" si="15"/>
        <v>0</v>
      </c>
      <c r="R11" s="115">
        <f t="shared" si="15"/>
        <v>0</v>
      </c>
      <c r="S11" s="115">
        <f t="shared" si="15"/>
        <v>0</v>
      </c>
      <c r="T11" s="115">
        <f t="shared" si="15"/>
        <v>0</v>
      </c>
      <c r="U11" s="115">
        <f t="shared" si="15"/>
        <v>0</v>
      </c>
      <c r="V11" s="115">
        <f t="shared" si="15"/>
        <v>0</v>
      </c>
      <c r="W11" s="115">
        <f t="shared" si="15"/>
        <v>0</v>
      </c>
      <c r="X11" s="115">
        <f t="shared" si="15"/>
        <v>0</v>
      </c>
      <c r="Y11" s="115">
        <f t="shared" si="15"/>
        <v>0</v>
      </c>
      <c r="Z11" s="115">
        <f t="shared" si="16"/>
        <v>0</v>
      </c>
      <c r="AA11" s="115">
        <f t="shared" si="16"/>
        <v>0</v>
      </c>
      <c r="AB11" s="115">
        <f t="shared" si="16"/>
        <v>0</v>
      </c>
      <c r="AC11" s="115">
        <f t="shared" si="16"/>
        <v>0</v>
      </c>
      <c r="AD11" s="115">
        <f t="shared" si="16"/>
        <v>0</v>
      </c>
      <c r="AE11" s="115">
        <f t="shared" si="16"/>
        <v>0</v>
      </c>
      <c r="AF11" s="115">
        <f t="shared" si="16"/>
        <v>0</v>
      </c>
      <c r="AG11" s="115">
        <f t="shared" si="16"/>
        <v>0</v>
      </c>
      <c r="AH11" s="115">
        <f t="shared" si="16"/>
        <v>0</v>
      </c>
      <c r="AI11" s="115">
        <f t="shared" si="16"/>
        <v>0</v>
      </c>
      <c r="AJ11" s="115">
        <f t="shared" si="17"/>
        <v>0</v>
      </c>
      <c r="AK11" s="115">
        <f t="shared" si="17"/>
        <v>0</v>
      </c>
      <c r="AL11" s="115">
        <f t="shared" si="17"/>
        <v>0</v>
      </c>
      <c r="AM11" s="115">
        <f t="shared" si="17"/>
        <v>0</v>
      </c>
      <c r="AN11" s="115">
        <f t="shared" si="17"/>
        <v>0</v>
      </c>
      <c r="AO11" s="115">
        <f t="shared" si="17"/>
        <v>0</v>
      </c>
      <c r="AP11" s="115">
        <f t="shared" si="17"/>
        <v>0</v>
      </c>
      <c r="AQ11" s="115">
        <f t="shared" si="17"/>
        <v>0</v>
      </c>
      <c r="AR11" s="115">
        <f t="shared" si="17"/>
        <v>0</v>
      </c>
      <c r="AS11" s="115">
        <f t="shared" si="17"/>
        <v>0</v>
      </c>
      <c r="AT11" s="115">
        <f t="shared" si="18"/>
        <v>0</v>
      </c>
      <c r="AU11" s="115">
        <f t="shared" si="18"/>
        <v>0</v>
      </c>
      <c r="AV11" s="115" t="e">
        <f t="shared" si="18"/>
        <v>#VALUE!</v>
      </c>
      <c r="AW11" s="115" t="e">
        <f t="shared" si="18"/>
        <v>#VALUE!</v>
      </c>
      <c r="AX11" s="115" t="e">
        <f t="shared" si="18"/>
        <v>#VALUE!</v>
      </c>
      <c r="AY11" s="115" t="e">
        <f t="shared" si="18"/>
        <v>#VALUE!</v>
      </c>
      <c r="AZ11" s="115" t="e">
        <f t="shared" si="18"/>
        <v>#VALUE!</v>
      </c>
      <c r="BA11" s="115" t="e">
        <f t="shared" si="18"/>
        <v>#VALUE!</v>
      </c>
      <c r="BB11" s="115" t="e">
        <f t="shared" si="18"/>
        <v>#VALUE!</v>
      </c>
      <c r="BC11" s="115" t="e">
        <f t="shared" si="18"/>
        <v>#VALUE!</v>
      </c>
      <c r="BD11" s="115" t="e">
        <f t="shared" si="19"/>
        <v>#VALUE!</v>
      </c>
      <c r="BE11" s="115" t="e">
        <f t="shared" si="19"/>
        <v>#VALUE!</v>
      </c>
      <c r="BF11" s="115" t="e">
        <f t="shared" si="19"/>
        <v>#VALUE!</v>
      </c>
      <c r="BG11" s="115" t="e">
        <f t="shared" si="19"/>
        <v>#VALUE!</v>
      </c>
      <c r="BH11" s="115" t="e">
        <f t="shared" si="19"/>
        <v>#VALUE!</v>
      </c>
      <c r="BI11" s="115" t="e">
        <f t="shared" si="19"/>
        <v>#VALUE!</v>
      </c>
      <c r="BJ11" s="115" t="e">
        <f t="shared" si="19"/>
        <v>#VALUE!</v>
      </c>
      <c r="BK11" s="115" t="e">
        <f t="shared" si="19"/>
        <v>#VALUE!</v>
      </c>
      <c r="BL11" s="115" t="e">
        <f t="shared" si="19"/>
        <v>#VALUE!</v>
      </c>
      <c r="BM11" s="115" t="e">
        <f t="shared" si="19"/>
        <v>#VALUE!</v>
      </c>
      <c r="BN11" s="115" t="e">
        <f t="shared" si="20"/>
        <v>#VALUE!</v>
      </c>
      <c r="BO11" s="115" t="e">
        <f t="shared" si="20"/>
        <v>#VALUE!</v>
      </c>
      <c r="BP11" s="115" t="e">
        <f t="shared" si="20"/>
        <v>#VALUE!</v>
      </c>
      <c r="BQ11" s="115" t="e">
        <f t="shared" si="20"/>
        <v>#VALUE!</v>
      </c>
      <c r="BR11" s="115" t="e">
        <f t="shared" si="20"/>
        <v>#VALUE!</v>
      </c>
      <c r="BS11" s="115" t="e">
        <f t="shared" si="20"/>
        <v>#VALUE!</v>
      </c>
      <c r="BT11" s="115" t="e">
        <f t="shared" si="20"/>
        <v>#VALUE!</v>
      </c>
      <c r="BU11" s="115" t="e">
        <f t="shared" si="20"/>
        <v>#VALUE!</v>
      </c>
      <c r="BV11" s="115" t="e">
        <f t="shared" si="20"/>
        <v>#VALUE!</v>
      </c>
      <c r="BW11" s="115" t="e">
        <f t="shared" si="20"/>
        <v>#VALUE!</v>
      </c>
      <c r="BX11" s="115" t="e">
        <f t="shared" si="21"/>
        <v>#VALUE!</v>
      </c>
      <c r="BY11" s="115" t="e">
        <f t="shared" si="21"/>
        <v>#VALUE!</v>
      </c>
      <c r="BZ11" s="115" t="e">
        <f t="shared" si="21"/>
        <v>#VALUE!</v>
      </c>
      <c r="CA11" s="115" t="e">
        <f t="shared" si="21"/>
        <v>#VALUE!</v>
      </c>
      <c r="CB11" s="115" t="e">
        <f t="shared" si="21"/>
        <v>#VALUE!</v>
      </c>
      <c r="CC11" s="115" t="e">
        <f t="shared" si="21"/>
        <v>#VALUE!</v>
      </c>
      <c r="CD11" s="115" t="e">
        <f t="shared" si="21"/>
        <v>#VALUE!</v>
      </c>
      <c r="CE11" s="115" t="e">
        <f t="shared" si="21"/>
        <v>#VALUE!</v>
      </c>
      <c r="CF11" s="115" t="e">
        <f t="shared" si="21"/>
        <v>#VALUE!</v>
      </c>
      <c r="CG11" s="115" t="e">
        <f t="shared" si="21"/>
        <v>#VALUE!</v>
      </c>
      <c r="CH11" s="115" t="e">
        <f t="shared" si="22"/>
        <v>#VALUE!</v>
      </c>
      <c r="CI11" s="115" t="e">
        <f t="shared" si="22"/>
        <v>#VALUE!</v>
      </c>
      <c r="CJ11" s="115" t="e">
        <f t="shared" si="22"/>
        <v>#VALUE!</v>
      </c>
      <c r="CK11" s="115" t="e">
        <f t="shared" si="22"/>
        <v>#VALUE!</v>
      </c>
      <c r="CL11" s="115" t="e">
        <f t="shared" si="22"/>
        <v>#VALUE!</v>
      </c>
      <c r="CM11" s="115" t="e">
        <f t="shared" si="22"/>
        <v>#VALUE!</v>
      </c>
      <c r="CN11" s="115" t="e">
        <f t="shared" si="22"/>
        <v>#VALUE!</v>
      </c>
      <c r="CO11" s="115" t="e">
        <f t="shared" si="22"/>
        <v>#VALUE!</v>
      </c>
      <c r="CP11" s="115" t="e">
        <f t="shared" si="22"/>
        <v>#VALUE!</v>
      </c>
      <c r="CQ11" s="115" t="e">
        <f t="shared" si="22"/>
        <v>#VALUE!</v>
      </c>
      <c r="CR11" s="115" t="e">
        <f t="shared" si="23"/>
        <v>#VALUE!</v>
      </c>
      <c r="CS11" s="115" t="e">
        <f t="shared" si="23"/>
        <v>#VALUE!</v>
      </c>
      <c r="CT11" s="115" t="e">
        <f t="shared" si="23"/>
        <v>#VALUE!</v>
      </c>
      <c r="CU11" s="115" t="e">
        <f t="shared" si="23"/>
        <v>#VALUE!</v>
      </c>
      <c r="CV11" s="115" t="e">
        <f t="shared" si="23"/>
        <v>#VALUE!</v>
      </c>
      <c r="CW11" s="115" t="e">
        <f t="shared" si="23"/>
        <v>#VALUE!</v>
      </c>
      <c r="CX11" s="115" t="e">
        <f t="shared" si="23"/>
        <v>#VALUE!</v>
      </c>
      <c r="CY11" s="115" t="e">
        <f t="shared" si="23"/>
        <v>#VALUE!</v>
      </c>
      <c r="CZ11" s="115" t="e">
        <f t="shared" si="23"/>
        <v>#VALUE!</v>
      </c>
      <c r="DA11" s="115" t="e">
        <f t="shared" si="23"/>
        <v>#VALUE!</v>
      </c>
      <c r="DB11" s="115" t="e">
        <f t="shared" si="24"/>
        <v>#VALUE!</v>
      </c>
      <c r="DC11" s="115" t="e">
        <f t="shared" si="24"/>
        <v>#VALUE!</v>
      </c>
      <c r="DD11" s="115" t="e">
        <f t="shared" si="24"/>
        <v>#VALUE!</v>
      </c>
      <c r="DE11" s="115" t="e">
        <f t="shared" si="24"/>
        <v>#VALUE!</v>
      </c>
      <c r="DF11" s="115" t="e">
        <f t="shared" si="24"/>
        <v>#VALUE!</v>
      </c>
      <c r="DG11" s="115" t="e">
        <f t="shared" si="24"/>
        <v>#VALUE!</v>
      </c>
      <c r="DH11" s="115" t="e">
        <f t="shared" si="24"/>
        <v>#VALUE!</v>
      </c>
      <c r="DI11" s="115" t="e">
        <f t="shared" si="24"/>
        <v>#VALUE!</v>
      </c>
      <c r="DJ11" s="115" t="e">
        <f t="shared" si="24"/>
        <v>#VALUE!</v>
      </c>
      <c r="DK11" s="115" t="e">
        <f t="shared" si="24"/>
        <v>#VALUE!</v>
      </c>
      <c r="DL11" s="115" t="e">
        <f t="shared" si="24"/>
        <v>#VALUE!</v>
      </c>
      <c r="DM11" s="115" t="e">
        <f t="shared" si="24"/>
        <v>#VALUE!</v>
      </c>
    </row>
    <row r="12" spans="1:117" ht="15" customHeight="1" thickBot="1">
      <c r="A12" s="293">
        <v>1200</v>
      </c>
      <c r="B12" s="172" t="s">
        <v>743</v>
      </c>
      <c r="C12" s="172" t="s">
        <v>744</v>
      </c>
      <c r="D12" s="172" t="s">
        <v>745</v>
      </c>
      <c r="E12" s="172"/>
      <c r="F12" s="172" t="s">
        <v>117</v>
      </c>
      <c r="G12" s="171">
        <f>SUM(G13:G27)</f>
        <v>0</v>
      </c>
      <c r="H12" s="171"/>
      <c r="I12" s="171"/>
      <c r="J12" s="172" t="s">
        <v>727</v>
      </c>
      <c r="K12" s="373"/>
      <c r="L12" s="172"/>
      <c r="M12" s="293"/>
      <c r="N12" s="293"/>
      <c r="O12" s="376">
        <f>SUM(O13:O27)</f>
        <v>0</v>
      </c>
      <c r="P12" s="377" t="s">
        <v>103</v>
      </c>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116"/>
      <c r="BU12" s="116"/>
      <c r="BV12" s="116"/>
      <c r="BW12" s="116"/>
      <c r="BX12" s="116"/>
      <c r="BY12" s="116"/>
      <c r="BZ12" s="116"/>
      <c r="CA12" s="116"/>
      <c r="CB12" s="116"/>
      <c r="CC12" s="116"/>
      <c r="CD12" s="116"/>
      <c r="CE12" s="116"/>
      <c r="CF12" s="116"/>
      <c r="CG12" s="116"/>
      <c r="CH12" s="116"/>
      <c r="CI12" s="116"/>
      <c r="CJ12" s="116"/>
      <c r="CK12" s="116"/>
      <c r="CL12" s="116"/>
      <c r="CM12" s="116"/>
      <c r="CN12" s="116"/>
      <c r="CO12" s="116"/>
      <c r="CP12" s="116"/>
      <c r="CQ12" s="116"/>
      <c r="CR12" s="116"/>
      <c r="CS12" s="116"/>
      <c r="CT12" s="116"/>
      <c r="CU12" s="116"/>
      <c r="CV12" s="116"/>
      <c r="CW12" s="116"/>
      <c r="CX12" s="116"/>
      <c r="CY12" s="116"/>
      <c r="CZ12" s="116"/>
      <c r="DA12" s="116"/>
      <c r="DB12" s="116"/>
      <c r="DC12" s="116"/>
      <c r="DD12" s="116"/>
      <c r="DE12" s="116"/>
      <c r="DF12" s="116"/>
      <c r="DG12" s="116"/>
      <c r="DH12" s="116"/>
      <c r="DI12" s="116"/>
      <c r="DJ12" s="116"/>
      <c r="DK12" s="116"/>
      <c r="DL12" s="116"/>
      <c r="DM12" s="116"/>
    </row>
    <row r="13" spans="1:117" ht="15" customHeight="1" thickBot="1">
      <c r="A13" s="55">
        <v>1300</v>
      </c>
      <c r="B13" s="194" t="s">
        <v>728</v>
      </c>
      <c r="C13" s="194" t="s">
        <v>746</v>
      </c>
      <c r="D13" s="194" t="s">
        <v>287</v>
      </c>
      <c r="E13" s="194"/>
      <c r="F13" s="194" t="s">
        <v>1047</v>
      </c>
      <c r="G13" s="291">
        <f t="shared" si="4"/>
        <v>0</v>
      </c>
      <c r="H13" s="292">
        <f>VLOOKUP("E3.B",Errichtungskosten,12,0)*VLOOKUP("E3Bw",Verwaltung_Technik,5,0)/100</f>
        <v>0</v>
      </c>
      <c r="I13" s="168"/>
      <c r="J13" s="194" t="s">
        <v>727</v>
      </c>
      <c r="K13" s="378" t="s">
        <v>732</v>
      </c>
      <c r="L13" s="379" t="s">
        <v>358</v>
      </c>
      <c r="M13" s="325">
        <f t="shared" ref="M13:M27" si="25">VLOOKUP(L13,Finanzielle_Parameter,5,0)</f>
        <v>1.35</v>
      </c>
      <c r="N13" s="380">
        <f t="shared" ref="N13:N27" si="26">(1+VLOOKUP(L13,Finanzielle_Parameter,5,0)/100)/(1+VLOOKUP("R",Finanzielle_Parameter,5,0)/100)</f>
        <v>0.99655850540806312</v>
      </c>
      <c r="O13" s="381">
        <f t="shared" ref="O13:Y27" si="27">IF($N13&lt;&gt;1,$G13*($N13^$K13)*(($N13^($K13*INT(O$2/$K13))-1)/($N13^$K13-1)),$G13*INT(O$2/$K13))</f>
        <v>0</v>
      </c>
      <c r="P13" s="169" t="s">
        <v>103</v>
      </c>
      <c r="Q13" s="114">
        <f t="shared" si="27"/>
        <v>0</v>
      </c>
      <c r="R13" s="115">
        <f t="shared" si="27"/>
        <v>0</v>
      </c>
      <c r="S13" s="115">
        <f t="shared" si="27"/>
        <v>0</v>
      </c>
      <c r="T13" s="115">
        <f t="shared" si="27"/>
        <v>0</v>
      </c>
      <c r="U13" s="115">
        <f t="shared" si="27"/>
        <v>0</v>
      </c>
      <c r="V13" s="115">
        <f t="shared" si="27"/>
        <v>0</v>
      </c>
      <c r="W13" s="115">
        <f t="shared" si="27"/>
        <v>0</v>
      </c>
      <c r="X13" s="115">
        <f t="shared" si="27"/>
        <v>0</v>
      </c>
      <c r="Y13" s="115">
        <f t="shared" si="27"/>
        <v>0</v>
      </c>
      <c r="Z13" s="115">
        <f t="shared" ref="Z13:AI27" si="28">IF($N13&lt;&gt;1,$G13*($N13^$K13)*(($N13^($K13*INT(Z$2/$K13))-1)/($N13^$K13-1)),$G13*INT(Z$2/$K13))</f>
        <v>0</v>
      </c>
      <c r="AA13" s="115">
        <f t="shared" si="28"/>
        <v>0</v>
      </c>
      <c r="AB13" s="115">
        <f t="shared" si="28"/>
        <v>0</v>
      </c>
      <c r="AC13" s="115">
        <f t="shared" si="28"/>
        <v>0</v>
      </c>
      <c r="AD13" s="115">
        <f t="shared" si="28"/>
        <v>0</v>
      </c>
      <c r="AE13" s="115">
        <f t="shared" si="28"/>
        <v>0</v>
      </c>
      <c r="AF13" s="115">
        <f t="shared" si="28"/>
        <v>0</v>
      </c>
      <c r="AG13" s="115">
        <f t="shared" si="28"/>
        <v>0</v>
      </c>
      <c r="AH13" s="115">
        <f t="shared" si="28"/>
        <v>0</v>
      </c>
      <c r="AI13" s="115">
        <f t="shared" si="28"/>
        <v>0</v>
      </c>
      <c r="AJ13" s="115">
        <f t="shared" ref="AJ13:AS27" si="29">IF($N13&lt;&gt;1,$G13*($N13^$K13)*(($N13^($K13*INT(AJ$2/$K13))-1)/($N13^$K13-1)),$G13*INT(AJ$2/$K13))</f>
        <v>0</v>
      </c>
      <c r="AK13" s="115">
        <f t="shared" si="29"/>
        <v>0</v>
      </c>
      <c r="AL13" s="115">
        <f t="shared" si="29"/>
        <v>0</v>
      </c>
      <c r="AM13" s="115">
        <f t="shared" si="29"/>
        <v>0</v>
      </c>
      <c r="AN13" s="115">
        <f t="shared" si="29"/>
        <v>0</v>
      </c>
      <c r="AO13" s="115">
        <f t="shared" si="29"/>
        <v>0</v>
      </c>
      <c r="AP13" s="115">
        <f t="shared" si="29"/>
        <v>0</v>
      </c>
      <c r="AQ13" s="115">
        <f t="shared" si="29"/>
        <v>0</v>
      </c>
      <c r="AR13" s="115">
        <f t="shared" si="29"/>
        <v>0</v>
      </c>
      <c r="AS13" s="115">
        <f t="shared" si="29"/>
        <v>0</v>
      </c>
      <c r="AT13" s="115">
        <f t="shared" ref="AT13:BC27" si="30">IF($N13&lt;&gt;1,$G13*($N13^$K13)*(($N13^($K13*INT(AT$2/$K13))-1)/($N13^$K13-1)),$G13*INT(AT$2/$K13))</f>
        <v>0</v>
      </c>
      <c r="AU13" s="115">
        <f t="shared" si="30"/>
        <v>0</v>
      </c>
      <c r="AV13" s="115" t="e">
        <f t="shared" si="30"/>
        <v>#VALUE!</v>
      </c>
      <c r="AW13" s="115" t="e">
        <f t="shared" si="30"/>
        <v>#VALUE!</v>
      </c>
      <c r="AX13" s="115" t="e">
        <f t="shared" si="30"/>
        <v>#VALUE!</v>
      </c>
      <c r="AY13" s="115" t="e">
        <f t="shared" si="30"/>
        <v>#VALUE!</v>
      </c>
      <c r="AZ13" s="115" t="e">
        <f t="shared" si="30"/>
        <v>#VALUE!</v>
      </c>
      <c r="BA13" s="115" t="e">
        <f t="shared" si="30"/>
        <v>#VALUE!</v>
      </c>
      <c r="BB13" s="115" t="e">
        <f t="shared" si="30"/>
        <v>#VALUE!</v>
      </c>
      <c r="BC13" s="115" t="e">
        <f t="shared" si="30"/>
        <v>#VALUE!</v>
      </c>
      <c r="BD13" s="115" t="e">
        <f t="shared" ref="BD13:BM27" si="31">IF($N13&lt;&gt;1,$G13*($N13^$K13)*(($N13^($K13*INT(BD$2/$K13))-1)/($N13^$K13-1)),$G13*INT(BD$2/$K13))</f>
        <v>#VALUE!</v>
      </c>
      <c r="BE13" s="115" t="e">
        <f t="shared" si="31"/>
        <v>#VALUE!</v>
      </c>
      <c r="BF13" s="115" t="e">
        <f t="shared" si="31"/>
        <v>#VALUE!</v>
      </c>
      <c r="BG13" s="115" t="e">
        <f t="shared" si="31"/>
        <v>#VALUE!</v>
      </c>
      <c r="BH13" s="115" t="e">
        <f t="shared" si="31"/>
        <v>#VALUE!</v>
      </c>
      <c r="BI13" s="115" t="e">
        <f t="shared" si="31"/>
        <v>#VALUE!</v>
      </c>
      <c r="BJ13" s="115" t="e">
        <f t="shared" si="31"/>
        <v>#VALUE!</v>
      </c>
      <c r="BK13" s="115" t="e">
        <f t="shared" si="31"/>
        <v>#VALUE!</v>
      </c>
      <c r="BL13" s="115" t="e">
        <f t="shared" si="31"/>
        <v>#VALUE!</v>
      </c>
      <c r="BM13" s="115" t="e">
        <f t="shared" si="31"/>
        <v>#VALUE!</v>
      </c>
      <c r="BN13" s="115" t="e">
        <f t="shared" ref="BN13:BW27" si="32">IF($N13&lt;&gt;1,$G13*($N13^$K13)*(($N13^($K13*INT(BN$2/$K13))-1)/($N13^$K13-1)),$G13*INT(BN$2/$K13))</f>
        <v>#VALUE!</v>
      </c>
      <c r="BO13" s="115" t="e">
        <f t="shared" si="32"/>
        <v>#VALUE!</v>
      </c>
      <c r="BP13" s="115" t="e">
        <f t="shared" si="32"/>
        <v>#VALUE!</v>
      </c>
      <c r="BQ13" s="115" t="e">
        <f t="shared" si="32"/>
        <v>#VALUE!</v>
      </c>
      <c r="BR13" s="115" t="e">
        <f t="shared" si="32"/>
        <v>#VALUE!</v>
      </c>
      <c r="BS13" s="115" t="e">
        <f t="shared" si="32"/>
        <v>#VALUE!</v>
      </c>
      <c r="BT13" s="115" t="e">
        <f t="shared" si="32"/>
        <v>#VALUE!</v>
      </c>
      <c r="BU13" s="115" t="e">
        <f t="shared" si="32"/>
        <v>#VALUE!</v>
      </c>
      <c r="BV13" s="115" t="e">
        <f t="shared" si="32"/>
        <v>#VALUE!</v>
      </c>
      <c r="BW13" s="115" t="e">
        <f t="shared" si="32"/>
        <v>#VALUE!</v>
      </c>
      <c r="BX13" s="115" t="e">
        <f t="shared" ref="BX13:CG27" si="33">IF($N13&lt;&gt;1,$G13*($N13^$K13)*(($N13^($K13*INT(BX$2/$K13))-1)/($N13^$K13-1)),$G13*INT(BX$2/$K13))</f>
        <v>#VALUE!</v>
      </c>
      <c r="BY13" s="115" t="e">
        <f t="shared" si="33"/>
        <v>#VALUE!</v>
      </c>
      <c r="BZ13" s="115" t="e">
        <f t="shared" si="33"/>
        <v>#VALUE!</v>
      </c>
      <c r="CA13" s="115" t="e">
        <f t="shared" si="33"/>
        <v>#VALUE!</v>
      </c>
      <c r="CB13" s="115" t="e">
        <f t="shared" si="33"/>
        <v>#VALUE!</v>
      </c>
      <c r="CC13" s="115" t="e">
        <f t="shared" si="33"/>
        <v>#VALUE!</v>
      </c>
      <c r="CD13" s="115" t="e">
        <f t="shared" si="33"/>
        <v>#VALUE!</v>
      </c>
      <c r="CE13" s="115" t="e">
        <f t="shared" si="33"/>
        <v>#VALUE!</v>
      </c>
      <c r="CF13" s="115" t="e">
        <f t="shared" si="33"/>
        <v>#VALUE!</v>
      </c>
      <c r="CG13" s="115" t="e">
        <f t="shared" si="33"/>
        <v>#VALUE!</v>
      </c>
      <c r="CH13" s="115" t="e">
        <f t="shared" ref="CH13:CQ27" si="34">IF($N13&lt;&gt;1,$G13*($N13^$K13)*(($N13^($K13*INT(CH$2/$K13))-1)/($N13^$K13-1)),$G13*INT(CH$2/$K13))</f>
        <v>#VALUE!</v>
      </c>
      <c r="CI13" s="115" t="e">
        <f t="shared" si="34"/>
        <v>#VALUE!</v>
      </c>
      <c r="CJ13" s="115" t="e">
        <f t="shared" si="34"/>
        <v>#VALUE!</v>
      </c>
      <c r="CK13" s="115" t="e">
        <f t="shared" si="34"/>
        <v>#VALUE!</v>
      </c>
      <c r="CL13" s="115" t="e">
        <f t="shared" si="34"/>
        <v>#VALUE!</v>
      </c>
      <c r="CM13" s="115" t="e">
        <f t="shared" si="34"/>
        <v>#VALUE!</v>
      </c>
      <c r="CN13" s="115" t="e">
        <f t="shared" si="34"/>
        <v>#VALUE!</v>
      </c>
      <c r="CO13" s="115" t="e">
        <f t="shared" si="34"/>
        <v>#VALUE!</v>
      </c>
      <c r="CP13" s="115" t="e">
        <f t="shared" si="34"/>
        <v>#VALUE!</v>
      </c>
      <c r="CQ13" s="115" t="e">
        <f t="shared" si="34"/>
        <v>#VALUE!</v>
      </c>
      <c r="CR13" s="115" t="e">
        <f t="shared" ref="CR13:DA27" si="35">IF($N13&lt;&gt;1,$G13*($N13^$K13)*(($N13^($K13*INT(CR$2/$K13))-1)/($N13^$K13-1)),$G13*INT(CR$2/$K13))</f>
        <v>#VALUE!</v>
      </c>
      <c r="CS13" s="115" t="e">
        <f t="shared" si="35"/>
        <v>#VALUE!</v>
      </c>
      <c r="CT13" s="115" t="e">
        <f t="shared" si="35"/>
        <v>#VALUE!</v>
      </c>
      <c r="CU13" s="115" t="e">
        <f t="shared" si="35"/>
        <v>#VALUE!</v>
      </c>
      <c r="CV13" s="115" t="e">
        <f t="shared" si="35"/>
        <v>#VALUE!</v>
      </c>
      <c r="CW13" s="115" t="e">
        <f t="shared" si="35"/>
        <v>#VALUE!</v>
      </c>
      <c r="CX13" s="115" t="e">
        <f t="shared" si="35"/>
        <v>#VALUE!</v>
      </c>
      <c r="CY13" s="115" t="e">
        <f t="shared" si="35"/>
        <v>#VALUE!</v>
      </c>
      <c r="CZ13" s="115" t="e">
        <f t="shared" si="35"/>
        <v>#VALUE!</v>
      </c>
      <c r="DA13" s="115" t="e">
        <f t="shared" si="35"/>
        <v>#VALUE!</v>
      </c>
      <c r="DB13" s="115" t="e">
        <f t="shared" ref="DB13:DM27" si="36">IF($N13&lt;&gt;1,$G13*($N13^$K13)*(($N13^($K13*INT(DB$2/$K13))-1)/($N13^$K13-1)),$G13*INT(DB$2/$K13))</f>
        <v>#VALUE!</v>
      </c>
      <c r="DC13" s="115" t="e">
        <f t="shared" si="36"/>
        <v>#VALUE!</v>
      </c>
      <c r="DD13" s="115" t="e">
        <f t="shared" si="36"/>
        <v>#VALUE!</v>
      </c>
      <c r="DE13" s="115" t="e">
        <f t="shared" si="36"/>
        <v>#VALUE!</v>
      </c>
      <c r="DF13" s="115" t="e">
        <f t="shared" si="36"/>
        <v>#VALUE!</v>
      </c>
      <c r="DG13" s="115" t="e">
        <f t="shared" si="36"/>
        <v>#VALUE!</v>
      </c>
      <c r="DH13" s="115" t="e">
        <f t="shared" si="36"/>
        <v>#VALUE!</v>
      </c>
      <c r="DI13" s="115" t="e">
        <f t="shared" si="36"/>
        <v>#VALUE!</v>
      </c>
      <c r="DJ13" s="115" t="e">
        <f t="shared" si="36"/>
        <v>#VALUE!</v>
      </c>
      <c r="DK13" s="115" t="e">
        <f t="shared" si="36"/>
        <v>#VALUE!</v>
      </c>
      <c r="DL13" s="115" t="e">
        <f t="shared" si="36"/>
        <v>#VALUE!</v>
      </c>
      <c r="DM13" s="115" t="e">
        <f t="shared" si="36"/>
        <v>#VALUE!</v>
      </c>
    </row>
    <row r="14" spans="1:117" ht="15" customHeight="1" thickBot="1">
      <c r="A14" s="55">
        <v>1400</v>
      </c>
      <c r="B14" s="194" t="s">
        <v>728</v>
      </c>
      <c r="C14" s="194" t="s">
        <v>747</v>
      </c>
      <c r="D14" s="194" t="s">
        <v>285</v>
      </c>
      <c r="E14" s="194"/>
      <c r="F14" s="194" t="s">
        <v>1048</v>
      </c>
      <c r="G14" s="291">
        <f t="shared" si="4"/>
        <v>0</v>
      </c>
      <c r="H14" s="292">
        <f>VLOOKUP("E3.C.01",Errichtungskosten,12,0)*VLOOKUP("E3C01w",Verwaltung_Technik,5,0)/100+VLOOKUP("E3.C.02",Errichtungskosten,12,0)*VLOOKUP("E3C02w",Verwaltung_Technik,5,0)/100+VLOOKUP("E3.C.03",Errichtungskosten,12,0)*VLOOKUP("E3C03w",Verwaltung_Technik,5,0)/100+VLOOKUP("E3.C.S",Errichtungskosten,12,0)*VLOOKUP("E3CSw",Verwaltung_Technik,5,0)/100</f>
        <v>0</v>
      </c>
      <c r="I14" s="168"/>
      <c r="J14" s="194" t="s">
        <v>727</v>
      </c>
      <c r="K14" s="378" t="s">
        <v>732</v>
      </c>
      <c r="L14" s="379" t="s">
        <v>358</v>
      </c>
      <c r="M14" s="325">
        <f t="shared" si="25"/>
        <v>1.35</v>
      </c>
      <c r="N14" s="380">
        <f t="shared" si="26"/>
        <v>0.99655850540806312</v>
      </c>
      <c r="O14" s="381">
        <f t="shared" si="27"/>
        <v>0</v>
      </c>
      <c r="P14" s="169" t="s">
        <v>103</v>
      </c>
      <c r="Q14" s="114">
        <f t="shared" si="27"/>
        <v>0</v>
      </c>
      <c r="R14" s="115">
        <f t="shared" si="27"/>
        <v>0</v>
      </c>
      <c r="S14" s="115">
        <f t="shared" si="27"/>
        <v>0</v>
      </c>
      <c r="T14" s="115">
        <f t="shared" si="27"/>
        <v>0</v>
      </c>
      <c r="U14" s="115">
        <f t="shared" si="27"/>
        <v>0</v>
      </c>
      <c r="V14" s="115">
        <f t="shared" si="27"/>
        <v>0</v>
      </c>
      <c r="W14" s="115">
        <f t="shared" si="27"/>
        <v>0</v>
      </c>
      <c r="X14" s="115">
        <f t="shared" si="27"/>
        <v>0</v>
      </c>
      <c r="Y14" s="115">
        <f t="shared" si="27"/>
        <v>0</v>
      </c>
      <c r="Z14" s="115">
        <f t="shared" si="28"/>
        <v>0</v>
      </c>
      <c r="AA14" s="115">
        <f t="shared" si="28"/>
        <v>0</v>
      </c>
      <c r="AB14" s="115">
        <f t="shared" si="28"/>
        <v>0</v>
      </c>
      <c r="AC14" s="115">
        <f t="shared" si="28"/>
        <v>0</v>
      </c>
      <c r="AD14" s="115">
        <f t="shared" si="28"/>
        <v>0</v>
      </c>
      <c r="AE14" s="115">
        <f t="shared" si="28"/>
        <v>0</v>
      </c>
      <c r="AF14" s="115">
        <f t="shared" si="28"/>
        <v>0</v>
      </c>
      <c r="AG14" s="115">
        <f t="shared" si="28"/>
        <v>0</v>
      </c>
      <c r="AH14" s="115">
        <f t="shared" si="28"/>
        <v>0</v>
      </c>
      <c r="AI14" s="115">
        <f t="shared" si="28"/>
        <v>0</v>
      </c>
      <c r="AJ14" s="115">
        <f t="shared" si="29"/>
        <v>0</v>
      </c>
      <c r="AK14" s="115">
        <f t="shared" si="29"/>
        <v>0</v>
      </c>
      <c r="AL14" s="115">
        <f t="shared" si="29"/>
        <v>0</v>
      </c>
      <c r="AM14" s="115">
        <f t="shared" si="29"/>
        <v>0</v>
      </c>
      <c r="AN14" s="115">
        <f t="shared" si="29"/>
        <v>0</v>
      </c>
      <c r="AO14" s="115">
        <f t="shared" si="29"/>
        <v>0</v>
      </c>
      <c r="AP14" s="115">
        <f t="shared" si="29"/>
        <v>0</v>
      </c>
      <c r="AQ14" s="115">
        <f t="shared" si="29"/>
        <v>0</v>
      </c>
      <c r="AR14" s="115">
        <f t="shared" si="29"/>
        <v>0</v>
      </c>
      <c r="AS14" s="115">
        <f t="shared" si="29"/>
        <v>0</v>
      </c>
      <c r="AT14" s="115">
        <f t="shared" si="30"/>
        <v>0</v>
      </c>
      <c r="AU14" s="115">
        <f t="shared" si="30"/>
        <v>0</v>
      </c>
      <c r="AV14" s="115" t="e">
        <f t="shared" si="30"/>
        <v>#VALUE!</v>
      </c>
      <c r="AW14" s="115" t="e">
        <f t="shared" si="30"/>
        <v>#VALUE!</v>
      </c>
      <c r="AX14" s="115" t="e">
        <f t="shared" si="30"/>
        <v>#VALUE!</v>
      </c>
      <c r="AY14" s="115" t="e">
        <f t="shared" si="30"/>
        <v>#VALUE!</v>
      </c>
      <c r="AZ14" s="115" t="e">
        <f t="shared" si="30"/>
        <v>#VALUE!</v>
      </c>
      <c r="BA14" s="115" t="e">
        <f t="shared" si="30"/>
        <v>#VALUE!</v>
      </c>
      <c r="BB14" s="115" t="e">
        <f t="shared" si="30"/>
        <v>#VALUE!</v>
      </c>
      <c r="BC14" s="115" t="e">
        <f t="shared" si="30"/>
        <v>#VALUE!</v>
      </c>
      <c r="BD14" s="115" t="e">
        <f t="shared" si="31"/>
        <v>#VALUE!</v>
      </c>
      <c r="BE14" s="115" t="e">
        <f t="shared" si="31"/>
        <v>#VALUE!</v>
      </c>
      <c r="BF14" s="115" t="e">
        <f t="shared" si="31"/>
        <v>#VALUE!</v>
      </c>
      <c r="BG14" s="115" t="e">
        <f t="shared" si="31"/>
        <v>#VALUE!</v>
      </c>
      <c r="BH14" s="115" t="e">
        <f t="shared" si="31"/>
        <v>#VALUE!</v>
      </c>
      <c r="BI14" s="115" t="e">
        <f t="shared" si="31"/>
        <v>#VALUE!</v>
      </c>
      <c r="BJ14" s="115" t="e">
        <f t="shared" si="31"/>
        <v>#VALUE!</v>
      </c>
      <c r="BK14" s="115" t="e">
        <f t="shared" si="31"/>
        <v>#VALUE!</v>
      </c>
      <c r="BL14" s="115" t="e">
        <f t="shared" si="31"/>
        <v>#VALUE!</v>
      </c>
      <c r="BM14" s="115" t="e">
        <f t="shared" si="31"/>
        <v>#VALUE!</v>
      </c>
      <c r="BN14" s="115" t="e">
        <f t="shared" si="32"/>
        <v>#VALUE!</v>
      </c>
      <c r="BO14" s="115" t="e">
        <f t="shared" si="32"/>
        <v>#VALUE!</v>
      </c>
      <c r="BP14" s="115" t="e">
        <f t="shared" si="32"/>
        <v>#VALUE!</v>
      </c>
      <c r="BQ14" s="115" t="e">
        <f t="shared" si="32"/>
        <v>#VALUE!</v>
      </c>
      <c r="BR14" s="115" t="e">
        <f t="shared" si="32"/>
        <v>#VALUE!</v>
      </c>
      <c r="BS14" s="115" t="e">
        <f t="shared" si="32"/>
        <v>#VALUE!</v>
      </c>
      <c r="BT14" s="115" t="e">
        <f t="shared" si="32"/>
        <v>#VALUE!</v>
      </c>
      <c r="BU14" s="115" t="e">
        <f t="shared" si="32"/>
        <v>#VALUE!</v>
      </c>
      <c r="BV14" s="115" t="e">
        <f t="shared" si="32"/>
        <v>#VALUE!</v>
      </c>
      <c r="BW14" s="115" t="e">
        <f t="shared" si="32"/>
        <v>#VALUE!</v>
      </c>
      <c r="BX14" s="115" t="e">
        <f t="shared" si="33"/>
        <v>#VALUE!</v>
      </c>
      <c r="BY14" s="115" t="e">
        <f t="shared" si="33"/>
        <v>#VALUE!</v>
      </c>
      <c r="BZ14" s="115" t="e">
        <f t="shared" si="33"/>
        <v>#VALUE!</v>
      </c>
      <c r="CA14" s="115" t="e">
        <f t="shared" si="33"/>
        <v>#VALUE!</v>
      </c>
      <c r="CB14" s="115" t="e">
        <f t="shared" si="33"/>
        <v>#VALUE!</v>
      </c>
      <c r="CC14" s="115" t="e">
        <f t="shared" si="33"/>
        <v>#VALUE!</v>
      </c>
      <c r="CD14" s="115" t="e">
        <f t="shared" si="33"/>
        <v>#VALUE!</v>
      </c>
      <c r="CE14" s="115" t="e">
        <f t="shared" si="33"/>
        <v>#VALUE!</v>
      </c>
      <c r="CF14" s="115" t="e">
        <f t="shared" si="33"/>
        <v>#VALUE!</v>
      </c>
      <c r="CG14" s="115" t="e">
        <f t="shared" si="33"/>
        <v>#VALUE!</v>
      </c>
      <c r="CH14" s="115" t="e">
        <f t="shared" si="34"/>
        <v>#VALUE!</v>
      </c>
      <c r="CI14" s="115" t="e">
        <f t="shared" si="34"/>
        <v>#VALUE!</v>
      </c>
      <c r="CJ14" s="115" t="e">
        <f t="shared" si="34"/>
        <v>#VALUE!</v>
      </c>
      <c r="CK14" s="115" t="e">
        <f t="shared" si="34"/>
        <v>#VALUE!</v>
      </c>
      <c r="CL14" s="115" t="e">
        <f t="shared" si="34"/>
        <v>#VALUE!</v>
      </c>
      <c r="CM14" s="115" t="e">
        <f t="shared" si="34"/>
        <v>#VALUE!</v>
      </c>
      <c r="CN14" s="115" t="e">
        <f t="shared" si="34"/>
        <v>#VALUE!</v>
      </c>
      <c r="CO14" s="115" t="e">
        <f t="shared" si="34"/>
        <v>#VALUE!</v>
      </c>
      <c r="CP14" s="115" t="e">
        <f t="shared" si="34"/>
        <v>#VALUE!</v>
      </c>
      <c r="CQ14" s="115" t="e">
        <f t="shared" si="34"/>
        <v>#VALUE!</v>
      </c>
      <c r="CR14" s="115" t="e">
        <f t="shared" si="35"/>
        <v>#VALUE!</v>
      </c>
      <c r="CS14" s="115" t="e">
        <f t="shared" si="35"/>
        <v>#VALUE!</v>
      </c>
      <c r="CT14" s="115" t="e">
        <f t="shared" si="35"/>
        <v>#VALUE!</v>
      </c>
      <c r="CU14" s="115" t="e">
        <f t="shared" si="35"/>
        <v>#VALUE!</v>
      </c>
      <c r="CV14" s="115" t="e">
        <f t="shared" si="35"/>
        <v>#VALUE!</v>
      </c>
      <c r="CW14" s="115" t="e">
        <f t="shared" si="35"/>
        <v>#VALUE!</v>
      </c>
      <c r="CX14" s="115" t="e">
        <f t="shared" si="35"/>
        <v>#VALUE!</v>
      </c>
      <c r="CY14" s="115" t="e">
        <f t="shared" si="35"/>
        <v>#VALUE!</v>
      </c>
      <c r="CZ14" s="115" t="e">
        <f t="shared" si="35"/>
        <v>#VALUE!</v>
      </c>
      <c r="DA14" s="115" t="e">
        <f t="shared" si="35"/>
        <v>#VALUE!</v>
      </c>
      <c r="DB14" s="115" t="e">
        <f t="shared" si="36"/>
        <v>#VALUE!</v>
      </c>
      <c r="DC14" s="115" t="e">
        <f t="shared" si="36"/>
        <v>#VALUE!</v>
      </c>
      <c r="DD14" s="115" t="e">
        <f t="shared" si="36"/>
        <v>#VALUE!</v>
      </c>
      <c r="DE14" s="115" t="e">
        <f t="shared" si="36"/>
        <v>#VALUE!</v>
      </c>
      <c r="DF14" s="115" t="e">
        <f t="shared" si="36"/>
        <v>#VALUE!</v>
      </c>
      <c r="DG14" s="115" t="e">
        <f t="shared" si="36"/>
        <v>#VALUE!</v>
      </c>
      <c r="DH14" s="115" t="e">
        <f t="shared" si="36"/>
        <v>#VALUE!</v>
      </c>
      <c r="DI14" s="115" t="e">
        <f t="shared" si="36"/>
        <v>#VALUE!</v>
      </c>
      <c r="DJ14" s="115" t="e">
        <f t="shared" si="36"/>
        <v>#VALUE!</v>
      </c>
      <c r="DK14" s="115" t="e">
        <f t="shared" si="36"/>
        <v>#VALUE!</v>
      </c>
      <c r="DL14" s="115" t="e">
        <f t="shared" si="36"/>
        <v>#VALUE!</v>
      </c>
      <c r="DM14" s="115" t="e">
        <f t="shared" si="36"/>
        <v>#VALUE!</v>
      </c>
    </row>
    <row r="15" spans="1:117" ht="15" customHeight="1" thickBot="1">
      <c r="A15" s="55">
        <v>1500</v>
      </c>
      <c r="B15" s="194" t="s">
        <v>728</v>
      </c>
      <c r="C15" s="194" t="s">
        <v>748</v>
      </c>
      <c r="D15" s="194" t="s">
        <v>274</v>
      </c>
      <c r="E15" s="194"/>
      <c r="F15" s="194" t="s">
        <v>1049</v>
      </c>
      <c r="G15" s="291">
        <f t="shared" si="4"/>
        <v>0</v>
      </c>
      <c r="H15" s="292">
        <f>VLOOKUP("E3.D.01",Errichtungskosten,12,0)*VLOOKUP("E3D01Rw",Verwaltung_Technik,5,0)/100*(1-VLOOKUP("E3D01VAnteil",Verwaltung_Technik,5,0)/100) + VLOOKUP("E3.D.01",Errichtungskosten,12,0)*VLOOKUP("E3D01Vw",Verwaltung_Technik,5,0)/100*VLOOKUP("E3D01VAnteil",Verwaltung_Technik,5,0)/100 + VLOOKUP("E3.D.02",Errichtungskosten,12,0)*VLOOKUP("E3D02w",Verwaltung_Technik,5,0)/100+VLOOKUP("E3.D.03",Errichtungskosten,12,0)*VLOOKUP("E3D03w",Verwaltung_Technik,5,0)/100+VLOOKUP("E3.D.04",Errichtungskosten,12,0)*VLOOKUP("E3D04w",Verwaltung_Technik,5,0)/100+VLOOKUP("E3.D.05",Errichtungskosten,12,0)*VLOOKUP("E3D05w",Verwaltung_Technik,5,0)/100+VLOOKUP("E3.D.S",Errichtungskosten,12,0)*VLOOKUP("E3DSw",Verwaltung_Technik,5,0)/100</f>
        <v>0</v>
      </c>
      <c r="I15" s="168"/>
      <c r="J15" s="194" t="s">
        <v>727</v>
      </c>
      <c r="K15" s="378" t="s">
        <v>732</v>
      </c>
      <c r="L15" s="379" t="s">
        <v>358</v>
      </c>
      <c r="M15" s="325">
        <f t="shared" si="25"/>
        <v>1.35</v>
      </c>
      <c r="N15" s="380">
        <f t="shared" si="26"/>
        <v>0.99655850540806312</v>
      </c>
      <c r="O15" s="381">
        <f t="shared" si="27"/>
        <v>0</v>
      </c>
      <c r="P15" s="169" t="s">
        <v>103</v>
      </c>
      <c r="Q15" s="114">
        <f t="shared" si="27"/>
        <v>0</v>
      </c>
      <c r="R15" s="115">
        <f t="shared" si="27"/>
        <v>0</v>
      </c>
      <c r="S15" s="115">
        <f t="shared" si="27"/>
        <v>0</v>
      </c>
      <c r="T15" s="115">
        <f t="shared" si="27"/>
        <v>0</v>
      </c>
      <c r="U15" s="115">
        <f t="shared" si="27"/>
        <v>0</v>
      </c>
      <c r="V15" s="115">
        <f t="shared" si="27"/>
        <v>0</v>
      </c>
      <c r="W15" s="115">
        <f t="shared" si="27"/>
        <v>0</v>
      </c>
      <c r="X15" s="115">
        <f t="shared" si="27"/>
        <v>0</v>
      </c>
      <c r="Y15" s="115">
        <f t="shared" si="27"/>
        <v>0</v>
      </c>
      <c r="Z15" s="115">
        <f t="shared" si="28"/>
        <v>0</v>
      </c>
      <c r="AA15" s="115">
        <f t="shared" si="28"/>
        <v>0</v>
      </c>
      <c r="AB15" s="115">
        <f t="shared" si="28"/>
        <v>0</v>
      </c>
      <c r="AC15" s="115">
        <f t="shared" si="28"/>
        <v>0</v>
      </c>
      <c r="AD15" s="115">
        <f t="shared" si="28"/>
        <v>0</v>
      </c>
      <c r="AE15" s="115">
        <f t="shared" si="28"/>
        <v>0</v>
      </c>
      <c r="AF15" s="115">
        <f t="shared" si="28"/>
        <v>0</v>
      </c>
      <c r="AG15" s="115">
        <f t="shared" si="28"/>
        <v>0</v>
      </c>
      <c r="AH15" s="115">
        <f t="shared" si="28"/>
        <v>0</v>
      </c>
      <c r="AI15" s="115">
        <f t="shared" si="28"/>
        <v>0</v>
      </c>
      <c r="AJ15" s="115">
        <f t="shared" si="29"/>
        <v>0</v>
      </c>
      <c r="AK15" s="115">
        <f t="shared" si="29"/>
        <v>0</v>
      </c>
      <c r="AL15" s="115">
        <f t="shared" si="29"/>
        <v>0</v>
      </c>
      <c r="AM15" s="115">
        <f t="shared" si="29"/>
        <v>0</v>
      </c>
      <c r="AN15" s="115">
        <f t="shared" si="29"/>
        <v>0</v>
      </c>
      <c r="AO15" s="115">
        <f t="shared" si="29"/>
        <v>0</v>
      </c>
      <c r="AP15" s="115">
        <f t="shared" si="29"/>
        <v>0</v>
      </c>
      <c r="AQ15" s="115">
        <f t="shared" si="29"/>
        <v>0</v>
      </c>
      <c r="AR15" s="115">
        <f t="shared" si="29"/>
        <v>0</v>
      </c>
      <c r="AS15" s="115">
        <f t="shared" si="29"/>
        <v>0</v>
      </c>
      <c r="AT15" s="115">
        <f t="shared" si="30"/>
        <v>0</v>
      </c>
      <c r="AU15" s="115">
        <f t="shared" si="30"/>
        <v>0</v>
      </c>
      <c r="AV15" s="115" t="e">
        <f t="shared" si="30"/>
        <v>#VALUE!</v>
      </c>
      <c r="AW15" s="115" t="e">
        <f t="shared" si="30"/>
        <v>#VALUE!</v>
      </c>
      <c r="AX15" s="115" t="e">
        <f t="shared" si="30"/>
        <v>#VALUE!</v>
      </c>
      <c r="AY15" s="115" t="e">
        <f t="shared" si="30"/>
        <v>#VALUE!</v>
      </c>
      <c r="AZ15" s="115" t="e">
        <f t="shared" si="30"/>
        <v>#VALUE!</v>
      </c>
      <c r="BA15" s="115" t="e">
        <f t="shared" si="30"/>
        <v>#VALUE!</v>
      </c>
      <c r="BB15" s="115" t="e">
        <f t="shared" si="30"/>
        <v>#VALUE!</v>
      </c>
      <c r="BC15" s="115" t="e">
        <f t="shared" si="30"/>
        <v>#VALUE!</v>
      </c>
      <c r="BD15" s="115" t="e">
        <f t="shared" si="31"/>
        <v>#VALUE!</v>
      </c>
      <c r="BE15" s="115" t="e">
        <f t="shared" si="31"/>
        <v>#VALUE!</v>
      </c>
      <c r="BF15" s="115" t="e">
        <f t="shared" si="31"/>
        <v>#VALUE!</v>
      </c>
      <c r="BG15" s="115" t="e">
        <f t="shared" si="31"/>
        <v>#VALUE!</v>
      </c>
      <c r="BH15" s="115" t="e">
        <f t="shared" si="31"/>
        <v>#VALUE!</v>
      </c>
      <c r="BI15" s="115" t="e">
        <f t="shared" si="31"/>
        <v>#VALUE!</v>
      </c>
      <c r="BJ15" s="115" t="e">
        <f t="shared" si="31"/>
        <v>#VALUE!</v>
      </c>
      <c r="BK15" s="115" t="e">
        <f t="shared" si="31"/>
        <v>#VALUE!</v>
      </c>
      <c r="BL15" s="115" t="e">
        <f t="shared" si="31"/>
        <v>#VALUE!</v>
      </c>
      <c r="BM15" s="115" t="e">
        <f t="shared" si="31"/>
        <v>#VALUE!</v>
      </c>
      <c r="BN15" s="115" t="e">
        <f t="shared" si="32"/>
        <v>#VALUE!</v>
      </c>
      <c r="BO15" s="115" t="e">
        <f t="shared" si="32"/>
        <v>#VALUE!</v>
      </c>
      <c r="BP15" s="115" t="e">
        <f t="shared" si="32"/>
        <v>#VALUE!</v>
      </c>
      <c r="BQ15" s="115" t="e">
        <f t="shared" si="32"/>
        <v>#VALUE!</v>
      </c>
      <c r="BR15" s="115" t="e">
        <f t="shared" si="32"/>
        <v>#VALUE!</v>
      </c>
      <c r="BS15" s="115" t="e">
        <f t="shared" si="32"/>
        <v>#VALUE!</v>
      </c>
      <c r="BT15" s="115" t="e">
        <f t="shared" si="32"/>
        <v>#VALUE!</v>
      </c>
      <c r="BU15" s="115" t="e">
        <f t="shared" si="32"/>
        <v>#VALUE!</v>
      </c>
      <c r="BV15" s="115" t="e">
        <f t="shared" si="32"/>
        <v>#VALUE!</v>
      </c>
      <c r="BW15" s="115" t="e">
        <f t="shared" si="32"/>
        <v>#VALUE!</v>
      </c>
      <c r="BX15" s="115" t="e">
        <f t="shared" si="33"/>
        <v>#VALUE!</v>
      </c>
      <c r="BY15" s="115" t="e">
        <f t="shared" si="33"/>
        <v>#VALUE!</v>
      </c>
      <c r="BZ15" s="115" t="e">
        <f t="shared" si="33"/>
        <v>#VALUE!</v>
      </c>
      <c r="CA15" s="115" t="e">
        <f t="shared" si="33"/>
        <v>#VALUE!</v>
      </c>
      <c r="CB15" s="115" t="e">
        <f t="shared" si="33"/>
        <v>#VALUE!</v>
      </c>
      <c r="CC15" s="115" t="e">
        <f t="shared" si="33"/>
        <v>#VALUE!</v>
      </c>
      <c r="CD15" s="115" t="e">
        <f t="shared" si="33"/>
        <v>#VALUE!</v>
      </c>
      <c r="CE15" s="115" t="e">
        <f t="shared" si="33"/>
        <v>#VALUE!</v>
      </c>
      <c r="CF15" s="115" t="e">
        <f t="shared" si="33"/>
        <v>#VALUE!</v>
      </c>
      <c r="CG15" s="115" t="e">
        <f t="shared" si="33"/>
        <v>#VALUE!</v>
      </c>
      <c r="CH15" s="115" t="e">
        <f t="shared" si="34"/>
        <v>#VALUE!</v>
      </c>
      <c r="CI15" s="115" t="e">
        <f t="shared" si="34"/>
        <v>#VALUE!</v>
      </c>
      <c r="CJ15" s="115" t="e">
        <f t="shared" si="34"/>
        <v>#VALUE!</v>
      </c>
      <c r="CK15" s="115" t="e">
        <f t="shared" si="34"/>
        <v>#VALUE!</v>
      </c>
      <c r="CL15" s="115" t="e">
        <f t="shared" si="34"/>
        <v>#VALUE!</v>
      </c>
      <c r="CM15" s="115" t="e">
        <f t="shared" si="34"/>
        <v>#VALUE!</v>
      </c>
      <c r="CN15" s="115" t="e">
        <f t="shared" si="34"/>
        <v>#VALUE!</v>
      </c>
      <c r="CO15" s="115" t="e">
        <f t="shared" si="34"/>
        <v>#VALUE!</v>
      </c>
      <c r="CP15" s="115" t="e">
        <f t="shared" si="34"/>
        <v>#VALUE!</v>
      </c>
      <c r="CQ15" s="115" t="e">
        <f t="shared" si="34"/>
        <v>#VALUE!</v>
      </c>
      <c r="CR15" s="115" t="e">
        <f t="shared" si="35"/>
        <v>#VALUE!</v>
      </c>
      <c r="CS15" s="115" t="e">
        <f t="shared" si="35"/>
        <v>#VALUE!</v>
      </c>
      <c r="CT15" s="115" t="e">
        <f t="shared" si="35"/>
        <v>#VALUE!</v>
      </c>
      <c r="CU15" s="115" t="e">
        <f t="shared" si="35"/>
        <v>#VALUE!</v>
      </c>
      <c r="CV15" s="115" t="e">
        <f t="shared" si="35"/>
        <v>#VALUE!</v>
      </c>
      <c r="CW15" s="115" t="e">
        <f t="shared" si="35"/>
        <v>#VALUE!</v>
      </c>
      <c r="CX15" s="115" t="e">
        <f t="shared" si="35"/>
        <v>#VALUE!</v>
      </c>
      <c r="CY15" s="115" t="e">
        <f t="shared" si="35"/>
        <v>#VALUE!</v>
      </c>
      <c r="CZ15" s="115" t="e">
        <f t="shared" si="35"/>
        <v>#VALUE!</v>
      </c>
      <c r="DA15" s="115" t="e">
        <f t="shared" si="35"/>
        <v>#VALUE!</v>
      </c>
      <c r="DB15" s="115" t="e">
        <f t="shared" si="36"/>
        <v>#VALUE!</v>
      </c>
      <c r="DC15" s="115" t="e">
        <f t="shared" si="36"/>
        <v>#VALUE!</v>
      </c>
      <c r="DD15" s="115" t="e">
        <f t="shared" si="36"/>
        <v>#VALUE!</v>
      </c>
      <c r="DE15" s="115" t="e">
        <f t="shared" si="36"/>
        <v>#VALUE!</v>
      </c>
      <c r="DF15" s="115" t="e">
        <f t="shared" si="36"/>
        <v>#VALUE!</v>
      </c>
      <c r="DG15" s="115" t="e">
        <f t="shared" si="36"/>
        <v>#VALUE!</v>
      </c>
      <c r="DH15" s="115" t="e">
        <f t="shared" si="36"/>
        <v>#VALUE!</v>
      </c>
      <c r="DI15" s="115" t="e">
        <f t="shared" si="36"/>
        <v>#VALUE!</v>
      </c>
      <c r="DJ15" s="115" t="e">
        <f t="shared" si="36"/>
        <v>#VALUE!</v>
      </c>
      <c r="DK15" s="115" t="e">
        <f t="shared" si="36"/>
        <v>#VALUE!</v>
      </c>
      <c r="DL15" s="115" t="e">
        <f t="shared" si="36"/>
        <v>#VALUE!</v>
      </c>
      <c r="DM15" s="115" t="e">
        <f t="shared" si="36"/>
        <v>#VALUE!</v>
      </c>
    </row>
    <row r="16" spans="1:117" ht="15" customHeight="1" thickBot="1">
      <c r="A16" s="55">
        <v>1600</v>
      </c>
      <c r="B16" s="194" t="s">
        <v>728</v>
      </c>
      <c r="C16" s="194" t="s">
        <v>749</v>
      </c>
      <c r="D16" s="194" t="s">
        <v>259</v>
      </c>
      <c r="E16" s="194"/>
      <c r="F16" s="194" t="s">
        <v>1050</v>
      </c>
      <c r="G16" s="291">
        <f t="shared" si="4"/>
        <v>0</v>
      </c>
      <c r="H16" s="292">
        <f>VLOOKUP("E3.E.01",Errichtungskosten,12,0)*VLOOKUP("E3E01w",Verwaltung_Technik,5,0)/100+VLOOKUP("E3.E.02",Errichtungskosten,12,0)*VLOOKUP("E3E02w",Verwaltung_Technik,5,0)/100+VLOOKUP("E3.E.03",Errichtungskosten,12,0)*VLOOKUP("E3E03w",Verwaltung_Technik,5,0)/100+VLOOKUP("E3.E.04",Errichtungskosten,12,0)*VLOOKUP("E3E04w",Verwaltung_Technik,5,0)/100+VLOOKUP("E3.E.S",Errichtungskosten,12,0)*VLOOKUP("E3ESw",Verwaltung_Technik,5,0)/100</f>
        <v>0</v>
      </c>
      <c r="I16" s="168"/>
      <c r="J16" s="194" t="s">
        <v>727</v>
      </c>
      <c r="K16" s="378" t="s">
        <v>732</v>
      </c>
      <c r="L16" s="379" t="s">
        <v>358</v>
      </c>
      <c r="M16" s="325">
        <f t="shared" si="25"/>
        <v>1.35</v>
      </c>
      <c r="N16" s="380">
        <f t="shared" si="26"/>
        <v>0.99655850540806312</v>
      </c>
      <c r="O16" s="381">
        <f t="shared" si="27"/>
        <v>0</v>
      </c>
      <c r="P16" s="169" t="s">
        <v>103</v>
      </c>
      <c r="Q16" s="114">
        <f t="shared" si="27"/>
        <v>0</v>
      </c>
      <c r="R16" s="115">
        <f t="shared" si="27"/>
        <v>0</v>
      </c>
      <c r="S16" s="115">
        <f t="shared" si="27"/>
        <v>0</v>
      </c>
      <c r="T16" s="115">
        <f t="shared" si="27"/>
        <v>0</v>
      </c>
      <c r="U16" s="115">
        <f t="shared" si="27"/>
        <v>0</v>
      </c>
      <c r="V16" s="115">
        <f t="shared" si="27"/>
        <v>0</v>
      </c>
      <c r="W16" s="115">
        <f t="shared" si="27"/>
        <v>0</v>
      </c>
      <c r="X16" s="115">
        <f t="shared" si="27"/>
        <v>0</v>
      </c>
      <c r="Y16" s="115">
        <f t="shared" si="27"/>
        <v>0</v>
      </c>
      <c r="Z16" s="115">
        <f t="shared" si="28"/>
        <v>0</v>
      </c>
      <c r="AA16" s="115">
        <f t="shared" si="28"/>
        <v>0</v>
      </c>
      <c r="AB16" s="115">
        <f t="shared" si="28"/>
        <v>0</v>
      </c>
      <c r="AC16" s="115">
        <f t="shared" si="28"/>
        <v>0</v>
      </c>
      <c r="AD16" s="115">
        <f t="shared" si="28"/>
        <v>0</v>
      </c>
      <c r="AE16" s="115">
        <f t="shared" si="28"/>
        <v>0</v>
      </c>
      <c r="AF16" s="115">
        <f t="shared" si="28"/>
        <v>0</v>
      </c>
      <c r="AG16" s="115">
        <f t="shared" si="28"/>
        <v>0</v>
      </c>
      <c r="AH16" s="115">
        <f t="shared" si="28"/>
        <v>0</v>
      </c>
      <c r="AI16" s="115">
        <f t="shared" si="28"/>
        <v>0</v>
      </c>
      <c r="AJ16" s="115">
        <f t="shared" si="29"/>
        <v>0</v>
      </c>
      <c r="AK16" s="115">
        <f t="shared" si="29"/>
        <v>0</v>
      </c>
      <c r="AL16" s="115">
        <f t="shared" si="29"/>
        <v>0</v>
      </c>
      <c r="AM16" s="115">
        <f t="shared" si="29"/>
        <v>0</v>
      </c>
      <c r="AN16" s="115">
        <f t="shared" si="29"/>
        <v>0</v>
      </c>
      <c r="AO16" s="115">
        <f t="shared" si="29"/>
        <v>0</v>
      </c>
      <c r="AP16" s="115">
        <f t="shared" si="29"/>
        <v>0</v>
      </c>
      <c r="AQ16" s="115">
        <f t="shared" si="29"/>
        <v>0</v>
      </c>
      <c r="AR16" s="115">
        <f t="shared" si="29"/>
        <v>0</v>
      </c>
      <c r="AS16" s="115">
        <f t="shared" si="29"/>
        <v>0</v>
      </c>
      <c r="AT16" s="115">
        <f t="shared" si="30"/>
        <v>0</v>
      </c>
      <c r="AU16" s="115">
        <f t="shared" si="30"/>
        <v>0</v>
      </c>
      <c r="AV16" s="115" t="e">
        <f t="shared" si="30"/>
        <v>#VALUE!</v>
      </c>
      <c r="AW16" s="115" t="e">
        <f t="shared" si="30"/>
        <v>#VALUE!</v>
      </c>
      <c r="AX16" s="115" t="e">
        <f t="shared" si="30"/>
        <v>#VALUE!</v>
      </c>
      <c r="AY16" s="115" t="e">
        <f t="shared" si="30"/>
        <v>#VALUE!</v>
      </c>
      <c r="AZ16" s="115" t="e">
        <f t="shared" si="30"/>
        <v>#VALUE!</v>
      </c>
      <c r="BA16" s="115" t="e">
        <f t="shared" si="30"/>
        <v>#VALUE!</v>
      </c>
      <c r="BB16" s="115" t="e">
        <f t="shared" si="30"/>
        <v>#VALUE!</v>
      </c>
      <c r="BC16" s="115" t="e">
        <f t="shared" si="30"/>
        <v>#VALUE!</v>
      </c>
      <c r="BD16" s="115" t="e">
        <f t="shared" si="31"/>
        <v>#VALUE!</v>
      </c>
      <c r="BE16" s="115" t="e">
        <f t="shared" si="31"/>
        <v>#VALUE!</v>
      </c>
      <c r="BF16" s="115" t="e">
        <f t="shared" si="31"/>
        <v>#VALUE!</v>
      </c>
      <c r="BG16" s="115" t="e">
        <f t="shared" si="31"/>
        <v>#VALUE!</v>
      </c>
      <c r="BH16" s="115" t="e">
        <f t="shared" si="31"/>
        <v>#VALUE!</v>
      </c>
      <c r="BI16" s="115" t="e">
        <f t="shared" si="31"/>
        <v>#VALUE!</v>
      </c>
      <c r="BJ16" s="115" t="e">
        <f t="shared" si="31"/>
        <v>#VALUE!</v>
      </c>
      <c r="BK16" s="115" t="e">
        <f t="shared" si="31"/>
        <v>#VALUE!</v>
      </c>
      <c r="BL16" s="115" t="e">
        <f t="shared" si="31"/>
        <v>#VALUE!</v>
      </c>
      <c r="BM16" s="115" t="e">
        <f t="shared" si="31"/>
        <v>#VALUE!</v>
      </c>
      <c r="BN16" s="115" t="e">
        <f t="shared" si="32"/>
        <v>#VALUE!</v>
      </c>
      <c r="BO16" s="115" t="e">
        <f t="shared" si="32"/>
        <v>#VALUE!</v>
      </c>
      <c r="BP16" s="115" t="e">
        <f t="shared" si="32"/>
        <v>#VALUE!</v>
      </c>
      <c r="BQ16" s="115" t="e">
        <f t="shared" si="32"/>
        <v>#VALUE!</v>
      </c>
      <c r="BR16" s="115" t="e">
        <f t="shared" si="32"/>
        <v>#VALUE!</v>
      </c>
      <c r="BS16" s="115" t="e">
        <f t="shared" si="32"/>
        <v>#VALUE!</v>
      </c>
      <c r="BT16" s="115" t="e">
        <f t="shared" si="32"/>
        <v>#VALUE!</v>
      </c>
      <c r="BU16" s="115" t="e">
        <f t="shared" si="32"/>
        <v>#VALUE!</v>
      </c>
      <c r="BV16" s="115" t="e">
        <f t="shared" si="32"/>
        <v>#VALUE!</v>
      </c>
      <c r="BW16" s="115" t="e">
        <f t="shared" si="32"/>
        <v>#VALUE!</v>
      </c>
      <c r="BX16" s="115" t="e">
        <f t="shared" si="33"/>
        <v>#VALUE!</v>
      </c>
      <c r="BY16" s="115" t="e">
        <f t="shared" si="33"/>
        <v>#VALUE!</v>
      </c>
      <c r="BZ16" s="115" t="e">
        <f t="shared" si="33"/>
        <v>#VALUE!</v>
      </c>
      <c r="CA16" s="115" t="e">
        <f t="shared" si="33"/>
        <v>#VALUE!</v>
      </c>
      <c r="CB16" s="115" t="e">
        <f t="shared" si="33"/>
        <v>#VALUE!</v>
      </c>
      <c r="CC16" s="115" t="e">
        <f t="shared" si="33"/>
        <v>#VALUE!</v>
      </c>
      <c r="CD16" s="115" t="e">
        <f t="shared" si="33"/>
        <v>#VALUE!</v>
      </c>
      <c r="CE16" s="115" t="e">
        <f t="shared" si="33"/>
        <v>#VALUE!</v>
      </c>
      <c r="CF16" s="115" t="e">
        <f t="shared" si="33"/>
        <v>#VALUE!</v>
      </c>
      <c r="CG16" s="115" t="e">
        <f t="shared" si="33"/>
        <v>#VALUE!</v>
      </c>
      <c r="CH16" s="115" t="e">
        <f t="shared" si="34"/>
        <v>#VALUE!</v>
      </c>
      <c r="CI16" s="115" t="e">
        <f t="shared" si="34"/>
        <v>#VALUE!</v>
      </c>
      <c r="CJ16" s="115" t="e">
        <f t="shared" si="34"/>
        <v>#VALUE!</v>
      </c>
      <c r="CK16" s="115" t="e">
        <f t="shared" si="34"/>
        <v>#VALUE!</v>
      </c>
      <c r="CL16" s="115" t="e">
        <f t="shared" si="34"/>
        <v>#VALUE!</v>
      </c>
      <c r="CM16" s="115" t="e">
        <f t="shared" si="34"/>
        <v>#VALUE!</v>
      </c>
      <c r="CN16" s="115" t="e">
        <f t="shared" si="34"/>
        <v>#VALUE!</v>
      </c>
      <c r="CO16" s="115" t="e">
        <f t="shared" si="34"/>
        <v>#VALUE!</v>
      </c>
      <c r="CP16" s="115" t="e">
        <f t="shared" si="34"/>
        <v>#VALUE!</v>
      </c>
      <c r="CQ16" s="115" t="e">
        <f t="shared" si="34"/>
        <v>#VALUE!</v>
      </c>
      <c r="CR16" s="115" t="e">
        <f t="shared" si="35"/>
        <v>#VALUE!</v>
      </c>
      <c r="CS16" s="115" t="e">
        <f t="shared" si="35"/>
        <v>#VALUE!</v>
      </c>
      <c r="CT16" s="115" t="e">
        <f t="shared" si="35"/>
        <v>#VALUE!</v>
      </c>
      <c r="CU16" s="115" t="e">
        <f t="shared" si="35"/>
        <v>#VALUE!</v>
      </c>
      <c r="CV16" s="115" t="e">
        <f t="shared" si="35"/>
        <v>#VALUE!</v>
      </c>
      <c r="CW16" s="115" t="e">
        <f t="shared" si="35"/>
        <v>#VALUE!</v>
      </c>
      <c r="CX16" s="115" t="e">
        <f t="shared" si="35"/>
        <v>#VALUE!</v>
      </c>
      <c r="CY16" s="115" t="e">
        <f t="shared" si="35"/>
        <v>#VALUE!</v>
      </c>
      <c r="CZ16" s="115" t="e">
        <f t="shared" si="35"/>
        <v>#VALUE!</v>
      </c>
      <c r="DA16" s="115" t="e">
        <f t="shared" si="35"/>
        <v>#VALUE!</v>
      </c>
      <c r="DB16" s="115" t="e">
        <f t="shared" si="36"/>
        <v>#VALUE!</v>
      </c>
      <c r="DC16" s="115" t="e">
        <f t="shared" si="36"/>
        <v>#VALUE!</v>
      </c>
      <c r="DD16" s="115" t="e">
        <f t="shared" si="36"/>
        <v>#VALUE!</v>
      </c>
      <c r="DE16" s="115" t="e">
        <f t="shared" si="36"/>
        <v>#VALUE!</v>
      </c>
      <c r="DF16" s="115" t="e">
        <f t="shared" si="36"/>
        <v>#VALUE!</v>
      </c>
      <c r="DG16" s="115" t="e">
        <f t="shared" si="36"/>
        <v>#VALUE!</v>
      </c>
      <c r="DH16" s="115" t="e">
        <f t="shared" si="36"/>
        <v>#VALUE!</v>
      </c>
      <c r="DI16" s="115" t="e">
        <f t="shared" si="36"/>
        <v>#VALUE!</v>
      </c>
      <c r="DJ16" s="115" t="e">
        <f t="shared" si="36"/>
        <v>#VALUE!</v>
      </c>
      <c r="DK16" s="115" t="e">
        <f t="shared" si="36"/>
        <v>#VALUE!</v>
      </c>
      <c r="DL16" s="115" t="e">
        <f t="shared" si="36"/>
        <v>#VALUE!</v>
      </c>
      <c r="DM16" s="115" t="e">
        <f t="shared" si="36"/>
        <v>#VALUE!</v>
      </c>
    </row>
    <row r="17" spans="1:117" ht="15" customHeight="1" thickBot="1">
      <c r="A17" s="55">
        <v>1700</v>
      </c>
      <c r="B17" s="194" t="s">
        <v>728</v>
      </c>
      <c r="C17" s="194" t="s">
        <v>750</v>
      </c>
      <c r="D17" s="194" t="s">
        <v>246</v>
      </c>
      <c r="E17" s="194"/>
      <c r="F17" s="194" t="s">
        <v>1051</v>
      </c>
      <c r="G17" s="291">
        <f t="shared" si="4"/>
        <v>0</v>
      </c>
      <c r="H17" s="292">
        <f>VLOOKUP("E3.F",Errichtungskosten,12,0)*VLOOKUP("E3Fw",Verwaltung_Technik,5,0)/100</f>
        <v>0</v>
      </c>
      <c r="I17" s="168"/>
      <c r="J17" s="194" t="s">
        <v>727</v>
      </c>
      <c r="K17" s="378" t="s">
        <v>732</v>
      </c>
      <c r="L17" s="379" t="s">
        <v>358</v>
      </c>
      <c r="M17" s="325">
        <f t="shared" si="25"/>
        <v>1.35</v>
      </c>
      <c r="N17" s="380">
        <f t="shared" si="26"/>
        <v>0.99655850540806312</v>
      </c>
      <c r="O17" s="381">
        <f t="shared" si="27"/>
        <v>0</v>
      </c>
      <c r="P17" s="169" t="s">
        <v>103</v>
      </c>
      <c r="Q17" s="114">
        <f t="shared" si="27"/>
        <v>0</v>
      </c>
      <c r="R17" s="115">
        <f t="shared" si="27"/>
        <v>0</v>
      </c>
      <c r="S17" s="115">
        <f t="shared" si="27"/>
        <v>0</v>
      </c>
      <c r="T17" s="115">
        <f t="shared" si="27"/>
        <v>0</v>
      </c>
      <c r="U17" s="115">
        <f t="shared" si="27"/>
        <v>0</v>
      </c>
      <c r="V17" s="115">
        <f t="shared" si="27"/>
        <v>0</v>
      </c>
      <c r="W17" s="115">
        <f t="shared" si="27"/>
        <v>0</v>
      </c>
      <c r="X17" s="115">
        <f t="shared" si="27"/>
        <v>0</v>
      </c>
      <c r="Y17" s="115">
        <f t="shared" si="27"/>
        <v>0</v>
      </c>
      <c r="Z17" s="115">
        <f t="shared" si="28"/>
        <v>0</v>
      </c>
      <c r="AA17" s="115">
        <f t="shared" si="28"/>
        <v>0</v>
      </c>
      <c r="AB17" s="115">
        <f t="shared" si="28"/>
        <v>0</v>
      </c>
      <c r="AC17" s="115">
        <f t="shared" si="28"/>
        <v>0</v>
      </c>
      <c r="AD17" s="115">
        <f t="shared" si="28"/>
        <v>0</v>
      </c>
      <c r="AE17" s="115">
        <f t="shared" si="28"/>
        <v>0</v>
      </c>
      <c r="AF17" s="115">
        <f t="shared" si="28"/>
        <v>0</v>
      </c>
      <c r="AG17" s="115">
        <f t="shared" si="28"/>
        <v>0</v>
      </c>
      <c r="AH17" s="115">
        <f t="shared" si="28"/>
        <v>0</v>
      </c>
      <c r="AI17" s="115">
        <f t="shared" si="28"/>
        <v>0</v>
      </c>
      <c r="AJ17" s="115">
        <f t="shared" si="29"/>
        <v>0</v>
      </c>
      <c r="AK17" s="115">
        <f t="shared" si="29"/>
        <v>0</v>
      </c>
      <c r="AL17" s="115">
        <f t="shared" si="29"/>
        <v>0</v>
      </c>
      <c r="AM17" s="115">
        <f t="shared" si="29"/>
        <v>0</v>
      </c>
      <c r="AN17" s="115">
        <f t="shared" si="29"/>
        <v>0</v>
      </c>
      <c r="AO17" s="115">
        <f t="shared" si="29"/>
        <v>0</v>
      </c>
      <c r="AP17" s="115">
        <f t="shared" si="29"/>
        <v>0</v>
      </c>
      <c r="AQ17" s="115">
        <f t="shared" si="29"/>
        <v>0</v>
      </c>
      <c r="AR17" s="115">
        <f t="shared" si="29"/>
        <v>0</v>
      </c>
      <c r="AS17" s="115">
        <f t="shared" si="29"/>
        <v>0</v>
      </c>
      <c r="AT17" s="115">
        <f t="shared" si="30"/>
        <v>0</v>
      </c>
      <c r="AU17" s="115">
        <f t="shared" si="30"/>
        <v>0</v>
      </c>
      <c r="AV17" s="115" t="e">
        <f t="shared" si="30"/>
        <v>#VALUE!</v>
      </c>
      <c r="AW17" s="115" t="e">
        <f t="shared" si="30"/>
        <v>#VALUE!</v>
      </c>
      <c r="AX17" s="115" t="e">
        <f t="shared" si="30"/>
        <v>#VALUE!</v>
      </c>
      <c r="AY17" s="115" t="e">
        <f t="shared" si="30"/>
        <v>#VALUE!</v>
      </c>
      <c r="AZ17" s="115" t="e">
        <f t="shared" si="30"/>
        <v>#VALUE!</v>
      </c>
      <c r="BA17" s="115" t="e">
        <f t="shared" si="30"/>
        <v>#VALUE!</v>
      </c>
      <c r="BB17" s="115" t="e">
        <f t="shared" si="30"/>
        <v>#VALUE!</v>
      </c>
      <c r="BC17" s="115" t="e">
        <f t="shared" si="30"/>
        <v>#VALUE!</v>
      </c>
      <c r="BD17" s="115" t="e">
        <f t="shared" si="31"/>
        <v>#VALUE!</v>
      </c>
      <c r="BE17" s="115" t="e">
        <f t="shared" si="31"/>
        <v>#VALUE!</v>
      </c>
      <c r="BF17" s="115" t="e">
        <f t="shared" si="31"/>
        <v>#VALUE!</v>
      </c>
      <c r="BG17" s="115" t="e">
        <f t="shared" si="31"/>
        <v>#VALUE!</v>
      </c>
      <c r="BH17" s="115" t="e">
        <f t="shared" si="31"/>
        <v>#VALUE!</v>
      </c>
      <c r="BI17" s="115" t="e">
        <f t="shared" si="31"/>
        <v>#VALUE!</v>
      </c>
      <c r="BJ17" s="115" t="e">
        <f t="shared" si="31"/>
        <v>#VALUE!</v>
      </c>
      <c r="BK17" s="115" t="e">
        <f t="shared" si="31"/>
        <v>#VALUE!</v>
      </c>
      <c r="BL17" s="115" t="e">
        <f t="shared" si="31"/>
        <v>#VALUE!</v>
      </c>
      <c r="BM17" s="115" t="e">
        <f t="shared" si="31"/>
        <v>#VALUE!</v>
      </c>
      <c r="BN17" s="115" t="e">
        <f t="shared" si="32"/>
        <v>#VALUE!</v>
      </c>
      <c r="BO17" s="115" t="e">
        <f t="shared" si="32"/>
        <v>#VALUE!</v>
      </c>
      <c r="BP17" s="115" t="e">
        <f t="shared" si="32"/>
        <v>#VALUE!</v>
      </c>
      <c r="BQ17" s="115" t="e">
        <f t="shared" si="32"/>
        <v>#VALUE!</v>
      </c>
      <c r="BR17" s="115" t="e">
        <f t="shared" si="32"/>
        <v>#VALUE!</v>
      </c>
      <c r="BS17" s="115" t="e">
        <f t="shared" si="32"/>
        <v>#VALUE!</v>
      </c>
      <c r="BT17" s="115" t="e">
        <f t="shared" si="32"/>
        <v>#VALUE!</v>
      </c>
      <c r="BU17" s="115" t="e">
        <f t="shared" si="32"/>
        <v>#VALUE!</v>
      </c>
      <c r="BV17" s="115" t="e">
        <f t="shared" si="32"/>
        <v>#VALUE!</v>
      </c>
      <c r="BW17" s="115" t="e">
        <f t="shared" si="32"/>
        <v>#VALUE!</v>
      </c>
      <c r="BX17" s="115" t="e">
        <f t="shared" si="33"/>
        <v>#VALUE!</v>
      </c>
      <c r="BY17" s="115" t="e">
        <f t="shared" si="33"/>
        <v>#VALUE!</v>
      </c>
      <c r="BZ17" s="115" t="e">
        <f t="shared" si="33"/>
        <v>#VALUE!</v>
      </c>
      <c r="CA17" s="115" t="e">
        <f t="shared" si="33"/>
        <v>#VALUE!</v>
      </c>
      <c r="CB17" s="115" t="e">
        <f t="shared" si="33"/>
        <v>#VALUE!</v>
      </c>
      <c r="CC17" s="115" t="e">
        <f t="shared" si="33"/>
        <v>#VALUE!</v>
      </c>
      <c r="CD17" s="115" t="e">
        <f t="shared" si="33"/>
        <v>#VALUE!</v>
      </c>
      <c r="CE17" s="115" t="e">
        <f t="shared" si="33"/>
        <v>#VALUE!</v>
      </c>
      <c r="CF17" s="115" t="e">
        <f t="shared" si="33"/>
        <v>#VALUE!</v>
      </c>
      <c r="CG17" s="115" t="e">
        <f t="shared" si="33"/>
        <v>#VALUE!</v>
      </c>
      <c r="CH17" s="115" t="e">
        <f t="shared" si="34"/>
        <v>#VALUE!</v>
      </c>
      <c r="CI17" s="115" t="e">
        <f t="shared" si="34"/>
        <v>#VALUE!</v>
      </c>
      <c r="CJ17" s="115" t="e">
        <f t="shared" si="34"/>
        <v>#VALUE!</v>
      </c>
      <c r="CK17" s="115" t="e">
        <f t="shared" si="34"/>
        <v>#VALUE!</v>
      </c>
      <c r="CL17" s="115" t="e">
        <f t="shared" si="34"/>
        <v>#VALUE!</v>
      </c>
      <c r="CM17" s="115" t="e">
        <f t="shared" si="34"/>
        <v>#VALUE!</v>
      </c>
      <c r="CN17" s="115" t="e">
        <f t="shared" si="34"/>
        <v>#VALUE!</v>
      </c>
      <c r="CO17" s="115" t="e">
        <f t="shared" si="34"/>
        <v>#VALUE!</v>
      </c>
      <c r="CP17" s="115" t="e">
        <f t="shared" si="34"/>
        <v>#VALUE!</v>
      </c>
      <c r="CQ17" s="115" t="e">
        <f t="shared" si="34"/>
        <v>#VALUE!</v>
      </c>
      <c r="CR17" s="115" t="e">
        <f t="shared" si="35"/>
        <v>#VALUE!</v>
      </c>
      <c r="CS17" s="115" t="e">
        <f t="shared" si="35"/>
        <v>#VALUE!</v>
      </c>
      <c r="CT17" s="115" t="e">
        <f t="shared" si="35"/>
        <v>#VALUE!</v>
      </c>
      <c r="CU17" s="115" t="e">
        <f t="shared" si="35"/>
        <v>#VALUE!</v>
      </c>
      <c r="CV17" s="115" t="e">
        <f t="shared" si="35"/>
        <v>#VALUE!</v>
      </c>
      <c r="CW17" s="115" t="e">
        <f t="shared" si="35"/>
        <v>#VALUE!</v>
      </c>
      <c r="CX17" s="115" t="e">
        <f t="shared" si="35"/>
        <v>#VALUE!</v>
      </c>
      <c r="CY17" s="115" t="e">
        <f t="shared" si="35"/>
        <v>#VALUE!</v>
      </c>
      <c r="CZ17" s="115" t="e">
        <f t="shared" si="35"/>
        <v>#VALUE!</v>
      </c>
      <c r="DA17" s="115" t="e">
        <f t="shared" si="35"/>
        <v>#VALUE!</v>
      </c>
      <c r="DB17" s="115" t="e">
        <f t="shared" si="36"/>
        <v>#VALUE!</v>
      </c>
      <c r="DC17" s="115" t="e">
        <f t="shared" si="36"/>
        <v>#VALUE!</v>
      </c>
      <c r="DD17" s="115" t="e">
        <f t="shared" si="36"/>
        <v>#VALUE!</v>
      </c>
      <c r="DE17" s="115" t="e">
        <f t="shared" si="36"/>
        <v>#VALUE!</v>
      </c>
      <c r="DF17" s="115" t="e">
        <f t="shared" si="36"/>
        <v>#VALUE!</v>
      </c>
      <c r="DG17" s="115" t="e">
        <f t="shared" si="36"/>
        <v>#VALUE!</v>
      </c>
      <c r="DH17" s="115" t="e">
        <f t="shared" si="36"/>
        <v>#VALUE!</v>
      </c>
      <c r="DI17" s="115" t="e">
        <f t="shared" si="36"/>
        <v>#VALUE!</v>
      </c>
      <c r="DJ17" s="115" t="e">
        <f t="shared" si="36"/>
        <v>#VALUE!</v>
      </c>
      <c r="DK17" s="115" t="e">
        <f t="shared" si="36"/>
        <v>#VALUE!</v>
      </c>
      <c r="DL17" s="115" t="e">
        <f t="shared" si="36"/>
        <v>#VALUE!</v>
      </c>
      <c r="DM17" s="115" t="e">
        <f t="shared" si="36"/>
        <v>#VALUE!</v>
      </c>
    </row>
    <row r="18" spans="1:117" ht="15" customHeight="1" thickBot="1">
      <c r="A18" s="55">
        <v>1800</v>
      </c>
      <c r="B18" s="194" t="s">
        <v>728</v>
      </c>
      <c r="C18" s="194" t="s">
        <v>751</v>
      </c>
      <c r="D18" s="194" t="s">
        <v>229</v>
      </c>
      <c r="E18" s="194"/>
      <c r="F18" s="194" t="s">
        <v>1052</v>
      </c>
      <c r="G18" s="291">
        <f t="shared" si="4"/>
        <v>0</v>
      </c>
      <c r="H18" s="292">
        <f>VLOOKUP("E3.G",Errichtungskosten,12,0)*VLOOKUP("E3Gw",Verwaltung_Technik,5,0)/100</f>
        <v>0</v>
      </c>
      <c r="I18" s="168"/>
      <c r="J18" s="194" t="s">
        <v>727</v>
      </c>
      <c r="K18" s="378" t="s">
        <v>732</v>
      </c>
      <c r="L18" s="379" t="s">
        <v>358</v>
      </c>
      <c r="M18" s="325">
        <f t="shared" si="25"/>
        <v>1.35</v>
      </c>
      <c r="N18" s="380">
        <f t="shared" si="26"/>
        <v>0.99655850540806312</v>
      </c>
      <c r="O18" s="381">
        <f t="shared" si="27"/>
        <v>0</v>
      </c>
      <c r="P18" s="169" t="s">
        <v>103</v>
      </c>
      <c r="Q18" s="114">
        <f t="shared" si="27"/>
        <v>0</v>
      </c>
      <c r="R18" s="115">
        <f t="shared" si="27"/>
        <v>0</v>
      </c>
      <c r="S18" s="115">
        <f t="shared" si="27"/>
        <v>0</v>
      </c>
      <c r="T18" s="115">
        <f t="shared" si="27"/>
        <v>0</v>
      </c>
      <c r="U18" s="115">
        <f t="shared" si="27"/>
        <v>0</v>
      </c>
      <c r="V18" s="115">
        <f t="shared" si="27"/>
        <v>0</v>
      </c>
      <c r="W18" s="115">
        <f t="shared" si="27"/>
        <v>0</v>
      </c>
      <c r="X18" s="115">
        <f t="shared" si="27"/>
        <v>0</v>
      </c>
      <c r="Y18" s="115">
        <f t="shared" si="27"/>
        <v>0</v>
      </c>
      <c r="Z18" s="115">
        <f t="shared" si="28"/>
        <v>0</v>
      </c>
      <c r="AA18" s="115">
        <f t="shared" si="28"/>
        <v>0</v>
      </c>
      <c r="AB18" s="115">
        <f t="shared" si="28"/>
        <v>0</v>
      </c>
      <c r="AC18" s="115">
        <f t="shared" si="28"/>
        <v>0</v>
      </c>
      <c r="AD18" s="115">
        <f t="shared" si="28"/>
        <v>0</v>
      </c>
      <c r="AE18" s="115">
        <f t="shared" si="28"/>
        <v>0</v>
      </c>
      <c r="AF18" s="115">
        <f t="shared" si="28"/>
        <v>0</v>
      </c>
      <c r="AG18" s="115">
        <f t="shared" si="28"/>
        <v>0</v>
      </c>
      <c r="AH18" s="115">
        <f t="shared" si="28"/>
        <v>0</v>
      </c>
      <c r="AI18" s="115">
        <f t="shared" si="28"/>
        <v>0</v>
      </c>
      <c r="AJ18" s="115">
        <f t="shared" si="29"/>
        <v>0</v>
      </c>
      <c r="AK18" s="115">
        <f t="shared" si="29"/>
        <v>0</v>
      </c>
      <c r="AL18" s="115">
        <f t="shared" si="29"/>
        <v>0</v>
      </c>
      <c r="AM18" s="115">
        <f t="shared" si="29"/>
        <v>0</v>
      </c>
      <c r="AN18" s="115">
        <f t="shared" si="29"/>
        <v>0</v>
      </c>
      <c r="AO18" s="115">
        <f t="shared" si="29"/>
        <v>0</v>
      </c>
      <c r="AP18" s="115">
        <f t="shared" si="29"/>
        <v>0</v>
      </c>
      <c r="AQ18" s="115">
        <f t="shared" si="29"/>
        <v>0</v>
      </c>
      <c r="AR18" s="115">
        <f t="shared" si="29"/>
        <v>0</v>
      </c>
      <c r="AS18" s="115">
        <f t="shared" si="29"/>
        <v>0</v>
      </c>
      <c r="AT18" s="115">
        <f t="shared" si="30"/>
        <v>0</v>
      </c>
      <c r="AU18" s="115">
        <f t="shared" si="30"/>
        <v>0</v>
      </c>
      <c r="AV18" s="115" t="e">
        <f t="shared" si="30"/>
        <v>#VALUE!</v>
      </c>
      <c r="AW18" s="115" t="e">
        <f t="shared" si="30"/>
        <v>#VALUE!</v>
      </c>
      <c r="AX18" s="115" t="e">
        <f t="shared" si="30"/>
        <v>#VALUE!</v>
      </c>
      <c r="AY18" s="115" t="e">
        <f t="shared" si="30"/>
        <v>#VALUE!</v>
      </c>
      <c r="AZ18" s="115" t="e">
        <f t="shared" si="30"/>
        <v>#VALUE!</v>
      </c>
      <c r="BA18" s="115" t="e">
        <f t="shared" si="30"/>
        <v>#VALUE!</v>
      </c>
      <c r="BB18" s="115" t="e">
        <f t="shared" si="30"/>
        <v>#VALUE!</v>
      </c>
      <c r="BC18" s="115" t="e">
        <f t="shared" si="30"/>
        <v>#VALUE!</v>
      </c>
      <c r="BD18" s="115" t="e">
        <f t="shared" si="31"/>
        <v>#VALUE!</v>
      </c>
      <c r="BE18" s="115" t="e">
        <f t="shared" si="31"/>
        <v>#VALUE!</v>
      </c>
      <c r="BF18" s="115" t="e">
        <f t="shared" si="31"/>
        <v>#VALUE!</v>
      </c>
      <c r="BG18" s="115" t="e">
        <f t="shared" si="31"/>
        <v>#VALUE!</v>
      </c>
      <c r="BH18" s="115" t="e">
        <f t="shared" si="31"/>
        <v>#VALUE!</v>
      </c>
      <c r="BI18" s="115" t="e">
        <f t="shared" si="31"/>
        <v>#VALUE!</v>
      </c>
      <c r="BJ18" s="115" t="e">
        <f t="shared" si="31"/>
        <v>#VALUE!</v>
      </c>
      <c r="BK18" s="115" t="e">
        <f t="shared" si="31"/>
        <v>#VALUE!</v>
      </c>
      <c r="BL18" s="115" t="e">
        <f t="shared" si="31"/>
        <v>#VALUE!</v>
      </c>
      <c r="BM18" s="115" t="e">
        <f t="shared" si="31"/>
        <v>#VALUE!</v>
      </c>
      <c r="BN18" s="115" t="e">
        <f t="shared" si="32"/>
        <v>#VALUE!</v>
      </c>
      <c r="BO18" s="115" t="e">
        <f t="shared" si="32"/>
        <v>#VALUE!</v>
      </c>
      <c r="BP18" s="115" t="e">
        <f t="shared" si="32"/>
        <v>#VALUE!</v>
      </c>
      <c r="BQ18" s="115" t="e">
        <f t="shared" si="32"/>
        <v>#VALUE!</v>
      </c>
      <c r="BR18" s="115" t="e">
        <f t="shared" si="32"/>
        <v>#VALUE!</v>
      </c>
      <c r="BS18" s="115" t="e">
        <f t="shared" si="32"/>
        <v>#VALUE!</v>
      </c>
      <c r="BT18" s="115" t="e">
        <f t="shared" si="32"/>
        <v>#VALUE!</v>
      </c>
      <c r="BU18" s="115" t="e">
        <f t="shared" si="32"/>
        <v>#VALUE!</v>
      </c>
      <c r="BV18" s="115" t="e">
        <f t="shared" si="32"/>
        <v>#VALUE!</v>
      </c>
      <c r="BW18" s="115" t="e">
        <f t="shared" si="32"/>
        <v>#VALUE!</v>
      </c>
      <c r="BX18" s="115" t="e">
        <f t="shared" si="33"/>
        <v>#VALUE!</v>
      </c>
      <c r="BY18" s="115" t="e">
        <f t="shared" si="33"/>
        <v>#VALUE!</v>
      </c>
      <c r="BZ18" s="115" t="e">
        <f t="shared" si="33"/>
        <v>#VALUE!</v>
      </c>
      <c r="CA18" s="115" t="e">
        <f t="shared" si="33"/>
        <v>#VALUE!</v>
      </c>
      <c r="CB18" s="115" t="e">
        <f t="shared" si="33"/>
        <v>#VALUE!</v>
      </c>
      <c r="CC18" s="115" t="e">
        <f t="shared" si="33"/>
        <v>#VALUE!</v>
      </c>
      <c r="CD18" s="115" t="e">
        <f t="shared" si="33"/>
        <v>#VALUE!</v>
      </c>
      <c r="CE18" s="115" t="e">
        <f t="shared" si="33"/>
        <v>#VALUE!</v>
      </c>
      <c r="CF18" s="115" t="e">
        <f t="shared" si="33"/>
        <v>#VALUE!</v>
      </c>
      <c r="CG18" s="115" t="e">
        <f t="shared" si="33"/>
        <v>#VALUE!</v>
      </c>
      <c r="CH18" s="115" t="e">
        <f t="shared" si="34"/>
        <v>#VALUE!</v>
      </c>
      <c r="CI18" s="115" t="e">
        <f t="shared" si="34"/>
        <v>#VALUE!</v>
      </c>
      <c r="CJ18" s="115" t="e">
        <f t="shared" si="34"/>
        <v>#VALUE!</v>
      </c>
      <c r="CK18" s="115" t="e">
        <f t="shared" si="34"/>
        <v>#VALUE!</v>
      </c>
      <c r="CL18" s="115" t="e">
        <f t="shared" si="34"/>
        <v>#VALUE!</v>
      </c>
      <c r="CM18" s="115" t="e">
        <f t="shared" si="34"/>
        <v>#VALUE!</v>
      </c>
      <c r="CN18" s="115" t="e">
        <f t="shared" si="34"/>
        <v>#VALUE!</v>
      </c>
      <c r="CO18" s="115" t="e">
        <f t="shared" si="34"/>
        <v>#VALUE!</v>
      </c>
      <c r="CP18" s="115" t="e">
        <f t="shared" si="34"/>
        <v>#VALUE!</v>
      </c>
      <c r="CQ18" s="115" t="e">
        <f t="shared" si="34"/>
        <v>#VALUE!</v>
      </c>
      <c r="CR18" s="115" t="e">
        <f t="shared" si="35"/>
        <v>#VALUE!</v>
      </c>
      <c r="CS18" s="115" t="e">
        <f t="shared" si="35"/>
        <v>#VALUE!</v>
      </c>
      <c r="CT18" s="115" t="e">
        <f t="shared" si="35"/>
        <v>#VALUE!</v>
      </c>
      <c r="CU18" s="115" t="e">
        <f t="shared" si="35"/>
        <v>#VALUE!</v>
      </c>
      <c r="CV18" s="115" t="e">
        <f t="shared" si="35"/>
        <v>#VALUE!</v>
      </c>
      <c r="CW18" s="115" t="e">
        <f t="shared" si="35"/>
        <v>#VALUE!</v>
      </c>
      <c r="CX18" s="115" t="e">
        <f t="shared" si="35"/>
        <v>#VALUE!</v>
      </c>
      <c r="CY18" s="115" t="e">
        <f t="shared" si="35"/>
        <v>#VALUE!</v>
      </c>
      <c r="CZ18" s="115" t="e">
        <f t="shared" si="35"/>
        <v>#VALUE!</v>
      </c>
      <c r="DA18" s="115" t="e">
        <f t="shared" si="35"/>
        <v>#VALUE!</v>
      </c>
      <c r="DB18" s="115" t="e">
        <f t="shared" si="36"/>
        <v>#VALUE!</v>
      </c>
      <c r="DC18" s="115" t="e">
        <f t="shared" si="36"/>
        <v>#VALUE!</v>
      </c>
      <c r="DD18" s="115" t="e">
        <f t="shared" si="36"/>
        <v>#VALUE!</v>
      </c>
      <c r="DE18" s="115" t="e">
        <f t="shared" si="36"/>
        <v>#VALUE!</v>
      </c>
      <c r="DF18" s="115" t="e">
        <f t="shared" si="36"/>
        <v>#VALUE!</v>
      </c>
      <c r="DG18" s="115" t="e">
        <f t="shared" si="36"/>
        <v>#VALUE!</v>
      </c>
      <c r="DH18" s="115" t="e">
        <f t="shared" si="36"/>
        <v>#VALUE!</v>
      </c>
      <c r="DI18" s="115" t="e">
        <f t="shared" si="36"/>
        <v>#VALUE!</v>
      </c>
      <c r="DJ18" s="115" t="e">
        <f t="shared" si="36"/>
        <v>#VALUE!</v>
      </c>
      <c r="DK18" s="115" t="e">
        <f t="shared" si="36"/>
        <v>#VALUE!</v>
      </c>
      <c r="DL18" s="115" t="e">
        <f t="shared" si="36"/>
        <v>#VALUE!</v>
      </c>
      <c r="DM18" s="115" t="e">
        <f t="shared" si="36"/>
        <v>#VALUE!</v>
      </c>
    </row>
    <row r="19" spans="1:117" ht="15" customHeight="1" thickBot="1">
      <c r="A19" s="55">
        <v>1900</v>
      </c>
      <c r="B19" s="194" t="s">
        <v>728</v>
      </c>
      <c r="C19" s="194" t="s">
        <v>752</v>
      </c>
      <c r="D19" s="194" t="s">
        <v>210</v>
      </c>
      <c r="E19" s="194"/>
      <c r="F19" s="194" t="s">
        <v>1053</v>
      </c>
      <c r="G19" s="291">
        <f t="shared" si="4"/>
        <v>0</v>
      </c>
      <c r="H19" s="292">
        <f>VLOOKUP("E3.H",Errichtungskosten,12,0)*VLOOKUP("E3Hw",Verwaltung_Technik,5,0)/100</f>
        <v>0</v>
      </c>
      <c r="I19" s="168"/>
      <c r="J19" s="194" t="s">
        <v>727</v>
      </c>
      <c r="K19" s="378" t="s">
        <v>732</v>
      </c>
      <c r="L19" s="379" t="s">
        <v>358</v>
      </c>
      <c r="M19" s="325">
        <f t="shared" si="25"/>
        <v>1.35</v>
      </c>
      <c r="N19" s="380">
        <f t="shared" si="26"/>
        <v>0.99655850540806312</v>
      </c>
      <c r="O19" s="381">
        <f t="shared" si="27"/>
        <v>0</v>
      </c>
      <c r="P19" s="169" t="s">
        <v>103</v>
      </c>
      <c r="Q19" s="114">
        <f t="shared" si="27"/>
        <v>0</v>
      </c>
      <c r="R19" s="115">
        <f t="shared" si="27"/>
        <v>0</v>
      </c>
      <c r="S19" s="115">
        <f t="shared" si="27"/>
        <v>0</v>
      </c>
      <c r="T19" s="115">
        <f t="shared" si="27"/>
        <v>0</v>
      </c>
      <c r="U19" s="115">
        <f t="shared" si="27"/>
        <v>0</v>
      </c>
      <c r="V19" s="115">
        <f t="shared" si="27"/>
        <v>0</v>
      </c>
      <c r="W19" s="115">
        <f t="shared" si="27"/>
        <v>0</v>
      </c>
      <c r="X19" s="115">
        <f t="shared" si="27"/>
        <v>0</v>
      </c>
      <c r="Y19" s="115">
        <f t="shared" si="27"/>
        <v>0</v>
      </c>
      <c r="Z19" s="115">
        <f t="shared" si="28"/>
        <v>0</v>
      </c>
      <c r="AA19" s="115">
        <f t="shared" si="28"/>
        <v>0</v>
      </c>
      <c r="AB19" s="115">
        <f t="shared" si="28"/>
        <v>0</v>
      </c>
      <c r="AC19" s="115">
        <f t="shared" si="28"/>
        <v>0</v>
      </c>
      <c r="AD19" s="115">
        <f t="shared" si="28"/>
        <v>0</v>
      </c>
      <c r="AE19" s="115">
        <f t="shared" si="28"/>
        <v>0</v>
      </c>
      <c r="AF19" s="115">
        <f t="shared" si="28"/>
        <v>0</v>
      </c>
      <c r="AG19" s="115">
        <f t="shared" si="28"/>
        <v>0</v>
      </c>
      <c r="AH19" s="115">
        <f t="shared" si="28"/>
        <v>0</v>
      </c>
      <c r="AI19" s="115">
        <f t="shared" si="28"/>
        <v>0</v>
      </c>
      <c r="AJ19" s="115">
        <f t="shared" si="29"/>
        <v>0</v>
      </c>
      <c r="AK19" s="115">
        <f t="shared" si="29"/>
        <v>0</v>
      </c>
      <c r="AL19" s="115">
        <f t="shared" si="29"/>
        <v>0</v>
      </c>
      <c r="AM19" s="115">
        <f t="shared" si="29"/>
        <v>0</v>
      </c>
      <c r="AN19" s="115">
        <f t="shared" si="29"/>
        <v>0</v>
      </c>
      <c r="AO19" s="115">
        <f t="shared" si="29"/>
        <v>0</v>
      </c>
      <c r="AP19" s="115">
        <f t="shared" si="29"/>
        <v>0</v>
      </c>
      <c r="AQ19" s="115">
        <f t="shared" si="29"/>
        <v>0</v>
      </c>
      <c r="AR19" s="115">
        <f t="shared" si="29"/>
        <v>0</v>
      </c>
      <c r="AS19" s="115">
        <f t="shared" si="29"/>
        <v>0</v>
      </c>
      <c r="AT19" s="115">
        <f t="shared" si="30"/>
        <v>0</v>
      </c>
      <c r="AU19" s="115">
        <f t="shared" si="30"/>
        <v>0</v>
      </c>
      <c r="AV19" s="115" t="e">
        <f t="shared" si="30"/>
        <v>#VALUE!</v>
      </c>
      <c r="AW19" s="115" t="e">
        <f t="shared" si="30"/>
        <v>#VALUE!</v>
      </c>
      <c r="AX19" s="115" t="e">
        <f t="shared" si="30"/>
        <v>#VALUE!</v>
      </c>
      <c r="AY19" s="115" t="e">
        <f t="shared" si="30"/>
        <v>#VALUE!</v>
      </c>
      <c r="AZ19" s="115" t="e">
        <f t="shared" si="30"/>
        <v>#VALUE!</v>
      </c>
      <c r="BA19" s="115" t="e">
        <f t="shared" si="30"/>
        <v>#VALUE!</v>
      </c>
      <c r="BB19" s="115" t="e">
        <f t="shared" si="30"/>
        <v>#VALUE!</v>
      </c>
      <c r="BC19" s="115" t="e">
        <f t="shared" si="30"/>
        <v>#VALUE!</v>
      </c>
      <c r="BD19" s="115" t="e">
        <f t="shared" si="31"/>
        <v>#VALUE!</v>
      </c>
      <c r="BE19" s="115" t="e">
        <f t="shared" si="31"/>
        <v>#VALUE!</v>
      </c>
      <c r="BF19" s="115" t="e">
        <f t="shared" si="31"/>
        <v>#VALUE!</v>
      </c>
      <c r="BG19" s="115" t="e">
        <f t="shared" si="31"/>
        <v>#VALUE!</v>
      </c>
      <c r="BH19" s="115" t="e">
        <f t="shared" si="31"/>
        <v>#VALUE!</v>
      </c>
      <c r="BI19" s="115" t="e">
        <f t="shared" si="31"/>
        <v>#VALUE!</v>
      </c>
      <c r="BJ19" s="115" t="e">
        <f t="shared" si="31"/>
        <v>#VALUE!</v>
      </c>
      <c r="BK19" s="115" t="e">
        <f t="shared" si="31"/>
        <v>#VALUE!</v>
      </c>
      <c r="BL19" s="115" t="e">
        <f t="shared" si="31"/>
        <v>#VALUE!</v>
      </c>
      <c r="BM19" s="115" t="e">
        <f t="shared" si="31"/>
        <v>#VALUE!</v>
      </c>
      <c r="BN19" s="115" t="e">
        <f t="shared" si="32"/>
        <v>#VALUE!</v>
      </c>
      <c r="BO19" s="115" t="e">
        <f t="shared" si="32"/>
        <v>#VALUE!</v>
      </c>
      <c r="BP19" s="115" t="e">
        <f t="shared" si="32"/>
        <v>#VALUE!</v>
      </c>
      <c r="BQ19" s="115" t="e">
        <f t="shared" si="32"/>
        <v>#VALUE!</v>
      </c>
      <c r="BR19" s="115" t="e">
        <f t="shared" si="32"/>
        <v>#VALUE!</v>
      </c>
      <c r="BS19" s="115" t="e">
        <f t="shared" si="32"/>
        <v>#VALUE!</v>
      </c>
      <c r="BT19" s="115" t="e">
        <f t="shared" si="32"/>
        <v>#VALUE!</v>
      </c>
      <c r="BU19" s="115" t="e">
        <f t="shared" si="32"/>
        <v>#VALUE!</v>
      </c>
      <c r="BV19" s="115" t="e">
        <f t="shared" si="32"/>
        <v>#VALUE!</v>
      </c>
      <c r="BW19" s="115" t="e">
        <f t="shared" si="32"/>
        <v>#VALUE!</v>
      </c>
      <c r="BX19" s="115" t="e">
        <f t="shared" si="33"/>
        <v>#VALUE!</v>
      </c>
      <c r="BY19" s="115" t="e">
        <f t="shared" si="33"/>
        <v>#VALUE!</v>
      </c>
      <c r="BZ19" s="115" t="e">
        <f t="shared" si="33"/>
        <v>#VALUE!</v>
      </c>
      <c r="CA19" s="115" t="e">
        <f t="shared" si="33"/>
        <v>#VALUE!</v>
      </c>
      <c r="CB19" s="115" t="e">
        <f t="shared" si="33"/>
        <v>#VALUE!</v>
      </c>
      <c r="CC19" s="115" t="e">
        <f t="shared" si="33"/>
        <v>#VALUE!</v>
      </c>
      <c r="CD19" s="115" t="e">
        <f t="shared" si="33"/>
        <v>#VALUE!</v>
      </c>
      <c r="CE19" s="115" t="e">
        <f t="shared" si="33"/>
        <v>#VALUE!</v>
      </c>
      <c r="CF19" s="115" t="e">
        <f t="shared" si="33"/>
        <v>#VALUE!</v>
      </c>
      <c r="CG19" s="115" t="e">
        <f t="shared" si="33"/>
        <v>#VALUE!</v>
      </c>
      <c r="CH19" s="115" t="e">
        <f t="shared" si="34"/>
        <v>#VALUE!</v>
      </c>
      <c r="CI19" s="115" t="e">
        <f t="shared" si="34"/>
        <v>#VALUE!</v>
      </c>
      <c r="CJ19" s="115" t="e">
        <f t="shared" si="34"/>
        <v>#VALUE!</v>
      </c>
      <c r="CK19" s="115" t="e">
        <f t="shared" si="34"/>
        <v>#VALUE!</v>
      </c>
      <c r="CL19" s="115" t="e">
        <f t="shared" si="34"/>
        <v>#VALUE!</v>
      </c>
      <c r="CM19" s="115" t="e">
        <f t="shared" si="34"/>
        <v>#VALUE!</v>
      </c>
      <c r="CN19" s="115" t="e">
        <f t="shared" si="34"/>
        <v>#VALUE!</v>
      </c>
      <c r="CO19" s="115" t="e">
        <f t="shared" si="34"/>
        <v>#VALUE!</v>
      </c>
      <c r="CP19" s="115" t="e">
        <f t="shared" si="34"/>
        <v>#VALUE!</v>
      </c>
      <c r="CQ19" s="115" t="e">
        <f t="shared" si="34"/>
        <v>#VALUE!</v>
      </c>
      <c r="CR19" s="115" t="e">
        <f t="shared" si="35"/>
        <v>#VALUE!</v>
      </c>
      <c r="CS19" s="115" t="e">
        <f t="shared" si="35"/>
        <v>#VALUE!</v>
      </c>
      <c r="CT19" s="115" t="e">
        <f t="shared" si="35"/>
        <v>#VALUE!</v>
      </c>
      <c r="CU19" s="115" t="e">
        <f t="shared" si="35"/>
        <v>#VALUE!</v>
      </c>
      <c r="CV19" s="115" t="e">
        <f t="shared" si="35"/>
        <v>#VALUE!</v>
      </c>
      <c r="CW19" s="115" t="e">
        <f t="shared" si="35"/>
        <v>#VALUE!</v>
      </c>
      <c r="CX19" s="115" t="e">
        <f t="shared" si="35"/>
        <v>#VALUE!</v>
      </c>
      <c r="CY19" s="115" t="e">
        <f t="shared" si="35"/>
        <v>#VALUE!</v>
      </c>
      <c r="CZ19" s="115" t="e">
        <f t="shared" si="35"/>
        <v>#VALUE!</v>
      </c>
      <c r="DA19" s="115" t="e">
        <f t="shared" si="35"/>
        <v>#VALUE!</v>
      </c>
      <c r="DB19" s="115" t="e">
        <f t="shared" si="36"/>
        <v>#VALUE!</v>
      </c>
      <c r="DC19" s="115" t="e">
        <f t="shared" si="36"/>
        <v>#VALUE!</v>
      </c>
      <c r="DD19" s="115" t="e">
        <f t="shared" si="36"/>
        <v>#VALUE!</v>
      </c>
      <c r="DE19" s="115" t="e">
        <f t="shared" si="36"/>
        <v>#VALUE!</v>
      </c>
      <c r="DF19" s="115" t="e">
        <f t="shared" si="36"/>
        <v>#VALUE!</v>
      </c>
      <c r="DG19" s="115" t="e">
        <f t="shared" si="36"/>
        <v>#VALUE!</v>
      </c>
      <c r="DH19" s="115" t="e">
        <f t="shared" si="36"/>
        <v>#VALUE!</v>
      </c>
      <c r="DI19" s="115" t="e">
        <f t="shared" si="36"/>
        <v>#VALUE!</v>
      </c>
      <c r="DJ19" s="115" t="e">
        <f t="shared" si="36"/>
        <v>#VALUE!</v>
      </c>
      <c r="DK19" s="115" t="e">
        <f t="shared" si="36"/>
        <v>#VALUE!</v>
      </c>
      <c r="DL19" s="115" t="e">
        <f t="shared" si="36"/>
        <v>#VALUE!</v>
      </c>
      <c r="DM19" s="115" t="e">
        <f t="shared" si="36"/>
        <v>#VALUE!</v>
      </c>
    </row>
    <row r="20" spans="1:117" ht="15" customHeight="1" thickBot="1">
      <c r="A20" s="55">
        <v>2000</v>
      </c>
      <c r="B20" s="194" t="s">
        <v>728</v>
      </c>
      <c r="C20" s="194" t="s">
        <v>753</v>
      </c>
      <c r="D20" s="194" t="s">
        <v>204</v>
      </c>
      <c r="E20" s="194"/>
      <c r="F20" s="194" t="s">
        <v>1054</v>
      </c>
      <c r="G20" s="291">
        <f t="shared" si="4"/>
        <v>0</v>
      </c>
      <c r="H20" s="292">
        <f>VLOOKUP("E3.I",Errichtungskosten,12,0)*VLOOKUP("E3Iw",Verwaltung_Technik,5,0)/100</f>
        <v>0</v>
      </c>
      <c r="I20" s="168"/>
      <c r="J20" s="194" t="s">
        <v>727</v>
      </c>
      <c r="K20" s="378" t="s">
        <v>732</v>
      </c>
      <c r="L20" s="379" t="s">
        <v>356</v>
      </c>
      <c r="M20" s="325">
        <f t="shared" si="25"/>
        <v>2.77</v>
      </c>
      <c r="N20" s="380">
        <f t="shared" si="26"/>
        <v>1.0105211406096364</v>
      </c>
      <c r="O20" s="381">
        <f t="shared" si="27"/>
        <v>0</v>
      </c>
      <c r="P20" s="169" t="s">
        <v>103</v>
      </c>
      <c r="Q20" s="114">
        <f t="shared" si="27"/>
        <v>0</v>
      </c>
      <c r="R20" s="115">
        <f t="shared" si="27"/>
        <v>0</v>
      </c>
      <c r="S20" s="115">
        <f t="shared" si="27"/>
        <v>0</v>
      </c>
      <c r="T20" s="115">
        <f t="shared" si="27"/>
        <v>0</v>
      </c>
      <c r="U20" s="115">
        <f t="shared" si="27"/>
        <v>0</v>
      </c>
      <c r="V20" s="115">
        <f t="shared" si="27"/>
        <v>0</v>
      </c>
      <c r="W20" s="115">
        <f t="shared" si="27"/>
        <v>0</v>
      </c>
      <c r="X20" s="115">
        <f t="shared" si="27"/>
        <v>0</v>
      </c>
      <c r="Y20" s="115">
        <f t="shared" si="27"/>
        <v>0</v>
      </c>
      <c r="Z20" s="115">
        <f t="shared" si="28"/>
        <v>0</v>
      </c>
      <c r="AA20" s="115">
        <f t="shared" si="28"/>
        <v>0</v>
      </c>
      <c r="AB20" s="115">
        <f t="shared" si="28"/>
        <v>0</v>
      </c>
      <c r="AC20" s="115">
        <f t="shared" si="28"/>
        <v>0</v>
      </c>
      <c r="AD20" s="115">
        <f t="shared" si="28"/>
        <v>0</v>
      </c>
      <c r="AE20" s="115">
        <f t="shared" si="28"/>
        <v>0</v>
      </c>
      <c r="AF20" s="115">
        <f t="shared" si="28"/>
        <v>0</v>
      </c>
      <c r="AG20" s="115">
        <f t="shared" si="28"/>
        <v>0</v>
      </c>
      <c r="AH20" s="115">
        <f t="shared" si="28"/>
        <v>0</v>
      </c>
      <c r="AI20" s="115">
        <f t="shared" si="28"/>
        <v>0</v>
      </c>
      <c r="AJ20" s="115">
        <f t="shared" si="29"/>
        <v>0</v>
      </c>
      <c r="AK20" s="115">
        <f t="shared" si="29"/>
        <v>0</v>
      </c>
      <c r="AL20" s="115">
        <f t="shared" si="29"/>
        <v>0</v>
      </c>
      <c r="AM20" s="115">
        <f t="shared" si="29"/>
        <v>0</v>
      </c>
      <c r="AN20" s="115">
        <f t="shared" si="29"/>
        <v>0</v>
      </c>
      <c r="AO20" s="115">
        <f t="shared" si="29"/>
        <v>0</v>
      </c>
      <c r="AP20" s="115">
        <f t="shared" si="29"/>
        <v>0</v>
      </c>
      <c r="AQ20" s="115">
        <f t="shared" si="29"/>
        <v>0</v>
      </c>
      <c r="AR20" s="115">
        <f t="shared" si="29"/>
        <v>0</v>
      </c>
      <c r="AS20" s="115">
        <f t="shared" si="29"/>
        <v>0</v>
      </c>
      <c r="AT20" s="115">
        <f t="shared" si="30"/>
        <v>0</v>
      </c>
      <c r="AU20" s="115">
        <f t="shared" si="30"/>
        <v>0</v>
      </c>
      <c r="AV20" s="115" t="e">
        <f t="shared" si="30"/>
        <v>#VALUE!</v>
      </c>
      <c r="AW20" s="115" t="e">
        <f t="shared" si="30"/>
        <v>#VALUE!</v>
      </c>
      <c r="AX20" s="115" t="e">
        <f t="shared" si="30"/>
        <v>#VALUE!</v>
      </c>
      <c r="AY20" s="115" t="e">
        <f t="shared" si="30"/>
        <v>#VALUE!</v>
      </c>
      <c r="AZ20" s="115" t="e">
        <f t="shared" si="30"/>
        <v>#VALUE!</v>
      </c>
      <c r="BA20" s="115" t="e">
        <f t="shared" si="30"/>
        <v>#VALUE!</v>
      </c>
      <c r="BB20" s="115" t="e">
        <f t="shared" si="30"/>
        <v>#VALUE!</v>
      </c>
      <c r="BC20" s="115" t="e">
        <f t="shared" si="30"/>
        <v>#VALUE!</v>
      </c>
      <c r="BD20" s="115" t="e">
        <f t="shared" si="31"/>
        <v>#VALUE!</v>
      </c>
      <c r="BE20" s="115" t="e">
        <f t="shared" si="31"/>
        <v>#VALUE!</v>
      </c>
      <c r="BF20" s="115" t="e">
        <f t="shared" si="31"/>
        <v>#VALUE!</v>
      </c>
      <c r="BG20" s="115" t="e">
        <f t="shared" si="31"/>
        <v>#VALUE!</v>
      </c>
      <c r="BH20" s="115" t="e">
        <f t="shared" si="31"/>
        <v>#VALUE!</v>
      </c>
      <c r="BI20" s="115" t="e">
        <f t="shared" si="31"/>
        <v>#VALUE!</v>
      </c>
      <c r="BJ20" s="115" t="e">
        <f t="shared" si="31"/>
        <v>#VALUE!</v>
      </c>
      <c r="BK20" s="115" t="e">
        <f t="shared" si="31"/>
        <v>#VALUE!</v>
      </c>
      <c r="BL20" s="115" t="e">
        <f t="shared" si="31"/>
        <v>#VALUE!</v>
      </c>
      <c r="BM20" s="115" t="e">
        <f t="shared" si="31"/>
        <v>#VALUE!</v>
      </c>
      <c r="BN20" s="115" t="e">
        <f t="shared" si="32"/>
        <v>#VALUE!</v>
      </c>
      <c r="BO20" s="115" t="e">
        <f t="shared" si="32"/>
        <v>#VALUE!</v>
      </c>
      <c r="BP20" s="115" t="e">
        <f t="shared" si="32"/>
        <v>#VALUE!</v>
      </c>
      <c r="BQ20" s="115" t="e">
        <f t="shared" si="32"/>
        <v>#VALUE!</v>
      </c>
      <c r="BR20" s="115" t="e">
        <f t="shared" si="32"/>
        <v>#VALUE!</v>
      </c>
      <c r="BS20" s="115" t="e">
        <f t="shared" si="32"/>
        <v>#VALUE!</v>
      </c>
      <c r="BT20" s="115" t="e">
        <f t="shared" si="32"/>
        <v>#VALUE!</v>
      </c>
      <c r="BU20" s="115" t="e">
        <f t="shared" si="32"/>
        <v>#VALUE!</v>
      </c>
      <c r="BV20" s="115" t="e">
        <f t="shared" si="32"/>
        <v>#VALUE!</v>
      </c>
      <c r="BW20" s="115" t="e">
        <f t="shared" si="32"/>
        <v>#VALUE!</v>
      </c>
      <c r="BX20" s="115" t="e">
        <f t="shared" si="33"/>
        <v>#VALUE!</v>
      </c>
      <c r="BY20" s="115" t="e">
        <f t="shared" si="33"/>
        <v>#VALUE!</v>
      </c>
      <c r="BZ20" s="115" t="e">
        <f t="shared" si="33"/>
        <v>#VALUE!</v>
      </c>
      <c r="CA20" s="115" t="e">
        <f t="shared" si="33"/>
        <v>#VALUE!</v>
      </c>
      <c r="CB20" s="115" t="e">
        <f t="shared" si="33"/>
        <v>#VALUE!</v>
      </c>
      <c r="CC20" s="115" t="e">
        <f t="shared" si="33"/>
        <v>#VALUE!</v>
      </c>
      <c r="CD20" s="115" t="e">
        <f t="shared" si="33"/>
        <v>#VALUE!</v>
      </c>
      <c r="CE20" s="115" t="e">
        <f t="shared" si="33"/>
        <v>#VALUE!</v>
      </c>
      <c r="CF20" s="115" t="e">
        <f t="shared" si="33"/>
        <v>#VALUE!</v>
      </c>
      <c r="CG20" s="115" t="e">
        <f t="shared" si="33"/>
        <v>#VALUE!</v>
      </c>
      <c r="CH20" s="115" t="e">
        <f t="shared" si="34"/>
        <v>#VALUE!</v>
      </c>
      <c r="CI20" s="115" t="e">
        <f t="shared" si="34"/>
        <v>#VALUE!</v>
      </c>
      <c r="CJ20" s="115" t="e">
        <f t="shared" si="34"/>
        <v>#VALUE!</v>
      </c>
      <c r="CK20" s="115" t="e">
        <f t="shared" si="34"/>
        <v>#VALUE!</v>
      </c>
      <c r="CL20" s="115" t="e">
        <f t="shared" si="34"/>
        <v>#VALUE!</v>
      </c>
      <c r="CM20" s="115" t="e">
        <f t="shared" si="34"/>
        <v>#VALUE!</v>
      </c>
      <c r="CN20" s="115" t="e">
        <f t="shared" si="34"/>
        <v>#VALUE!</v>
      </c>
      <c r="CO20" s="115" t="e">
        <f t="shared" si="34"/>
        <v>#VALUE!</v>
      </c>
      <c r="CP20" s="115" t="e">
        <f t="shared" si="34"/>
        <v>#VALUE!</v>
      </c>
      <c r="CQ20" s="115" t="e">
        <f t="shared" si="34"/>
        <v>#VALUE!</v>
      </c>
      <c r="CR20" s="115" t="e">
        <f t="shared" si="35"/>
        <v>#VALUE!</v>
      </c>
      <c r="CS20" s="115" t="e">
        <f t="shared" si="35"/>
        <v>#VALUE!</v>
      </c>
      <c r="CT20" s="115" t="e">
        <f t="shared" si="35"/>
        <v>#VALUE!</v>
      </c>
      <c r="CU20" s="115" t="e">
        <f t="shared" si="35"/>
        <v>#VALUE!</v>
      </c>
      <c r="CV20" s="115" t="e">
        <f t="shared" si="35"/>
        <v>#VALUE!</v>
      </c>
      <c r="CW20" s="115" t="e">
        <f t="shared" si="35"/>
        <v>#VALUE!</v>
      </c>
      <c r="CX20" s="115" t="e">
        <f t="shared" si="35"/>
        <v>#VALUE!</v>
      </c>
      <c r="CY20" s="115" t="e">
        <f t="shared" si="35"/>
        <v>#VALUE!</v>
      </c>
      <c r="CZ20" s="115" t="e">
        <f t="shared" si="35"/>
        <v>#VALUE!</v>
      </c>
      <c r="DA20" s="115" t="e">
        <f t="shared" si="35"/>
        <v>#VALUE!</v>
      </c>
      <c r="DB20" s="115" t="e">
        <f t="shared" si="36"/>
        <v>#VALUE!</v>
      </c>
      <c r="DC20" s="115" t="e">
        <f t="shared" si="36"/>
        <v>#VALUE!</v>
      </c>
      <c r="DD20" s="115" t="e">
        <f t="shared" si="36"/>
        <v>#VALUE!</v>
      </c>
      <c r="DE20" s="115" t="e">
        <f t="shared" si="36"/>
        <v>#VALUE!</v>
      </c>
      <c r="DF20" s="115" t="e">
        <f t="shared" si="36"/>
        <v>#VALUE!</v>
      </c>
      <c r="DG20" s="115" t="e">
        <f t="shared" si="36"/>
        <v>#VALUE!</v>
      </c>
      <c r="DH20" s="115" t="e">
        <f t="shared" si="36"/>
        <v>#VALUE!</v>
      </c>
      <c r="DI20" s="115" t="e">
        <f t="shared" si="36"/>
        <v>#VALUE!</v>
      </c>
      <c r="DJ20" s="115" t="e">
        <f t="shared" si="36"/>
        <v>#VALUE!</v>
      </c>
      <c r="DK20" s="115" t="e">
        <f t="shared" si="36"/>
        <v>#VALUE!</v>
      </c>
      <c r="DL20" s="115" t="e">
        <f t="shared" si="36"/>
        <v>#VALUE!</v>
      </c>
      <c r="DM20" s="115" t="e">
        <f t="shared" si="36"/>
        <v>#VALUE!</v>
      </c>
    </row>
    <row r="21" spans="1:117" ht="15" customHeight="1" thickBot="1">
      <c r="A21" s="55">
        <v>2100</v>
      </c>
      <c r="B21" s="194" t="s">
        <v>728</v>
      </c>
      <c r="C21" s="194" t="s">
        <v>754</v>
      </c>
      <c r="D21" s="194" t="s">
        <v>190</v>
      </c>
      <c r="E21" s="194"/>
      <c r="F21" s="194" t="s">
        <v>1055</v>
      </c>
      <c r="G21" s="291">
        <f t="shared" si="4"/>
        <v>0</v>
      </c>
      <c r="H21" s="292">
        <f>VLOOKUP("E4.B",Errichtungskosten,12,0)*VLOOKUP("E4Bw",Verwaltung_Technik,5,0)/100</f>
        <v>0</v>
      </c>
      <c r="I21" s="168"/>
      <c r="J21" s="194" t="s">
        <v>727</v>
      </c>
      <c r="K21" s="378" t="s">
        <v>732</v>
      </c>
      <c r="L21" s="379" t="s">
        <v>356</v>
      </c>
      <c r="M21" s="325">
        <f t="shared" si="25"/>
        <v>2.77</v>
      </c>
      <c r="N21" s="380">
        <f t="shared" si="26"/>
        <v>1.0105211406096364</v>
      </c>
      <c r="O21" s="381">
        <f t="shared" si="27"/>
        <v>0</v>
      </c>
      <c r="P21" s="169" t="s">
        <v>103</v>
      </c>
      <c r="Q21" s="114">
        <f t="shared" si="27"/>
        <v>0</v>
      </c>
      <c r="R21" s="115">
        <f t="shared" si="27"/>
        <v>0</v>
      </c>
      <c r="S21" s="115">
        <f t="shared" si="27"/>
        <v>0</v>
      </c>
      <c r="T21" s="115">
        <f t="shared" si="27"/>
        <v>0</v>
      </c>
      <c r="U21" s="115">
        <f t="shared" si="27"/>
        <v>0</v>
      </c>
      <c r="V21" s="115">
        <f t="shared" si="27"/>
        <v>0</v>
      </c>
      <c r="W21" s="115">
        <f t="shared" si="27"/>
        <v>0</v>
      </c>
      <c r="X21" s="115">
        <f t="shared" si="27"/>
        <v>0</v>
      </c>
      <c r="Y21" s="115">
        <f t="shared" si="27"/>
        <v>0</v>
      </c>
      <c r="Z21" s="115">
        <f t="shared" si="28"/>
        <v>0</v>
      </c>
      <c r="AA21" s="115">
        <f t="shared" si="28"/>
        <v>0</v>
      </c>
      <c r="AB21" s="115">
        <f t="shared" si="28"/>
        <v>0</v>
      </c>
      <c r="AC21" s="115">
        <f t="shared" si="28"/>
        <v>0</v>
      </c>
      <c r="AD21" s="115">
        <f t="shared" si="28"/>
        <v>0</v>
      </c>
      <c r="AE21" s="115">
        <f t="shared" si="28"/>
        <v>0</v>
      </c>
      <c r="AF21" s="115">
        <f t="shared" si="28"/>
        <v>0</v>
      </c>
      <c r="AG21" s="115">
        <f t="shared" si="28"/>
        <v>0</v>
      </c>
      <c r="AH21" s="115">
        <f t="shared" si="28"/>
        <v>0</v>
      </c>
      <c r="AI21" s="115">
        <f t="shared" si="28"/>
        <v>0</v>
      </c>
      <c r="AJ21" s="115">
        <f t="shared" si="29"/>
        <v>0</v>
      </c>
      <c r="AK21" s="115">
        <f t="shared" si="29"/>
        <v>0</v>
      </c>
      <c r="AL21" s="115">
        <f t="shared" si="29"/>
        <v>0</v>
      </c>
      <c r="AM21" s="115">
        <f t="shared" si="29"/>
        <v>0</v>
      </c>
      <c r="AN21" s="115">
        <f t="shared" si="29"/>
        <v>0</v>
      </c>
      <c r="AO21" s="115">
        <f t="shared" si="29"/>
        <v>0</v>
      </c>
      <c r="AP21" s="115">
        <f t="shared" si="29"/>
        <v>0</v>
      </c>
      <c r="AQ21" s="115">
        <f t="shared" si="29"/>
        <v>0</v>
      </c>
      <c r="AR21" s="115">
        <f t="shared" si="29"/>
        <v>0</v>
      </c>
      <c r="AS21" s="115">
        <f t="shared" si="29"/>
        <v>0</v>
      </c>
      <c r="AT21" s="115">
        <f t="shared" si="30"/>
        <v>0</v>
      </c>
      <c r="AU21" s="115">
        <f t="shared" si="30"/>
        <v>0</v>
      </c>
      <c r="AV21" s="115" t="e">
        <f t="shared" si="30"/>
        <v>#VALUE!</v>
      </c>
      <c r="AW21" s="115" t="e">
        <f t="shared" si="30"/>
        <v>#VALUE!</v>
      </c>
      <c r="AX21" s="115" t="e">
        <f t="shared" si="30"/>
        <v>#VALUE!</v>
      </c>
      <c r="AY21" s="115" t="e">
        <f t="shared" si="30"/>
        <v>#VALUE!</v>
      </c>
      <c r="AZ21" s="115" t="e">
        <f t="shared" si="30"/>
        <v>#VALUE!</v>
      </c>
      <c r="BA21" s="115" t="e">
        <f t="shared" si="30"/>
        <v>#VALUE!</v>
      </c>
      <c r="BB21" s="115" t="e">
        <f t="shared" si="30"/>
        <v>#VALUE!</v>
      </c>
      <c r="BC21" s="115" t="e">
        <f t="shared" si="30"/>
        <v>#VALUE!</v>
      </c>
      <c r="BD21" s="115" t="e">
        <f t="shared" si="31"/>
        <v>#VALUE!</v>
      </c>
      <c r="BE21" s="115" t="e">
        <f t="shared" si="31"/>
        <v>#VALUE!</v>
      </c>
      <c r="BF21" s="115" t="e">
        <f t="shared" si="31"/>
        <v>#VALUE!</v>
      </c>
      <c r="BG21" s="115" t="e">
        <f t="shared" si="31"/>
        <v>#VALUE!</v>
      </c>
      <c r="BH21" s="115" t="e">
        <f t="shared" si="31"/>
        <v>#VALUE!</v>
      </c>
      <c r="BI21" s="115" t="e">
        <f t="shared" si="31"/>
        <v>#VALUE!</v>
      </c>
      <c r="BJ21" s="115" t="e">
        <f t="shared" si="31"/>
        <v>#VALUE!</v>
      </c>
      <c r="BK21" s="115" t="e">
        <f t="shared" si="31"/>
        <v>#VALUE!</v>
      </c>
      <c r="BL21" s="115" t="e">
        <f t="shared" si="31"/>
        <v>#VALUE!</v>
      </c>
      <c r="BM21" s="115" t="e">
        <f t="shared" si="31"/>
        <v>#VALUE!</v>
      </c>
      <c r="BN21" s="115" t="e">
        <f t="shared" si="32"/>
        <v>#VALUE!</v>
      </c>
      <c r="BO21" s="115" t="e">
        <f t="shared" si="32"/>
        <v>#VALUE!</v>
      </c>
      <c r="BP21" s="115" t="e">
        <f t="shared" si="32"/>
        <v>#VALUE!</v>
      </c>
      <c r="BQ21" s="115" t="e">
        <f t="shared" si="32"/>
        <v>#VALUE!</v>
      </c>
      <c r="BR21" s="115" t="e">
        <f t="shared" si="32"/>
        <v>#VALUE!</v>
      </c>
      <c r="BS21" s="115" t="e">
        <f t="shared" si="32"/>
        <v>#VALUE!</v>
      </c>
      <c r="BT21" s="115" t="e">
        <f t="shared" si="32"/>
        <v>#VALUE!</v>
      </c>
      <c r="BU21" s="115" t="e">
        <f t="shared" si="32"/>
        <v>#VALUE!</v>
      </c>
      <c r="BV21" s="115" t="e">
        <f t="shared" si="32"/>
        <v>#VALUE!</v>
      </c>
      <c r="BW21" s="115" t="e">
        <f t="shared" si="32"/>
        <v>#VALUE!</v>
      </c>
      <c r="BX21" s="115" t="e">
        <f t="shared" si="33"/>
        <v>#VALUE!</v>
      </c>
      <c r="BY21" s="115" t="e">
        <f t="shared" si="33"/>
        <v>#VALUE!</v>
      </c>
      <c r="BZ21" s="115" t="e">
        <f t="shared" si="33"/>
        <v>#VALUE!</v>
      </c>
      <c r="CA21" s="115" t="e">
        <f t="shared" si="33"/>
        <v>#VALUE!</v>
      </c>
      <c r="CB21" s="115" t="e">
        <f t="shared" si="33"/>
        <v>#VALUE!</v>
      </c>
      <c r="CC21" s="115" t="e">
        <f t="shared" si="33"/>
        <v>#VALUE!</v>
      </c>
      <c r="CD21" s="115" t="e">
        <f t="shared" si="33"/>
        <v>#VALUE!</v>
      </c>
      <c r="CE21" s="115" t="e">
        <f t="shared" si="33"/>
        <v>#VALUE!</v>
      </c>
      <c r="CF21" s="115" t="e">
        <f t="shared" si="33"/>
        <v>#VALUE!</v>
      </c>
      <c r="CG21" s="115" t="e">
        <f t="shared" si="33"/>
        <v>#VALUE!</v>
      </c>
      <c r="CH21" s="115" t="e">
        <f t="shared" si="34"/>
        <v>#VALUE!</v>
      </c>
      <c r="CI21" s="115" t="e">
        <f t="shared" si="34"/>
        <v>#VALUE!</v>
      </c>
      <c r="CJ21" s="115" t="e">
        <f t="shared" si="34"/>
        <v>#VALUE!</v>
      </c>
      <c r="CK21" s="115" t="e">
        <f t="shared" si="34"/>
        <v>#VALUE!</v>
      </c>
      <c r="CL21" s="115" t="e">
        <f t="shared" si="34"/>
        <v>#VALUE!</v>
      </c>
      <c r="CM21" s="115" t="e">
        <f t="shared" si="34"/>
        <v>#VALUE!</v>
      </c>
      <c r="CN21" s="115" t="e">
        <f t="shared" si="34"/>
        <v>#VALUE!</v>
      </c>
      <c r="CO21" s="115" t="e">
        <f t="shared" si="34"/>
        <v>#VALUE!</v>
      </c>
      <c r="CP21" s="115" t="e">
        <f t="shared" si="34"/>
        <v>#VALUE!</v>
      </c>
      <c r="CQ21" s="115" t="e">
        <f t="shared" si="34"/>
        <v>#VALUE!</v>
      </c>
      <c r="CR21" s="115" t="e">
        <f t="shared" si="35"/>
        <v>#VALUE!</v>
      </c>
      <c r="CS21" s="115" t="e">
        <f t="shared" si="35"/>
        <v>#VALUE!</v>
      </c>
      <c r="CT21" s="115" t="e">
        <f t="shared" si="35"/>
        <v>#VALUE!</v>
      </c>
      <c r="CU21" s="115" t="e">
        <f t="shared" si="35"/>
        <v>#VALUE!</v>
      </c>
      <c r="CV21" s="115" t="e">
        <f t="shared" si="35"/>
        <v>#VALUE!</v>
      </c>
      <c r="CW21" s="115" t="e">
        <f t="shared" si="35"/>
        <v>#VALUE!</v>
      </c>
      <c r="CX21" s="115" t="e">
        <f t="shared" si="35"/>
        <v>#VALUE!</v>
      </c>
      <c r="CY21" s="115" t="e">
        <f t="shared" si="35"/>
        <v>#VALUE!</v>
      </c>
      <c r="CZ21" s="115" t="e">
        <f t="shared" si="35"/>
        <v>#VALUE!</v>
      </c>
      <c r="DA21" s="115" t="e">
        <f t="shared" si="35"/>
        <v>#VALUE!</v>
      </c>
      <c r="DB21" s="115" t="e">
        <f t="shared" si="36"/>
        <v>#VALUE!</v>
      </c>
      <c r="DC21" s="115" t="e">
        <f t="shared" si="36"/>
        <v>#VALUE!</v>
      </c>
      <c r="DD21" s="115" t="e">
        <f t="shared" si="36"/>
        <v>#VALUE!</v>
      </c>
      <c r="DE21" s="115" t="e">
        <f t="shared" si="36"/>
        <v>#VALUE!</v>
      </c>
      <c r="DF21" s="115" t="e">
        <f t="shared" si="36"/>
        <v>#VALUE!</v>
      </c>
      <c r="DG21" s="115" t="e">
        <f t="shared" si="36"/>
        <v>#VALUE!</v>
      </c>
      <c r="DH21" s="115" t="e">
        <f t="shared" si="36"/>
        <v>#VALUE!</v>
      </c>
      <c r="DI21" s="115" t="e">
        <f t="shared" si="36"/>
        <v>#VALUE!</v>
      </c>
      <c r="DJ21" s="115" t="e">
        <f t="shared" si="36"/>
        <v>#VALUE!</v>
      </c>
      <c r="DK21" s="115" t="e">
        <f t="shared" si="36"/>
        <v>#VALUE!</v>
      </c>
      <c r="DL21" s="115" t="e">
        <f t="shared" si="36"/>
        <v>#VALUE!</v>
      </c>
      <c r="DM21" s="115" t="e">
        <f t="shared" si="36"/>
        <v>#VALUE!</v>
      </c>
    </row>
    <row r="22" spans="1:117" ht="15" customHeight="1" thickBot="1">
      <c r="A22" s="55">
        <v>2200</v>
      </c>
      <c r="B22" s="194" t="s">
        <v>728</v>
      </c>
      <c r="C22" s="194" t="s">
        <v>755</v>
      </c>
      <c r="D22" s="194" t="s">
        <v>177</v>
      </c>
      <c r="E22" s="194"/>
      <c r="F22" s="194" t="s">
        <v>1057</v>
      </c>
      <c r="G22" s="291">
        <f t="shared" si="4"/>
        <v>0</v>
      </c>
      <c r="H22" s="292">
        <f>VLOOKUP("E4.C",Errichtungskosten,12,0)*VLOOKUP("E4Cw",Verwaltung_Technik,5,0)/100</f>
        <v>0</v>
      </c>
      <c r="I22" s="168"/>
      <c r="J22" s="194" t="s">
        <v>727</v>
      </c>
      <c r="K22" s="378" t="s">
        <v>732</v>
      </c>
      <c r="L22" s="379" t="s">
        <v>356</v>
      </c>
      <c r="M22" s="325">
        <f t="shared" si="25"/>
        <v>2.77</v>
      </c>
      <c r="N22" s="380">
        <f t="shared" si="26"/>
        <v>1.0105211406096364</v>
      </c>
      <c r="O22" s="381">
        <f t="shared" si="27"/>
        <v>0</v>
      </c>
      <c r="P22" s="169" t="s">
        <v>103</v>
      </c>
      <c r="Q22" s="114">
        <f t="shared" si="27"/>
        <v>0</v>
      </c>
      <c r="R22" s="115">
        <f t="shared" si="27"/>
        <v>0</v>
      </c>
      <c r="S22" s="115">
        <f t="shared" si="27"/>
        <v>0</v>
      </c>
      <c r="T22" s="115">
        <f t="shared" si="27"/>
        <v>0</v>
      </c>
      <c r="U22" s="115">
        <f t="shared" si="27"/>
        <v>0</v>
      </c>
      <c r="V22" s="115">
        <f t="shared" si="27"/>
        <v>0</v>
      </c>
      <c r="W22" s="115">
        <f t="shared" si="27"/>
        <v>0</v>
      </c>
      <c r="X22" s="115">
        <f t="shared" si="27"/>
        <v>0</v>
      </c>
      <c r="Y22" s="115">
        <f t="shared" si="27"/>
        <v>0</v>
      </c>
      <c r="Z22" s="115">
        <f t="shared" si="28"/>
        <v>0</v>
      </c>
      <c r="AA22" s="115">
        <f t="shared" si="28"/>
        <v>0</v>
      </c>
      <c r="AB22" s="115">
        <f t="shared" si="28"/>
        <v>0</v>
      </c>
      <c r="AC22" s="115">
        <f t="shared" si="28"/>
        <v>0</v>
      </c>
      <c r="AD22" s="115">
        <f t="shared" si="28"/>
        <v>0</v>
      </c>
      <c r="AE22" s="115">
        <f t="shared" si="28"/>
        <v>0</v>
      </c>
      <c r="AF22" s="115">
        <f t="shared" si="28"/>
        <v>0</v>
      </c>
      <c r="AG22" s="115">
        <f t="shared" si="28"/>
        <v>0</v>
      </c>
      <c r="AH22" s="115">
        <f t="shared" si="28"/>
        <v>0</v>
      </c>
      <c r="AI22" s="115">
        <f t="shared" si="28"/>
        <v>0</v>
      </c>
      <c r="AJ22" s="115">
        <f t="shared" si="29"/>
        <v>0</v>
      </c>
      <c r="AK22" s="115">
        <f t="shared" si="29"/>
        <v>0</v>
      </c>
      <c r="AL22" s="115">
        <f t="shared" si="29"/>
        <v>0</v>
      </c>
      <c r="AM22" s="115">
        <f t="shared" si="29"/>
        <v>0</v>
      </c>
      <c r="AN22" s="115">
        <f t="shared" si="29"/>
        <v>0</v>
      </c>
      <c r="AO22" s="115">
        <f t="shared" si="29"/>
        <v>0</v>
      </c>
      <c r="AP22" s="115">
        <f t="shared" si="29"/>
        <v>0</v>
      </c>
      <c r="AQ22" s="115">
        <f t="shared" si="29"/>
        <v>0</v>
      </c>
      <c r="AR22" s="115">
        <f t="shared" si="29"/>
        <v>0</v>
      </c>
      <c r="AS22" s="115">
        <f t="shared" si="29"/>
        <v>0</v>
      </c>
      <c r="AT22" s="115">
        <f t="shared" si="30"/>
        <v>0</v>
      </c>
      <c r="AU22" s="115">
        <f t="shared" si="30"/>
        <v>0</v>
      </c>
      <c r="AV22" s="115" t="e">
        <f t="shared" si="30"/>
        <v>#VALUE!</v>
      </c>
      <c r="AW22" s="115" t="e">
        <f t="shared" si="30"/>
        <v>#VALUE!</v>
      </c>
      <c r="AX22" s="115" t="e">
        <f t="shared" si="30"/>
        <v>#VALUE!</v>
      </c>
      <c r="AY22" s="115" t="e">
        <f t="shared" si="30"/>
        <v>#VALUE!</v>
      </c>
      <c r="AZ22" s="115" t="e">
        <f t="shared" si="30"/>
        <v>#VALUE!</v>
      </c>
      <c r="BA22" s="115" t="e">
        <f t="shared" si="30"/>
        <v>#VALUE!</v>
      </c>
      <c r="BB22" s="115" t="e">
        <f t="shared" si="30"/>
        <v>#VALUE!</v>
      </c>
      <c r="BC22" s="115" t="e">
        <f t="shared" si="30"/>
        <v>#VALUE!</v>
      </c>
      <c r="BD22" s="115" t="e">
        <f t="shared" si="31"/>
        <v>#VALUE!</v>
      </c>
      <c r="BE22" s="115" t="e">
        <f t="shared" si="31"/>
        <v>#VALUE!</v>
      </c>
      <c r="BF22" s="115" t="e">
        <f t="shared" si="31"/>
        <v>#VALUE!</v>
      </c>
      <c r="BG22" s="115" t="e">
        <f t="shared" si="31"/>
        <v>#VALUE!</v>
      </c>
      <c r="BH22" s="115" t="e">
        <f t="shared" si="31"/>
        <v>#VALUE!</v>
      </c>
      <c r="BI22" s="115" t="e">
        <f t="shared" si="31"/>
        <v>#VALUE!</v>
      </c>
      <c r="BJ22" s="115" t="e">
        <f t="shared" si="31"/>
        <v>#VALUE!</v>
      </c>
      <c r="BK22" s="115" t="e">
        <f t="shared" si="31"/>
        <v>#VALUE!</v>
      </c>
      <c r="BL22" s="115" t="e">
        <f t="shared" si="31"/>
        <v>#VALUE!</v>
      </c>
      <c r="BM22" s="115" t="e">
        <f t="shared" si="31"/>
        <v>#VALUE!</v>
      </c>
      <c r="BN22" s="115" t="e">
        <f t="shared" si="32"/>
        <v>#VALUE!</v>
      </c>
      <c r="BO22" s="115" t="e">
        <f t="shared" si="32"/>
        <v>#VALUE!</v>
      </c>
      <c r="BP22" s="115" t="e">
        <f t="shared" si="32"/>
        <v>#VALUE!</v>
      </c>
      <c r="BQ22" s="115" t="e">
        <f t="shared" si="32"/>
        <v>#VALUE!</v>
      </c>
      <c r="BR22" s="115" t="e">
        <f t="shared" si="32"/>
        <v>#VALUE!</v>
      </c>
      <c r="BS22" s="115" t="e">
        <f t="shared" si="32"/>
        <v>#VALUE!</v>
      </c>
      <c r="BT22" s="115" t="e">
        <f t="shared" si="32"/>
        <v>#VALUE!</v>
      </c>
      <c r="BU22" s="115" t="e">
        <f t="shared" si="32"/>
        <v>#VALUE!</v>
      </c>
      <c r="BV22" s="115" t="e">
        <f t="shared" si="32"/>
        <v>#VALUE!</v>
      </c>
      <c r="BW22" s="115" t="e">
        <f t="shared" si="32"/>
        <v>#VALUE!</v>
      </c>
      <c r="BX22" s="115" t="e">
        <f t="shared" si="33"/>
        <v>#VALUE!</v>
      </c>
      <c r="BY22" s="115" t="e">
        <f t="shared" si="33"/>
        <v>#VALUE!</v>
      </c>
      <c r="BZ22" s="115" t="e">
        <f t="shared" si="33"/>
        <v>#VALUE!</v>
      </c>
      <c r="CA22" s="115" t="e">
        <f t="shared" si="33"/>
        <v>#VALUE!</v>
      </c>
      <c r="CB22" s="115" t="e">
        <f t="shared" si="33"/>
        <v>#VALUE!</v>
      </c>
      <c r="CC22" s="115" t="e">
        <f t="shared" si="33"/>
        <v>#VALUE!</v>
      </c>
      <c r="CD22" s="115" t="e">
        <f t="shared" si="33"/>
        <v>#VALUE!</v>
      </c>
      <c r="CE22" s="115" t="e">
        <f t="shared" si="33"/>
        <v>#VALUE!</v>
      </c>
      <c r="CF22" s="115" t="e">
        <f t="shared" si="33"/>
        <v>#VALUE!</v>
      </c>
      <c r="CG22" s="115" t="e">
        <f t="shared" si="33"/>
        <v>#VALUE!</v>
      </c>
      <c r="CH22" s="115" t="e">
        <f t="shared" si="34"/>
        <v>#VALUE!</v>
      </c>
      <c r="CI22" s="115" t="e">
        <f t="shared" si="34"/>
        <v>#VALUE!</v>
      </c>
      <c r="CJ22" s="115" t="e">
        <f t="shared" si="34"/>
        <v>#VALUE!</v>
      </c>
      <c r="CK22" s="115" t="e">
        <f t="shared" si="34"/>
        <v>#VALUE!</v>
      </c>
      <c r="CL22" s="115" t="e">
        <f t="shared" si="34"/>
        <v>#VALUE!</v>
      </c>
      <c r="CM22" s="115" t="e">
        <f t="shared" si="34"/>
        <v>#VALUE!</v>
      </c>
      <c r="CN22" s="115" t="e">
        <f t="shared" si="34"/>
        <v>#VALUE!</v>
      </c>
      <c r="CO22" s="115" t="e">
        <f t="shared" si="34"/>
        <v>#VALUE!</v>
      </c>
      <c r="CP22" s="115" t="e">
        <f t="shared" si="34"/>
        <v>#VALUE!</v>
      </c>
      <c r="CQ22" s="115" t="e">
        <f t="shared" si="34"/>
        <v>#VALUE!</v>
      </c>
      <c r="CR22" s="115" t="e">
        <f t="shared" si="35"/>
        <v>#VALUE!</v>
      </c>
      <c r="CS22" s="115" t="e">
        <f t="shared" si="35"/>
        <v>#VALUE!</v>
      </c>
      <c r="CT22" s="115" t="e">
        <f t="shared" si="35"/>
        <v>#VALUE!</v>
      </c>
      <c r="CU22" s="115" t="e">
        <f t="shared" si="35"/>
        <v>#VALUE!</v>
      </c>
      <c r="CV22" s="115" t="e">
        <f t="shared" si="35"/>
        <v>#VALUE!</v>
      </c>
      <c r="CW22" s="115" t="e">
        <f t="shared" si="35"/>
        <v>#VALUE!</v>
      </c>
      <c r="CX22" s="115" t="e">
        <f t="shared" si="35"/>
        <v>#VALUE!</v>
      </c>
      <c r="CY22" s="115" t="e">
        <f t="shared" si="35"/>
        <v>#VALUE!</v>
      </c>
      <c r="CZ22" s="115" t="e">
        <f t="shared" si="35"/>
        <v>#VALUE!</v>
      </c>
      <c r="DA22" s="115" t="e">
        <f t="shared" si="35"/>
        <v>#VALUE!</v>
      </c>
      <c r="DB22" s="115" t="e">
        <f t="shared" si="36"/>
        <v>#VALUE!</v>
      </c>
      <c r="DC22" s="115" t="e">
        <f t="shared" si="36"/>
        <v>#VALUE!</v>
      </c>
      <c r="DD22" s="115" t="e">
        <f t="shared" si="36"/>
        <v>#VALUE!</v>
      </c>
      <c r="DE22" s="115" t="e">
        <f t="shared" si="36"/>
        <v>#VALUE!</v>
      </c>
      <c r="DF22" s="115" t="e">
        <f t="shared" si="36"/>
        <v>#VALUE!</v>
      </c>
      <c r="DG22" s="115" t="e">
        <f t="shared" si="36"/>
        <v>#VALUE!</v>
      </c>
      <c r="DH22" s="115" t="e">
        <f t="shared" si="36"/>
        <v>#VALUE!</v>
      </c>
      <c r="DI22" s="115" t="e">
        <f t="shared" si="36"/>
        <v>#VALUE!</v>
      </c>
      <c r="DJ22" s="115" t="e">
        <f t="shared" si="36"/>
        <v>#VALUE!</v>
      </c>
      <c r="DK22" s="115" t="e">
        <f t="shared" si="36"/>
        <v>#VALUE!</v>
      </c>
      <c r="DL22" s="115" t="e">
        <f t="shared" si="36"/>
        <v>#VALUE!</v>
      </c>
      <c r="DM22" s="115" t="e">
        <f t="shared" si="36"/>
        <v>#VALUE!</v>
      </c>
    </row>
    <row r="23" spans="1:117" ht="15" customHeight="1" thickBot="1">
      <c r="A23" s="55">
        <v>2300</v>
      </c>
      <c r="B23" s="194" t="s">
        <v>728</v>
      </c>
      <c r="C23" s="194" t="s">
        <v>756</v>
      </c>
      <c r="D23" s="194" t="s">
        <v>166</v>
      </c>
      <c r="E23" s="194"/>
      <c r="F23" s="194" t="s">
        <v>1058</v>
      </c>
      <c r="G23" s="291">
        <f t="shared" si="4"/>
        <v>0</v>
      </c>
      <c r="H23" s="292">
        <f>VLOOKUP("E4.D",Errichtungskosten,12,0)*VLOOKUP("E4Dw",Verwaltung_Technik,5,0)/100</f>
        <v>0</v>
      </c>
      <c r="I23" s="168"/>
      <c r="J23" s="194" t="s">
        <v>727</v>
      </c>
      <c r="K23" s="378" t="s">
        <v>732</v>
      </c>
      <c r="L23" s="379" t="s">
        <v>356</v>
      </c>
      <c r="M23" s="325">
        <f t="shared" si="25"/>
        <v>2.77</v>
      </c>
      <c r="N23" s="380">
        <f t="shared" si="26"/>
        <v>1.0105211406096364</v>
      </c>
      <c r="O23" s="381">
        <f t="shared" si="27"/>
        <v>0</v>
      </c>
      <c r="P23" s="169" t="s">
        <v>103</v>
      </c>
      <c r="Q23" s="114">
        <f t="shared" si="27"/>
        <v>0</v>
      </c>
      <c r="R23" s="115">
        <f t="shared" si="27"/>
        <v>0</v>
      </c>
      <c r="S23" s="115">
        <f t="shared" si="27"/>
        <v>0</v>
      </c>
      <c r="T23" s="115">
        <f t="shared" si="27"/>
        <v>0</v>
      </c>
      <c r="U23" s="115">
        <f t="shared" si="27"/>
        <v>0</v>
      </c>
      <c r="V23" s="115">
        <f t="shared" si="27"/>
        <v>0</v>
      </c>
      <c r="W23" s="115">
        <f t="shared" si="27"/>
        <v>0</v>
      </c>
      <c r="X23" s="115">
        <f t="shared" si="27"/>
        <v>0</v>
      </c>
      <c r="Y23" s="115">
        <f t="shared" si="27"/>
        <v>0</v>
      </c>
      <c r="Z23" s="115">
        <f t="shared" si="28"/>
        <v>0</v>
      </c>
      <c r="AA23" s="115">
        <f t="shared" si="28"/>
        <v>0</v>
      </c>
      <c r="AB23" s="115">
        <f t="shared" si="28"/>
        <v>0</v>
      </c>
      <c r="AC23" s="115">
        <f t="shared" si="28"/>
        <v>0</v>
      </c>
      <c r="AD23" s="115">
        <f t="shared" si="28"/>
        <v>0</v>
      </c>
      <c r="AE23" s="115">
        <f t="shared" si="28"/>
        <v>0</v>
      </c>
      <c r="AF23" s="115">
        <f t="shared" si="28"/>
        <v>0</v>
      </c>
      <c r="AG23" s="115">
        <f t="shared" si="28"/>
        <v>0</v>
      </c>
      <c r="AH23" s="115">
        <f t="shared" si="28"/>
        <v>0</v>
      </c>
      <c r="AI23" s="115">
        <f t="shared" si="28"/>
        <v>0</v>
      </c>
      <c r="AJ23" s="115">
        <f t="shared" si="29"/>
        <v>0</v>
      </c>
      <c r="AK23" s="115">
        <f t="shared" si="29"/>
        <v>0</v>
      </c>
      <c r="AL23" s="115">
        <f t="shared" si="29"/>
        <v>0</v>
      </c>
      <c r="AM23" s="115">
        <f t="shared" si="29"/>
        <v>0</v>
      </c>
      <c r="AN23" s="115">
        <f t="shared" si="29"/>
        <v>0</v>
      </c>
      <c r="AO23" s="115">
        <f t="shared" si="29"/>
        <v>0</v>
      </c>
      <c r="AP23" s="115">
        <f t="shared" si="29"/>
        <v>0</v>
      </c>
      <c r="AQ23" s="115">
        <f t="shared" si="29"/>
        <v>0</v>
      </c>
      <c r="AR23" s="115">
        <f t="shared" si="29"/>
        <v>0</v>
      </c>
      <c r="AS23" s="115">
        <f t="shared" si="29"/>
        <v>0</v>
      </c>
      <c r="AT23" s="115">
        <f t="shared" si="30"/>
        <v>0</v>
      </c>
      <c r="AU23" s="115">
        <f t="shared" si="30"/>
        <v>0</v>
      </c>
      <c r="AV23" s="115" t="e">
        <f t="shared" si="30"/>
        <v>#VALUE!</v>
      </c>
      <c r="AW23" s="115" t="e">
        <f t="shared" si="30"/>
        <v>#VALUE!</v>
      </c>
      <c r="AX23" s="115" t="e">
        <f t="shared" si="30"/>
        <v>#VALUE!</v>
      </c>
      <c r="AY23" s="115" t="e">
        <f t="shared" si="30"/>
        <v>#VALUE!</v>
      </c>
      <c r="AZ23" s="115" t="e">
        <f t="shared" si="30"/>
        <v>#VALUE!</v>
      </c>
      <c r="BA23" s="115" t="e">
        <f t="shared" si="30"/>
        <v>#VALUE!</v>
      </c>
      <c r="BB23" s="115" t="e">
        <f t="shared" si="30"/>
        <v>#VALUE!</v>
      </c>
      <c r="BC23" s="115" t="e">
        <f t="shared" si="30"/>
        <v>#VALUE!</v>
      </c>
      <c r="BD23" s="115" t="e">
        <f t="shared" si="31"/>
        <v>#VALUE!</v>
      </c>
      <c r="BE23" s="115" t="e">
        <f t="shared" si="31"/>
        <v>#VALUE!</v>
      </c>
      <c r="BF23" s="115" t="e">
        <f t="shared" si="31"/>
        <v>#VALUE!</v>
      </c>
      <c r="BG23" s="115" t="e">
        <f t="shared" si="31"/>
        <v>#VALUE!</v>
      </c>
      <c r="BH23" s="115" t="e">
        <f t="shared" si="31"/>
        <v>#VALUE!</v>
      </c>
      <c r="BI23" s="115" t="e">
        <f t="shared" si="31"/>
        <v>#VALUE!</v>
      </c>
      <c r="BJ23" s="115" t="e">
        <f t="shared" si="31"/>
        <v>#VALUE!</v>
      </c>
      <c r="BK23" s="115" t="e">
        <f t="shared" si="31"/>
        <v>#VALUE!</v>
      </c>
      <c r="BL23" s="115" t="e">
        <f t="shared" si="31"/>
        <v>#VALUE!</v>
      </c>
      <c r="BM23" s="115" t="e">
        <f t="shared" si="31"/>
        <v>#VALUE!</v>
      </c>
      <c r="BN23" s="115" t="e">
        <f t="shared" si="32"/>
        <v>#VALUE!</v>
      </c>
      <c r="BO23" s="115" t="e">
        <f t="shared" si="32"/>
        <v>#VALUE!</v>
      </c>
      <c r="BP23" s="115" t="e">
        <f t="shared" si="32"/>
        <v>#VALUE!</v>
      </c>
      <c r="BQ23" s="115" t="e">
        <f t="shared" si="32"/>
        <v>#VALUE!</v>
      </c>
      <c r="BR23" s="115" t="e">
        <f t="shared" si="32"/>
        <v>#VALUE!</v>
      </c>
      <c r="BS23" s="115" t="e">
        <f t="shared" si="32"/>
        <v>#VALUE!</v>
      </c>
      <c r="BT23" s="115" t="e">
        <f t="shared" si="32"/>
        <v>#VALUE!</v>
      </c>
      <c r="BU23" s="115" t="e">
        <f t="shared" si="32"/>
        <v>#VALUE!</v>
      </c>
      <c r="BV23" s="115" t="e">
        <f t="shared" si="32"/>
        <v>#VALUE!</v>
      </c>
      <c r="BW23" s="115" t="e">
        <f t="shared" si="32"/>
        <v>#VALUE!</v>
      </c>
      <c r="BX23" s="115" t="e">
        <f t="shared" si="33"/>
        <v>#VALUE!</v>
      </c>
      <c r="BY23" s="115" t="e">
        <f t="shared" si="33"/>
        <v>#VALUE!</v>
      </c>
      <c r="BZ23" s="115" t="e">
        <f t="shared" si="33"/>
        <v>#VALUE!</v>
      </c>
      <c r="CA23" s="115" t="e">
        <f t="shared" si="33"/>
        <v>#VALUE!</v>
      </c>
      <c r="CB23" s="115" t="e">
        <f t="shared" si="33"/>
        <v>#VALUE!</v>
      </c>
      <c r="CC23" s="115" t="e">
        <f t="shared" si="33"/>
        <v>#VALUE!</v>
      </c>
      <c r="CD23" s="115" t="e">
        <f t="shared" si="33"/>
        <v>#VALUE!</v>
      </c>
      <c r="CE23" s="115" t="e">
        <f t="shared" si="33"/>
        <v>#VALUE!</v>
      </c>
      <c r="CF23" s="115" t="e">
        <f t="shared" si="33"/>
        <v>#VALUE!</v>
      </c>
      <c r="CG23" s="115" t="e">
        <f t="shared" si="33"/>
        <v>#VALUE!</v>
      </c>
      <c r="CH23" s="115" t="e">
        <f t="shared" si="34"/>
        <v>#VALUE!</v>
      </c>
      <c r="CI23" s="115" t="e">
        <f t="shared" si="34"/>
        <v>#VALUE!</v>
      </c>
      <c r="CJ23" s="115" t="e">
        <f t="shared" si="34"/>
        <v>#VALUE!</v>
      </c>
      <c r="CK23" s="115" t="e">
        <f t="shared" si="34"/>
        <v>#VALUE!</v>
      </c>
      <c r="CL23" s="115" t="e">
        <f t="shared" si="34"/>
        <v>#VALUE!</v>
      </c>
      <c r="CM23" s="115" t="e">
        <f t="shared" si="34"/>
        <v>#VALUE!</v>
      </c>
      <c r="CN23" s="115" t="e">
        <f t="shared" si="34"/>
        <v>#VALUE!</v>
      </c>
      <c r="CO23" s="115" t="e">
        <f t="shared" si="34"/>
        <v>#VALUE!</v>
      </c>
      <c r="CP23" s="115" t="e">
        <f t="shared" si="34"/>
        <v>#VALUE!</v>
      </c>
      <c r="CQ23" s="115" t="e">
        <f t="shared" si="34"/>
        <v>#VALUE!</v>
      </c>
      <c r="CR23" s="115" t="e">
        <f t="shared" si="35"/>
        <v>#VALUE!</v>
      </c>
      <c r="CS23" s="115" t="e">
        <f t="shared" si="35"/>
        <v>#VALUE!</v>
      </c>
      <c r="CT23" s="115" t="e">
        <f t="shared" si="35"/>
        <v>#VALUE!</v>
      </c>
      <c r="CU23" s="115" t="e">
        <f t="shared" si="35"/>
        <v>#VALUE!</v>
      </c>
      <c r="CV23" s="115" t="e">
        <f t="shared" si="35"/>
        <v>#VALUE!</v>
      </c>
      <c r="CW23" s="115" t="e">
        <f t="shared" si="35"/>
        <v>#VALUE!</v>
      </c>
      <c r="CX23" s="115" t="e">
        <f t="shared" si="35"/>
        <v>#VALUE!</v>
      </c>
      <c r="CY23" s="115" t="e">
        <f t="shared" si="35"/>
        <v>#VALUE!</v>
      </c>
      <c r="CZ23" s="115" t="e">
        <f t="shared" si="35"/>
        <v>#VALUE!</v>
      </c>
      <c r="DA23" s="115" t="e">
        <f t="shared" si="35"/>
        <v>#VALUE!</v>
      </c>
      <c r="DB23" s="115" t="e">
        <f t="shared" si="36"/>
        <v>#VALUE!</v>
      </c>
      <c r="DC23" s="115" t="e">
        <f t="shared" si="36"/>
        <v>#VALUE!</v>
      </c>
      <c r="DD23" s="115" t="e">
        <f t="shared" si="36"/>
        <v>#VALUE!</v>
      </c>
      <c r="DE23" s="115" t="e">
        <f t="shared" si="36"/>
        <v>#VALUE!</v>
      </c>
      <c r="DF23" s="115" t="e">
        <f t="shared" si="36"/>
        <v>#VALUE!</v>
      </c>
      <c r="DG23" s="115" t="e">
        <f t="shared" si="36"/>
        <v>#VALUE!</v>
      </c>
      <c r="DH23" s="115" t="e">
        <f t="shared" si="36"/>
        <v>#VALUE!</v>
      </c>
      <c r="DI23" s="115" t="e">
        <f t="shared" si="36"/>
        <v>#VALUE!</v>
      </c>
      <c r="DJ23" s="115" t="e">
        <f t="shared" si="36"/>
        <v>#VALUE!</v>
      </c>
      <c r="DK23" s="115" t="e">
        <f t="shared" si="36"/>
        <v>#VALUE!</v>
      </c>
      <c r="DL23" s="115" t="e">
        <f t="shared" si="36"/>
        <v>#VALUE!</v>
      </c>
      <c r="DM23" s="115" t="e">
        <f t="shared" si="36"/>
        <v>#VALUE!</v>
      </c>
    </row>
    <row r="24" spans="1:117" ht="15" customHeight="1" thickBot="1">
      <c r="A24" s="55">
        <v>2400</v>
      </c>
      <c r="B24" s="194" t="s">
        <v>728</v>
      </c>
      <c r="C24" s="194" t="s">
        <v>757</v>
      </c>
      <c r="D24" s="194" t="s">
        <v>147</v>
      </c>
      <c r="E24" s="194"/>
      <c r="F24" s="194" t="s">
        <v>1059</v>
      </c>
      <c r="G24" s="291">
        <f t="shared" si="4"/>
        <v>0</v>
      </c>
      <c r="H24" s="292">
        <f>VLOOKUP("E5.B",Errichtungskosten,12,0)*VLOOKUP("E5Bw",Verwaltung_Technik,5,0)/100</f>
        <v>0</v>
      </c>
      <c r="I24" s="168"/>
      <c r="J24" s="194" t="s">
        <v>727</v>
      </c>
      <c r="K24" s="378" t="s">
        <v>732</v>
      </c>
      <c r="L24" s="379" t="s">
        <v>356</v>
      </c>
      <c r="M24" s="325">
        <f t="shared" si="25"/>
        <v>2.77</v>
      </c>
      <c r="N24" s="380">
        <f t="shared" si="26"/>
        <v>1.0105211406096364</v>
      </c>
      <c r="O24" s="381">
        <f t="shared" si="27"/>
        <v>0</v>
      </c>
      <c r="P24" s="169" t="s">
        <v>103</v>
      </c>
      <c r="Q24" s="114">
        <f t="shared" si="27"/>
        <v>0</v>
      </c>
      <c r="R24" s="115">
        <f t="shared" si="27"/>
        <v>0</v>
      </c>
      <c r="S24" s="115">
        <f t="shared" si="27"/>
        <v>0</v>
      </c>
      <c r="T24" s="115">
        <f t="shared" si="27"/>
        <v>0</v>
      </c>
      <c r="U24" s="115">
        <f t="shared" si="27"/>
        <v>0</v>
      </c>
      <c r="V24" s="115">
        <f t="shared" si="27"/>
        <v>0</v>
      </c>
      <c r="W24" s="115">
        <f t="shared" si="27"/>
        <v>0</v>
      </c>
      <c r="X24" s="115">
        <f t="shared" si="27"/>
        <v>0</v>
      </c>
      <c r="Y24" s="115">
        <f t="shared" si="27"/>
        <v>0</v>
      </c>
      <c r="Z24" s="115">
        <f t="shared" si="28"/>
        <v>0</v>
      </c>
      <c r="AA24" s="115">
        <f t="shared" si="28"/>
        <v>0</v>
      </c>
      <c r="AB24" s="115">
        <f t="shared" si="28"/>
        <v>0</v>
      </c>
      <c r="AC24" s="115">
        <f t="shared" si="28"/>
        <v>0</v>
      </c>
      <c r="AD24" s="115">
        <f t="shared" si="28"/>
        <v>0</v>
      </c>
      <c r="AE24" s="115">
        <f t="shared" si="28"/>
        <v>0</v>
      </c>
      <c r="AF24" s="115">
        <f t="shared" si="28"/>
        <v>0</v>
      </c>
      <c r="AG24" s="115">
        <f t="shared" si="28"/>
        <v>0</v>
      </c>
      <c r="AH24" s="115">
        <f t="shared" si="28"/>
        <v>0</v>
      </c>
      <c r="AI24" s="115">
        <f t="shared" si="28"/>
        <v>0</v>
      </c>
      <c r="AJ24" s="115">
        <f t="shared" si="29"/>
        <v>0</v>
      </c>
      <c r="AK24" s="115">
        <f t="shared" si="29"/>
        <v>0</v>
      </c>
      <c r="AL24" s="115">
        <f t="shared" si="29"/>
        <v>0</v>
      </c>
      <c r="AM24" s="115">
        <f t="shared" si="29"/>
        <v>0</v>
      </c>
      <c r="AN24" s="115">
        <f t="shared" si="29"/>
        <v>0</v>
      </c>
      <c r="AO24" s="115">
        <f t="shared" si="29"/>
        <v>0</v>
      </c>
      <c r="AP24" s="115">
        <f t="shared" si="29"/>
        <v>0</v>
      </c>
      <c r="AQ24" s="115">
        <f t="shared" si="29"/>
        <v>0</v>
      </c>
      <c r="AR24" s="115">
        <f t="shared" si="29"/>
        <v>0</v>
      </c>
      <c r="AS24" s="115">
        <f t="shared" si="29"/>
        <v>0</v>
      </c>
      <c r="AT24" s="115">
        <f t="shared" si="30"/>
        <v>0</v>
      </c>
      <c r="AU24" s="115">
        <f t="shared" si="30"/>
        <v>0</v>
      </c>
      <c r="AV24" s="115" t="e">
        <f t="shared" si="30"/>
        <v>#VALUE!</v>
      </c>
      <c r="AW24" s="115" t="e">
        <f t="shared" si="30"/>
        <v>#VALUE!</v>
      </c>
      <c r="AX24" s="115" t="e">
        <f t="shared" si="30"/>
        <v>#VALUE!</v>
      </c>
      <c r="AY24" s="115" t="e">
        <f t="shared" si="30"/>
        <v>#VALUE!</v>
      </c>
      <c r="AZ24" s="115" t="e">
        <f t="shared" si="30"/>
        <v>#VALUE!</v>
      </c>
      <c r="BA24" s="115" t="e">
        <f t="shared" si="30"/>
        <v>#VALUE!</v>
      </c>
      <c r="BB24" s="115" t="e">
        <f t="shared" si="30"/>
        <v>#VALUE!</v>
      </c>
      <c r="BC24" s="115" t="e">
        <f t="shared" si="30"/>
        <v>#VALUE!</v>
      </c>
      <c r="BD24" s="115" t="e">
        <f t="shared" si="31"/>
        <v>#VALUE!</v>
      </c>
      <c r="BE24" s="115" t="e">
        <f t="shared" si="31"/>
        <v>#VALUE!</v>
      </c>
      <c r="BF24" s="115" t="e">
        <f t="shared" si="31"/>
        <v>#VALUE!</v>
      </c>
      <c r="BG24" s="115" t="e">
        <f t="shared" si="31"/>
        <v>#VALUE!</v>
      </c>
      <c r="BH24" s="115" t="e">
        <f t="shared" si="31"/>
        <v>#VALUE!</v>
      </c>
      <c r="BI24" s="115" t="e">
        <f t="shared" si="31"/>
        <v>#VALUE!</v>
      </c>
      <c r="BJ24" s="115" t="e">
        <f t="shared" si="31"/>
        <v>#VALUE!</v>
      </c>
      <c r="BK24" s="115" t="e">
        <f t="shared" si="31"/>
        <v>#VALUE!</v>
      </c>
      <c r="BL24" s="115" t="e">
        <f t="shared" si="31"/>
        <v>#VALUE!</v>
      </c>
      <c r="BM24" s="115" t="e">
        <f t="shared" si="31"/>
        <v>#VALUE!</v>
      </c>
      <c r="BN24" s="115" t="e">
        <f t="shared" si="32"/>
        <v>#VALUE!</v>
      </c>
      <c r="BO24" s="115" t="e">
        <f t="shared" si="32"/>
        <v>#VALUE!</v>
      </c>
      <c r="BP24" s="115" t="e">
        <f t="shared" si="32"/>
        <v>#VALUE!</v>
      </c>
      <c r="BQ24" s="115" t="e">
        <f t="shared" si="32"/>
        <v>#VALUE!</v>
      </c>
      <c r="BR24" s="115" t="e">
        <f t="shared" si="32"/>
        <v>#VALUE!</v>
      </c>
      <c r="BS24" s="115" t="e">
        <f t="shared" si="32"/>
        <v>#VALUE!</v>
      </c>
      <c r="BT24" s="115" t="e">
        <f t="shared" si="32"/>
        <v>#VALUE!</v>
      </c>
      <c r="BU24" s="115" t="e">
        <f t="shared" si="32"/>
        <v>#VALUE!</v>
      </c>
      <c r="BV24" s="115" t="e">
        <f t="shared" si="32"/>
        <v>#VALUE!</v>
      </c>
      <c r="BW24" s="115" t="e">
        <f t="shared" si="32"/>
        <v>#VALUE!</v>
      </c>
      <c r="BX24" s="115" t="e">
        <f t="shared" si="33"/>
        <v>#VALUE!</v>
      </c>
      <c r="BY24" s="115" t="e">
        <f t="shared" si="33"/>
        <v>#VALUE!</v>
      </c>
      <c r="BZ24" s="115" t="e">
        <f t="shared" si="33"/>
        <v>#VALUE!</v>
      </c>
      <c r="CA24" s="115" t="e">
        <f t="shared" si="33"/>
        <v>#VALUE!</v>
      </c>
      <c r="CB24" s="115" t="e">
        <f t="shared" si="33"/>
        <v>#VALUE!</v>
      </c>
      <c r="CC24" s="115" t="e">
        <f t="shared" si="33"/>
        <v>#VALUE!</v>
      </c>
      <c r="CD24" s="115" t="e">
        <f t="shared" si="33"/>
        <v>#VALUE!</v>
      </c>
      <c r="CE24" s="115" t="e">
        <f t="shared" si="33"/>
        <v>#VALUE!</v>
      </c>
      <c r="CF24" s="115" t="e">
        <f t="shared" si="33"/>
        <v>#VALUE!</v>
      </c>
      <c r="CG24" s="115" t="e">
        <f t="shared" si="33"/>
        <v>#VALUE!</v>
      </c>
      <c r="CH24" s="115" t="e">
        <f t="shared" si="34"/>
        <v>#VALUE!</v>
      </c>
      <c r="CI24" s="115" t="e">
        <f t="shared" si="34"/>
        <v>#VALUE!</v>
      </c>
      <c r="CJ24" s="115" t="e">
        <f t="shared" si="34"/>
        <v>#VALUE!</v>
      </c>
      <c r="CK24" s="115" t="e">
        <f t="shared" si="34"/>
        <v>#VALUE!</v>
      </c>
      <c r="CL24" s="115" t="e">
        <f t="shared" si="34"/>
        <v>#VALUE!</v>
      </c>
      <c r="CM24" s="115" t="e">
        <f t="shared" si="34"/>
        <v>#VALUE!</v>
      </c>
      <c r="CN24" s="115" t="e">
        <f t="shared" si="34"/>
        <v>#VALUE!</v>
      </c>
      <c r="CO24" s="115" t="e">
        <f t="shared" si="34"/>
        <v>#VALUE!</v>
      </c>
      <c r="CP24" s="115" t="e">
        <f t="shared" si="34"/>
        <v>#VALUE!</v>
      </c>
      <c r="CQ24" s="115" t="e">
        <f t="shared" si="34"/>
        <v>#VALUE!</v>
      </c>
      <c r="CR24" s="115" t="e">
        <f t="shared" si="35"/>
        <v>#VALUE!</v>
      </c>
      <c r="CS24" s="115" t="e">
        <f t="shared" si="35"/>
        <v>#VALUE!</v>
      </c>
      <c r="CT24" s="115" t="e">
        <f t="shared" si="35"/>
        <v>#VALUE!</v>
      </c>
      <c r="CU24" s="115" t="e">
        <f t="shared" si="35"/>
        <v>#VALUE!</v>
      </c>
      <c r="CV24" s="115" t="e">
        <f t="shared" si="35"/>
        <v>#VALUE!</v>
      </c>
      <c r="CW24" s="115" t="e">
        <f t="shared" si="35"/>
        <v>#VALUE!</v>
      </c>
      <c r="CX24" s="115" t="e">
        <f t="shared" si="35"/>
        <v>#VALUE!</v>
      </c>
      <c r="CY24" s="115" t="e">
        <f t="shared" si="35"/>
        <v>#VALUE!</v>
      </c>
      <c r="CZ24" s="115" t="e">
        <f t="shared" si="35"/>
        <v>#VALUE!</v>
      </c>
      <c r="DA24" s="115" t="e">
        <f t="shared" si="35"/>
        <v>#VALUE!</v>
      </c>
      <c r="DB24" s="115" t="e">
        <f t="shared" si="36"/>
        <v>#VALUE!</v>
      </c>
      <c r="DC24" s="115" t="e">
        <f t="shared" si="36"/>
        <v>#VALUE!</v>
      </c>
      <c r="DD24" s="115" t="e">
        <f t="shared" si="36"/>
        <v>#VALUE!</v>
      </c>
      <c r="DE24" s="115" t="e">
        <f t="shared" si="36"/>
        <v>#VALUE!</v>
      </c>
      <c r="DF24" s="115" t="e">
        <f t="shared" si="36"/>
        <v>#VALUE!</v>
      </c>
      <c r="DG24" s="115" t="e">
        <f t="shared" si="36"/>
        <v>#VALUE!</v>
      </c>
      <c r="DH24" s="115" t="e">
        <f t="shared" si="36"/>
        <v>#VALUE!</v>
      </c>
      <c r="DI24" s="115" t="e">
        <f t="shared" si="36"/>
        <v>#VALUE!</v>
      </c>
      <c r="DJ24" s="115" t="e">
        <f t="shared" si="36"/>
        <v>#VALUE!</v>
      </c>
      <c r="DK24" s="115" t="e">
        <f t="shared" si="36"/>
        <v>#VALUE!</v>
      </c>
      <c r="DL24" s="115" t="e">
        <f t="shared" si="36"/>
        <v>#VALUE!</v>
      </c>
      <c r="DM24" s="115" t="e">
        <f t="shared" si="36"/>
        <v>#VALUE!</v>
      </c>
    </row>
    <row r="25" spans="1:117" ht="15" customHeight="1" thickBot="1">
      <c r="A25" s="55">
        <v>2500</v>
      </c>
      <c r="B25" s="194" t="s">
        <v>728</v>
      </c>
      <c r="C25" s="194" t="s">
        <v>758</v>
      </c>
      <c r="D25" s="194" t="s">
        <v>145</v>
      </c>
      <c r="E25" s="194"/>
      <c r="F25" s="194" t="s">
        <v>1060</v>
      </c>
      <c r="G25" s="291">
        <f t="shared" si="4"/>
        <v>0</v>
      </c>
      <c r="H25" s="292">
        <f>VLOOKUP("E5.C",Errichtungskosten,12,0)*VLOOKUP("E5Cw",Verwaltung_Technik,5,0)/100</f>
        <v>0</v>
      </c>
      <c r="I25" s="168"/>
      <c r="J25" s="194" t="s">
        <v>727</v>
      </c>
      <c r="K25" s="378" t="s">
        <v>732</v>
      </c>
      <c r="L25" s="379" t="s">
        <v>356</v>
      </c>
      <c r="M25" s="325">
        <f t="shared" si="25"/>
        <v>2.77</v>
      </c>
      <c r="N25" s="380">
        <f t="shared" si="26"/>
        <v>1.0105211406096364</v>
      </c>
      <c r="O25" s="381">
        <f t="shared" si="27"/>
        <v>0</v>
      </c>
      <c r="P25" s="169" t="s">
        <v>103</v>
      </c>
      <c r="Q25" s="114">
        <f t="shared" si="27"/>
        <v>0</v>
      </c>
      <c r="R25" s="115">
        <f t="shared" si="27"/>
        <v>0</v>
      </c>
      <c r="S25" s="115">
        <f t="shared" si="27"/>
        <v>0</v>
      </c>
      <c r="T25" s="115">
        <f t="shared" si="27"/>
        <v>0</v>
      </c>
      <c r="U25" s="115">
        <f t="shared" si="27"/>
        <v>0</v>
      </c>
      <c r="V25" s="115">
        <f t="shared" si="27"/>
        <v>0</v>
      </c>
      <c r="W25" s="115">
        <f t="shared" si="27"/>
        <v>0</v>
      </c>
      <c r="X25" s="115">
        <f t="shared" si="27"/>
        <v>0</v>
      </c>
      <c r="Y25" s="115">
        <f t="shared" si="27"/>
        <v>0</v>
      </c>
      <c r="Z25" s="115">
        <f t="shared" si="28"/>
        <v>0</v>
      </c>
      <c r="AA25" s="115">
        <f t="shared" si="28"/>
        <v>0</v>
      </c>
      <c r="AB25" s="115">
        <f t="shared" si="28"/>
        <v>0</v>
      </c>
      <c r="AC25" s="115">
        <f t="shared" si="28"/>
        <v>0</v>
      </c>
      <c r="AD25" s="115">
        <f t="shared" si="28"/>
        <v>0</v>
      </c>
      <c r="AE25" s="115">
        <f t="shared" si="28"/>
        <v>0</v>
      </c>
      <c r="AF25" s="115">
        <f t="shared" si="28"/>
        <v>0</v>
      </c>
      <c r="AG25" s="115">
        <f t="shared" si="28"/>
        <v>0</v>
      </c>
      <c r="AH25" s="115">
        <f t="shared" si="28"/>
        <v>0</v>
      </c>
      <c r="AI25" s="115">
        <f t="shared" si="28"/>
        <v>0</v>
      </c>
      <c r="AJ25" s="115">
        <f t="shared" si="29"/>
        <v>0</v>
      </c>
      <c r="AK25" s="115">
        <f t="shared" si="29"/>
        <v>0</v>
      </c>
      <c r="AL25" s="115">
        <f t="shared" si="29"/>
        <v>0</v>
      </c>
      <c r="AM25" s="115">
        <f t="shared" si="29"/>
        <v>0</v>
      </c>
      <c r="AN25" s="115">
        <f t="shared" si="29"/>
        <v>0</v>
      </c>
      <c r="AO25" s="115">
        <f t="shared" si="29"/>
        <v>0</v>
      </c>
      <c r="AP25" s="115">
        <f t="shared" si="29"/>
        <v>0</v>
      </c>
      <c r="AQ25" s="115">
        <f t="shared" si="29"/>
        <v>0</v>
      </c>
      <c r="AR25" s="115">
        <f t="shared" si="29"/>
        <v>0</v>
      </c>
      <c r="AS25" s="115">
        <f t="shared" si="29"/>
        <v>0</v>
      </c>
      <c r="AT25" s="115">
        <f t="shared" si="30"/>
        <v>0</v>
      </c>
      <c r="AU25" s="115">
        <f t="shared" si="30"/>
        <v>0</v>
      </c>
      <c r="AV25" s="115" t="e">
        <f t="shared" si="30"/>
        <v>#VALUE!</v>
      </c>
      <c r="AW25" s="115" t="e">
        <f t="shared" si="30"/>
        <v>#VALUE!</v>
      </c>
      <c r="AX25" s="115" t="e">
        <f t="shared" si="30"/>
        <v>#VALUE!</v>
      </c>
      <c r="AY25" s="115" t="e">
        <f t="shared" si="30"/>
        <v>#VALUE!</v>
      </c>
      <c r="AZ25" s="115" t="e">
        <f t="shared" si="30"/>
        <v>#VALUE!</v>
      </c>
      <c r="BA25" s="115" t="e">
        <f t="shared" si="30"/>
        <v>#VALUE!</v>
      </c>
      <c r="BB25" s="115" t="e">
        <f t="shared" si="30"/>
        <v>#VALUE!</v>
      </c>
      <c r="BC25" s="115" t="e">
        <f t="shared" si="30"/>
        <v>#VALUE!</v>
      </c>
      <c r="BD25" s="115" t="e">
        <f t="shared" si="31"/>
        <v>#VALUE!</v>
      </c>
      <c r="BE25" s="115" t="e">
        <f t="shared" si="31"/>
        <v>#VALUE!</v>
      </c>
      <c r="BF25" s="115" t="e">
        <f t="shared" si="31"/>
        <v>#VALUE!</v>
      </c>
      <c r="BG25" s="115" t="e">
        <f t="shared" si="31"/>
        <v>#VALUE!</v>
      </c>
      <c r="BH25" s="115" t="e">
        <f t="shared" si="31"/>
        <v>#VALUE!</v>
      </c>
      <c r="BI25" s="115" t="e">
        <f t="shared" si="31"/>
        <v>#VALUE!</v>
      </c>
      <c r="BJ25" s="115" t="e">
        <f t="shared" si="31"/>
        <v>#VALUE!</v>
      </c>
      <c r="BK25" s="115" t="e">
        <f t="shared" si="31"/>
        <v>#VALUE!</v>
      </c>
      <c r="BL25" s="115" t="e">
        <f t="shared" si="31"/>
        <v>#VALUE!</v>
      </c>
      <c r="BM25" s="115" t="e">
        <f t="shared" si="31"/>
        <v>#VALUE!</v>
      </c>
      <c r="BN25" s="115" t="e">
        <f t="shared" si="32"/>
        <v>#VALUE!</v>
      </c>
      <c r="BO25" s="115" t="e">
        <f t="shared" si="32"/>
        <v>#VALUE!</v>
      </c>
      <c r="BP25" s="115" t="e">
        <f t="shared" si="32"/>
        <v>#VALUE!</v>
      </c>
      <c r="BQ25" s="115" t="e">
        <f t="shared" si="32"/>
        <v>#VALUE!</v>
      </c>
      <c r="BR25" s="115" t="e">
        <f t="shared" si="32"/>
        <v>#VALUE!</v>
      </c>
      <c r="BS25" s="115" t="e">
        <f t="shared" si="32"/>
        <v>#VALUE!</v>
      </c>
      <c r="BT25" s="115" t="e">
        <f t="shared" si="32"/>
        <v>#VALUE!</v>
      </c>
      <c r="BU25" s="115" t="e">
        <f t="shared" si="32"/>
        <v>#VALUE!</v>
      </c>
      <c r="BV25" s="115" t="e">
        <f t="shared" si="32"/>
        <v>#VALUE!</v>
      </c>
      <c r="BW25" s="115" t="e">
        <f t="shared" si="32"/>
        <v>#VALUE!</v>
      </c>
      <c r="BX25" s="115" t="e">
        <f t="shared" si="33"/>
        <v>#VALUE!</v>
      </c>
      <c r="BY25" s="115" t="e">
        <f t="shared" si="33"/>
        <v>#VALUE!</v>
      </c>
      <c r="BZ25" s="115" t="e">
        <f t="shared" si="33"/>
        <v>#VALUE!</v>
      </c>
      <c r="CA25" s="115" t="e">
        <f t="shared" si="33"/>
        <v>#VALUE!</v>
      </c>
      <c r="CB25" s="115" t="e">
        <f t="shared" si="33"/>
        <v>#VALUE!</v>
      </c>
      <c r="CC25" s="115" t="e">
        <f t="shared" si="33"/>
        <v>#VALUE!</v>
      </c>
      <c r="CD25" s="115" t="e">
        <f t="shared" si="33"/>
        <v>#VALUE!</v>
      </c>
      <c r="CE25" s="115" t="e">
        <f t="shared" si="33"/>
        <v>#VALUE!</v>
      </c>
      <c r="CF25" s="115" t="e">
        <f t="shared" si="33"/>
        <v>#VALUE!</v>
      </c>
      <c r="CG25" s="115" t="e">
        <f t="shared" si="33"/>
        <v>#VALUE!</v>
      </c>
      <c r="CH25" s="115" t="e">
        <f t="shared" si="34"/>
        <v>#VALUE!</v>
      </c>
      <c r="CI25" s="115" t="e">
        <f t="shared" si="34"/>
        <v>#VALUE!</v>
      </c>
      <c r="CJ25" s="115" t="e">
        <f t="shared" si="34"/>
        <v>#VALUE!</v>
      </c>
      <c r="CK25" s="115" t="e">
        <f t="shared" si="34"/>
        <v>#VALUE!</v>
      </c>
      <c r="CL25" s="115" t="e">
        <f t="shared" si="34"/>
        <v>#VALUE!</v>
      </c>
      <c r="CM25" s="115" t="e">
        <f t="shared" si="34"/>
        <v>#VALUE!</v>
      </c>
      <c r="CN25" s="115" t="e">
        <f t="shared" si="34"/>
        <v>#VALUE!</v>
      </c>
      <c r="CO25" s="115" t="e">
        <f t="shared" si="34"/>
        <v>#VALUE!</v>
      </c>
      <c r="CP25" s="115" t="e">
        <f t="shared" si="34"/>
        <v>#VALUE!</v>
      </c>
      <c r="CQ25" s="115" t="e">
        <f t="shared" si="34"/>
        <v>#VALUE!</v>
      </c>
      <c r="CR25" s="115" t="e">
        <f t="shared" si="35"/>
        <v>#VALUE!</v>
      </c>
      <c r="CS25" s="115" t="e">
        <f t="shared" si="35"/>
        <v>#VALUE!</v>
      </c>
      <c r="CT25" s="115" t="e">
        <f t="shared" si="35"/>
        <v>#VALUE!</v>
      </c>
      <c r="CU25" s="115" t="e">
        <f t="shared" si="35"/>
        <v>#VALUE!</v>
      </c>
      <c r="CV25" s="115" t="e">
        <f t="shared" si="35"/>
        <v>#VALUE!</v>
      </c>
      <c r="CW25" s="115" t="e">
        <f t="shared" si="35"/>
        <v>#VALUE!</v>
      </c>
      <c r="CX25" s="115" t="e">
        <f t="shared" si="35"/>
        <v>#VALUE!</v>
      </c>
      <c r="CY25" s="115" t="e">
        <f t="shared" si="35"/>
        <v>#VALUE!</v>
      </c>
      <c r="CZ25" s="115" t="e">
        <f t="shared" si="35"/>
        <v>#VALUE!</v>
      </c>
      <c r="DA25" s="115" t="e">
        <f t="shared" si="35"/>
        <v>#VALUE!</v>
      </c>
      <c r="DB25" s="115" t="e">
        <f t="shared" si="36"/>
        <v>#VALUE!</v>
      </c>
      <c r="DC25" s="115" t="e">
        <f t="shared" si="36"/>
        <v>#VALUE!</v>
      </c>
      <c r="DD25" s="115" t="e">
        <f t="shared" si="36"/>
        <v>#VALUE!</v>
      </c>
      <c r="DE25" s="115" t="e">
        <f t="shared" si="36"/>
        <v>#VALUE!</v>
      </c>
      <c r="DF25" s="115" t="e">
        <f t="shared" si="36"/>
        <v>#VALUE!</v>
      </c>
      <c r="DG25" s="115" t="e">
        <f t="shared" si="36"/>
        <v>#VALUE!</v>
      </c>
      <c r="DH25" s="115" t="e">
        <f t="shared" si="36"/>
        <v>#VALUE!</v>
      </c>
      <c r="DI25" s="115" t="e">
        <f t="shared" si="36"/>
        <v>#VALUE!</v>
      </c>
      <c r="DJ25" s="115" t="e">
        <f t="shared" si="36"/>
        <v>#VALUE!</v>
      </c>
      <c r="DK25" s="115" t="e">
        <f t="shared" si="36"/>
        <v>#VALUE!</v>
      </c>
      <c r="DL25" s="115" t="e">
        <f t="shared" si="36"/>
        <v>#VALUE!</v>
      </c>
      <c r="DM25" s="115" t="e">
        <f t="shared" si="36"/>
        <v>#VALUE!</v>
      </c>
    </row>
    <row r="26" spans="1:117" ht="15" customHeight="1" thickBot="1">
      <c r="A26" s="55">
        <v>2600</v>
      </c>
      <c r="B26" s="194" t="s">
        <v>728</v>
      </c>
      <c r="C26" s="194" t="s">
        <v>759</v>
      </c>
      <c r="D26" s="194" t="s">
        <v>136</v>
      </c>
      <c r="E26" s="194"/>
      <c r="F26" s="194" t="s">
        <v>1061</v>
      </c>
      <c r="G26" s="291">
        <f t="shared" si="4"/>
        <v>0</v>
      </c>
      <c r="H26" s="292">
        <f>VLOOKUP("E6.C",Errichtungskosten,12,0)*VLOOKUP("E6Cw",Verwaltung_Technik,5,0)/100</f>
        <v>0</v>
      </c>
      <c r="I26" s="168"/>
      <c r="J26" s="194" t="s">
        <v>727</v>
      </c>
      <c r="K26" s="378" t="s">
        <v>732</v>
      </c>
      <c r="L26" s="379" t="s">
        <v>356</v>
      </c>
      <c r="M26" s="325">
        <f t="shared" si="25"/>
        <v>2.77</v>
      </c>
      <c r="N26" s="380">
        <f t="shared" si="26"/>
        <v>1.0105211406096364</v>
      </c>
      <c r="O26" s="381">
        <f t="shared" si="27"/>
        <v>0</v>
      </c>
      <c r="P26" s="169" t="s">
        <v>103</v>
      </c>
      <c r="Q26" s="114">
        <f t="shared" si="27"/>
        <v>0</v>
      </c>
      <c r="R26" s="115">
        <f t="shared" si="27"/>
        <v>0</v>
      </c>
      <c r="S26" s="115">
        <f t="shared" si="27"/>
        <v>0</v>
      </c>
      <c r="T26" s="115">
        <f t="shared" si="27"/>
        <v>0</v>
      </c>
      <c r="U26" s="115">
        <f t="shared" si="27"/>
        <v>0</v>
      </c>
      <c r="V26" s="115">
        <f t="shared" si="27"/>
        <v>0</v>
      </c>
      <c r="W26" s="115">
        <f t="shared" si="27"/>
        <v>0</v>
      </c>
      <c r="X26" s="115">
        <f t="shared" si="27"/>
        <v>0</v>
      </c>
      <c r="Y26" s="115">
        <f t="shared" si="27"/>
        <v>0</v>
      </c>
      <c r="Z26" s="115">
        <f t="shared" si="28"/>
        <v>0</v>
      </c>
      <c r="AA26" s="115">
        <f t="shared" si="28"/>
        <v>0</v>
      </c>
      <c r="AB26" s="115">
        <f t="shared" si="28"/>
        <v>0</v>
      </c>
      <c r="AC26" s="115">
        <f t="shared" si="28"/>
        <v>0</v>
      </c>
      <c r="AD26" s="115">
        <f t="shared" si="28"/>
        <v>0</v>
      </c>
      <c r="AE26" s="115">
        <f t="shared" si="28"/>
        <v>0</v>
      </c>
      <c r="AF26" s="115">
        <f t="shared" si="28"/>
        <v>0</v>
      </c>
      <c r="AG26" s="115">
        <f t="shared" si="28"/>
        <v>0</v>
      </c>
      <c r="AH26" s="115">
        <f t="shared" si="28"/>
        <v>0</v>
      </c>
      <c r="AI26" s="115">
        <f t="shared" si="28"/>
        <v>0</v>
      </c>
      <c r="AJ26" s="115">
        <f t="shared" si="29"/>
        <v>0</v>
      </c>
      <c r="AK26" s="115">
        <f t="shared" si="29"/>
        <v>0</v>
      </c>
      <c r="AL26" s="115">
        <f t="shared" si="29"/>
        <v>0</v>
      </c>
      <c r="AM26" s="115">
        <f t="shared" si="29"/>
        <v>0</v>
      </c>
      <c r="AN26" s="115">
        <f t="shared" si="29"/>
        <v>0</v>
      </c>
      <c r="AO26" s="115">
        <f t="shared" si="29"/>
        <v>0</v>
      </c>
      <c r="AP26" s="115">
        <f t="shared" si="29"/>
        <v>0</v>
      </c>
      <c r="AQ26" s="115">
        <f t="shared" si="29"/>
        <v>0</v>
      </c>
      <c r="AR26" s="115">
        <f t="shared" si="29"/>
        <v>0</v>
      </c>
      <c r="AS26" s="115">
        <f t="shared" si="29"/>
        <v>0</v>
      </c>
      <c r="AT26" s="115">
        <f t="shared" si="30"/>
        <v>0</v>
      </c>
      <c r="AU26" s="115">
        <f t="shared" si="30"/>
        <v>0</v>
      </c>
      <c r="AV26" s="115" t="e">
        <f t="shared" si="30"/>
        <v>#VALUE!</v>
      </c>
      <c r="AW26" s="115" t="e">
        <f t="shared" si="30"/>
        <v>#VALUE!</v>
      </c>
      <c r="AX26" s="115" t="e">
        <f t="shared" si="30"/>
        <v>#VALUE!</v>
      </c>
      <c r="AY26" s="115" t="e">
        <f t="shared" si="30"/>
        <v>#VALUE!</v>
      </c>
      <c r="AZ26" s="115" t="e">
        <f t="shared" si="30"/>
        <v>#VALUE!</v>
      </c>
      <c r="BA26" s="115" t="e">
        <f t="shared" si="30"/>
        <v>#VALUE!</v>
      </c>
      <c r="BB26" s="115" t="e">
        <f t="shared" si="30"/>
        <v>#VALUE!</v>
      </c>
      <c r="BC26" s="115" t="e">
        <f t="shared" si="30"/>
        <v>#VALUE!</v>
      </c>
      <c r="BD26" s="115" t="e">
        <f t="shared" si="31"/>
        <v>#VALUE!</v>
      </c>
      <c r="BE26" s="115" t="e">
        <f t="shared" si="31"/>
        <v>#VALUE!</v>
      </c>
      <c r="BF26" s="115" t="e">
        <f t="shared" si="31"/>
        <v>#VALUE!</v>
      </c>
      <c r="BG26" s="115" t="e">
        <f t="shared" si="31"/>
        <v>#VALUE!</v>
      </c>
      <c r="BH26" s="115" t="e">
        <f t="shared" si="31"/>
        <v>#VALUE!</v>
      </c>
      <c r="BI26" s="115" t="e">
        <f t="shared" si="31"/>
        <v>#VALUE!</v>
      </c>
      <c r="BJ26" s="115" t="e">
        <f t="shared" si="31"/>
        <v>#VALUE!</v>
      </c>
      <c r="BK26" s="115" t="e">
        <f t="shared" si="31"/>
        <v>#VALUE!</v>
      </c>
      <c r="BL26" s="115" t="e">
        <f t="shared" si="31"/>
        <v>#VALUE!</v>
      </c>
      <c r="BM26" s="115" t="e">
        <f t="shared" si="31"/>
        <v>#VALUE!</v>
      </c>
      <c r="BN26" s="115" t="e">
        <f t="shared" si="32"/>
        <v>#VALUE!</v>
      </c>
      <c r="BO26" s="115" t="e">
        <f t="shared" si="32"/>
        <v>#VALUE!</v>
      </c>
      <c r="BP26" s="115" t="e">
        <f t="shared" si="32"/>
        <v>#VALUE!</v>
      </c>
      <c r="BQ26" s="115" t="e">
        <f t="shared" si="32"/>
        <v>#VALUE!</v>
      </c>
      <c r="BR26" s="115" t="e">
        <f t="shared" si="32"/>
        <v>#VALUE!</v>
      </c>
      <c r="BS26" s="115" t="e">
        <f t="shared" si="32"/>
        <v>#VALUE!</v>
      </c>
      <c r="BT26" s="115" t="e">
        <f t="shared" si="32"/>
        <v>#VALUE!</v>
      </c>
      <c r="BU26" s="115" t="e">
        <f t="shared" si="32"/>
        <v>#VALUE!</v>
      </c>
      <c r="BV26" s="115" t="e">
        <f t="shared" si="32"/>
        <v>#VALUE!</v>
      </c>
      <c r="BW26" s="115" t="e">
        <f t="shared" si="32"/>
        <v>#VALUE!</v>
      </c>
      <c r="BX26" s="115" t="e">
        <f t="shared" si="33"/>
        <v>#VALUE!</v>
      </c>
      <c r="BY26" s="115" t="e">
        <f t="shared" si="33"/>
        <v>#VALUE!</v>
      </c>
      <c r="BZ26" s="115" t="e">
        <f t="shared" si="33"/>
        <v>#VALUE!</v>
      </c>
      <c r="CA26" s="115" t="e">
        <f t="shared" si="33"/>
        <v>#VALUE!</v>
      </c>
      <c r="CB26" s="115" t="e">
        <f t="shared" si="33"/>
        <v>#VALUE!</v>
      </c>
      <c r="CC26" s="115" t="e">
        <f t="shared" si="33"/>
        <v>#VALUE!</v>
      </c>
      <c r="CD26" s="115" t="e">
        <f t="shared" si="33"/>
        <v>#VALUE!</v>
      </c>
      <c r="CE26" s="115" t="e">
        <f t="shared" si="33"/>
        <v>#VALUE!</v>
      </c>
      <c r="CF26" s="115" t="e">
        <f t="shared" si="33"/>
        <v>#VALUE!</v>
      </c>
      <c r="CG26" s="115" t="e">
        <f t="shared" si="33"/>
        <v>#VALUE!</v>
      </c>
      <c r="CH26" s="115" t="e">
        <f t="shared" si="34"/>
        <v>#VALUE!</v>
      </c>
      <c r="CI26" s="115" t="e">
        <f t="shared" si="34"/>
        <v>#VALUE!</v>
      </c>
      <c r="CJ26" s="115" t="e">
        <f t="shared" si="34"/>
        <v>#VALUE!</v>
      </c>
      <c r="CK26" s="115" t="e">
        <f t="shared" si="34"/>
        <v>#VALUE!</v>
      </c>
      <c r="CL26" s="115" t="e">
        <f t="shared" si="34"/>
        <v>#VALUE!</v>
      </c>
      <c r="CM26" s="115" t="e">
        <f t="shared" si="34"/>
        <v>#VALUE!</v>
      </c>
      <c r="CN26" s="115" t="e">
        <f t="shared" si="34"/>
        <v>#VALUE!</v>
      </c>
      <c r="CO26" s="115" t="e">
        <f t="shared" si="34"/>
        <v>#VALUE!</v>
      </c>
      <c r="CP26" s="115" t="e">
        <f t="shared" si="34"/>
        <v>#VALUE!</v>
      </c>
      <c r="CQ26" s="115" t="e">
        <f t="shared" si="34"/>
        <v>#VALUE!</v>
      </c>
      <c r="CR26" s="115" t="e">
        <f t="shared" si="35"/>
        <v>#VALUE!</v>
      </c>
      <c r="CS26" s="115" t="e">
        <f t="shared" si="35"/>
        <v>#VALUE!</v>
      </c>
      <c r="CT26" s="115" t="e">
        <f t="shared" si="35"/>
        <v>#VALUE!</v>
      </c>
      <c r="CU26" s="115" t="e">
        <f t="shared" si="35"/>
        <v>#VALUE!</v>
      </c>
      <c r="CV26" s="115" t="e">
        <f t="shared" si="35"/>
        <v>#VALUE!</v>
      </c>
      <c r="CW26" s="115" t="e">
        <f t="shared" si="35"/>
        <v>#VALUE!</v>
      </c>
      <c r="CX26" s="115" t="e">
        <f t="shared" si="35"/>
        <v>#VALUE!</v>
      </c>
      <c r="CY26" s="115" t="e">
        <f t="shared" si="35"/>
        <v>#VALUE!</v>
      </c>
      <c r="CZ26" s="115" t="e">
        <f t="shared" si="35"/>
        <v>#VALUE!</v>
      </c>
      <c r="DA26" s="115" t="e">
        <f t="shared" si="35"/>
        <v>#VALUE!</v>
      </c>
      <c r="DB26" s="115" t="e">
        <f t="shared" si="36"/>
        <v>#VALUE!</v>
      </c>
      <c r="DC26" s="115" t="e">
        <f t="shared" si="36"/>
        <v>#VALUE!</v>
      </c>
      <c r="DD26" s="115" t="e">
        <f t="shared" si="36"/>
        <v>#VALUE!</v>
      </c>
      <c r="DE26" s="115" t="e">
        <f t="shared" si="36"/>
        <v>#VALUE!</v>
      </c>
      <c r="DF26" s="115" t="e">
        <f t="shared" si="36"/>
        <v>#VALUE!</v>
      </c>
      <c r="DG26" s="115" t="e">
        <f t="shared" si="36"/>
        <v>#VALUE!</v>
      </c>
      <c r="DH26" s="115" t="e">
        <f t="shared" si="36"/>
        <v>#VALUE!</v>
      </c>
      <c r="DI26" s="115" t="e">
        <f t="shared" si="36"/>
        <v>#VALUE!</v>
      </c>
      <c r="DJ26" s="115" t="e">
        <f t="shared" si="36"/>
        <v>#VALUE!</v>
      </c>
      <c r="DK26" s="115" t="e">
        <f t="shared" si="36"/>
        <v>#VALUE!</v>
      </c>
      <c r="DL26" s="115" t="e">
        <f t="shared" si="36"/>
        <v>#VALUE!</v>
      </c>
      <c r="DM26" s="115" t="e">
        <f t="shared" si="36"/>
        <v>#VALUE!</v>
      </c>
    </row>
    <row r="27" spans="1:117" ht="15" customHeight="1" thickBot="1">
      <c r="A27" s="55">
        <v>2700</v>
      </c>
      <c r="B27" s="194" t="s">
        <v>728</v>
      </c>
      <c r="C27" s="194" t="s">
        <v>760</v>
      </c>
      <c r="D27" s="194" t="s">
        <v>480</v>
      </c>
      <c r="E27" s="194"/>
      <c r="F27" s="194" t="s">
        <v>1062</v>
      </c>
      <c r="G27" s="291">
        <f t="shared" si="4"/>
        <v>0</v>
      </c>
      <c r="H27" s="292">
        <f>VLOOKUP("E6.D",Errichtungskosten,12,0)*VLOOKUP("E6Dw",Verwaltung_Technik,5,0)/100</f>
        <v>0</v>
      </c>
      <c r="I27" s="168"/>
      <c r="J27" s="194" t="s">
        <v>727</v>
      </c>
      <c r="K27" s="378" t="s">
        <v>732</v>
      </c>
      <c r="L27" s="379" t="s">
        <v>356</v>
      </c>
      <c r="M27" s="325">
        <f t="shared" si="25"/>
        <v>2.77</v>
      </c>
      <c r="N27" s="380">
        <f t="shared" si="26"/>
        <v>1.0105211406096364</v>
      </c>
      <c r="O27" s="381">
        <f t="shared" si="27"/>
        <v>0</v>
      </c>
      <c r="P27" s="169" t="s">
        <v>103</v>
      </c>
      <c r="Q27" s="114">
        <f t="shared" si="27"/>
        <v>0</v>
      </c>
      <c r="R27" s="115">
        <f t="shared" si="27"/>
        <v>0</v>
      </c>
      <c r="S27" s="115">
        <f t="shared" si="27"/>
        <v>0</v>
      </c>
      <c r="T27" s="115">
        <f t="shared" si="27"/>
        <v>0</v>
      </c>
      <c r="U27" s="115">
        <f t="shared" si="27"/>
        <v>0</v>
      </c>
      <c r="V27" s="115">
        <f t="shared" si="27"/>
        <v>0</v>
      </c>
      <c r="W27" s="115">
        <f t="shared" si="27"/>
        <v>0</v>
      </c>
      <c r="X27" s="115">
        <f t="shared" si="27"/>
        <v>0</v>
      </c>
      <c r="Y27" s="115">
        <f t="shared" si="27"/>
        <v>0</v>
      </c>
      <c r="Z27" s="115">
        <f t="shared" si="28"/>
        <v>0</v>
      </c>
      <c r="AA27" s="115">
        <f t="shared" si="28"/>
        <v>0</v>
      </c>
      <c r="AB27" s="115">
        <f t="shared" si="28"/>
        <v>0</v>
      </c>
      <c r="AC27" s="115">
        <f t="shared" si="28"/>
        <v>0</v>
      </c>
      <c r="AD27" s="115">
        <f t="shared" si="28"/>
        <v>0</v>
      </c>
      <c r="AE27" s="115">
        <f t="shared" si="28"/>
        <v>0</v>
      </c>
      <c r="AF27" s="115">
        <f t="shared" si="28"/>
        <v>0</v>
      </c>
      <c r="AG27" s="115">
        <f t="shared" si="28"/>
        <v>0</v>
      </c>
      <c r="AH27" s="115">
        <f t="shared" si="28"/>
        <v>0</v>
      </c>
      <c r="AI27" s="115">
        <f t="shared" si="28"/>
        <v>0</v>
      </c>
      <c r="AJ27" s="115">
        <f t="shared" si="29"/>
        <v>0</v>
      </c>
      <c r="AK27" s="115">
        <f t="shared" si="29"/>
        <v>0</v>
      </c>
      <c r="AL27" s="115">
        <f t="shared" si="29"/>
        <v>0</v>
      </c>
      <c r="AM27" s="115">
        <f t="shared" si="29"/>
        <v>0</v>
      </c>
      <c r="AN27" s="115">
        <f t="shared" si="29"/>
        <v>0</v>
      </c>
      <c r="AO27" s="115">
        <f t="shared" si="29"/>
        <v>0</v>
      </c>
      <c r="AP27" s="115">
        <f t="shared" si="29"/>
        <v>0</v>
      </c>
      <c r="AQ27" s="115">
        <f t="shared" si="29"/>
        <v>0</v>
      </c>
      <c r="AR27" s="115">
        <f t="shared" si="29"/>
        <v>0</v>
      </c>
      <c r="AS27" s="115">
        <f t="shared" si="29"/>
        <v>0</v>
      </c>
      <c r="AT27" s="115">
        <f t="shared" si="30"/>
        <v>0</v>
      </c>
      <c r="AU27" s="115">
        <f t="shared" si="30"/>
        <v>0</v>
      </c>
      <c r="AV27" s="115" t="e">
        <f t="shared" si="30"/>
        <v>#VALUE!</v>
      </c>
      <c r="AW27" s="115" t="e">
        <f t="shared" si="30"/>
        <v>#VALUE!</v>
      </c>
      <c r="AX27" s="115" t="e">
        <f t="shared" si="30"/>
        <v>#VALUE!</v>
      </c>
      <c r="AY27" s="115" t="e">
        <f t="shared" si="30"/>
        <v>#VALUE!</v>
      </c>
      <c r="AZ27" s="115" t="e">
        <f t="shared" si="30"/>
        <v>#VALUE!</v>
      </c>
      <c r="BA27" s="115" t="e">
        <f t="shared" si="30"/>
        <v>#VALUE!</v>
      </c>
      <c r="BB27" s="115" t="e">
        <f t="shared" si="30"/>
        <v>#VALUE!</v>
      </c>
      <c r="BC27" s="115" t="e">
        <f t="shared" si="30"/>
        <v>#VALUE!</v>
      </c>
      <c r="BD27" s="115" t="e">
        <f t="shared" si="31"/>
        <v>#VALUE!</v>
      </c>
      <c r="BE27" s="115" t="e">
        <f t="shared" si="31"/>
        <v>#VALUE!</v>
      </c>
      <c r="BF27" s="115" t="e">
        <f t="shared" si="31"/>
        <v>#VALUE!</v>
      </c>
      <c r="BG27" s="115" t="e">
        <f t="shared" si="31"/>
        <v>#VALUE!</v>
      </c>
      <c r="BH27" s="115" t="e">
        <f t="shared" si="31"/>
        <v>#VALUE!</v>
      </c>
      <c r="BI27" s="115" t="e">
        <f t="shared" si="31"/>
        <v>#VALUE!</v>
      </c>
      <c r="BJ27" s="115" t="e">
        <f t="shared" si="31"/>
        <v>#VALUE!</v>
      </c>
      <c r="BK27" s="115" t="e">
        <f t="shared" si="31"/>
        <v>#VALUE!</v>
      </c>
      <c r="BL27" s="115" t="e">
        <f t="shared" si="31"/>
        <v>#VALUE!</v>
      </c>
      <c r="BM27" s="115" t="e">
        <f t="shared" si="31"/>
        <v>#VALUE!</v>
      </c>
      <c r="BN27" s="115" t="e">
        <f t="shared" si="32"/>
        <v>#VALUE!</v>
      </c>
      <c r="BO27" s="115" t="e">
        <f t="shared" si="32"/>
        <v>#VALUE!</v>
      </c>
      <c r="BP27" s="115" t="e">
        <f t="shared" si="32"/>
        <v>#VALUE!</v>
      </c>
      <c r="BQ27" s="115" t="e">
        <f t="shared" si="32"/>
        <v>#VALUE!</v>
      </c>
      <c r="BR27" s="115" t="e">
        <f t="shared" si="32"/>
        <v>#VALUE!</v>
      </c>
      <c r="BS27" s="115" t="e">
        <f t="shared" si="32"/>
        <v>#VALUE!</v>
      </c>
      <c r="BT27" s="115" t="e">
        <f t="shared" si="32"/>
        <v>#VALUE!</v>
      </c>
      <c r="BU27" s="115" t="e">
        <f t="shared" si="32"/>
        <v>#VALUE!</v>
      </c>
      <c r="BV27" s="115" t="e">
        <f t="shared" si="32"/>
        <v>#VALUE!</v>
      </c>
      <c r="BW27" s="115" t="e">
        <f t="shared" si="32"/>
        <v>#VALUE!</v>
      </c>
      <c r="BX27" s="115" t="e">
        <f t="shared" si="33"/>
        <v>#VALUE!</v>
      </c>
      <c r="BY27" s="115" t="e">
        <f t="shared" si="33"/>
        <v>#VALUE!</v>
      </c>
      <c r="BZ27" s="115" t="e">
        <f t="shared" si="33"/>
        <v>#VALUE!</v>
      </c>
      <c r="CA27" s="115" t="e">
        <f t="shared" si="33"/>
        <v>#VALUE!</v>
      </c>
      <c r="CB27" s="115" t="e">
        <f t="shared" si="33"/>
        <v>#VALUE!</v>
      </c>
      <c r="CC27" s="115" t="e">
        <f t="shared" si="33"/>
        <v>#VALUE!</v>
      </c>
      <c r="CD27" s="115" t="e">
        <f t="shared" si="33"/>
        <v>#VALUE!</v>
      </c>
      <c r="CE27" s="115" t="e">
        <f t="shared" si="33"/>
        <v>#VALUE!</v>
      </c>
      <c r="CF27" s="115" t="e">
        <f t="shared" si="33"/>
        <v>#VALUE!</v>
      </c>
      <c r="CG27" s="115" t="e">
        <f t="shared" si="33"/>
        <v>#VALUE!</v>
      </c>
      <c r="CH27" s="115" t="e">
        <f t="shared" si="34"/>
        <v>#VALUE!</v>
      </c>
      <c r="CI27" s="115" t="e">
        <f t="shared" si="34"/>
        <v>#VALUE!</v>
      </c>
      <c r="CJ27" s="115" t="e">
        <f t="shared" si="34"/>
        <v>#VALUE!</v>
      </c>
      <c r="CK27" s="115" t="e">
        <f t="shared" si="34"/>
        <v>#VALUE!</v>
      </c>
      <c r="CL27" s="115" t="e">
        <f t="shared" si="34"/>
        <v>#VALUE!</v>
      </c>
      <c r="CM27" s="115" t="e">
        <f t="shared" si="34"/>
        <v>#VALUE!</v>
      </c>
      <c r="CN27" s="115" t="e">
        <f t="shared" si="34"/>
        <v>#VALUE!</v>
      </c>
      <c r="CO27" s="115" t="e">
        <f t="shared" si="34"/>
        <v>#VALUE!</v>
      </c>
      <c r="CP27" s="115" t="e">
        <f t="shared" si="34"/>
        <v>#VALUE!</v>
      </c>
      <c r="CQ27" s="115" t="e">
        <f t="shared" si="34"/>
        <v>#VALUE!</v>
      </c>
      <c r="CR27" s="115" t="e">
        <f t="shared" si="35"/>
        <v>#VALUE!</v>
      </c>
      <c r="CS27" s="115" t="e">
        <f t="shared" si="35"/>
        <v>#VALUE!</v>
      </c>
      <c r="CT27" s="115" t="e">
        <f t="shared" si="35"/>
        <v>#VALUE!</v>
      </c>
      <c r="CU27" s="115" t="e">
        <f t="shared" si="35"/>
        <v>#VALUE!</v>
      </c>
      <c r="CV27" s="115" t="e">
        <f t="shared" si="35"/>
        <v>#VALUE!</v>
      </c>
      <c r="CW27" s="115" t="e">
        <f t="shared" si="35"/>
        <v>#VALUE!</v>
      </c>
      <c r="CX27" s="115" t="e">
        <f t="shared" si="35"/>
        <v>#VALUE!</v>
      </c>
      <c r="CY27" s="115" t="e">
        <f t="shared" si="35"/>
        <v>#VALUE!</v>
      </c>
      <c r="CZ27" s="115" t="e">
        <f t="shared" si="35"/>
        <v>#VALUE!</v>
      </c>
      <c r="DA27" s="115" t="e">
        <f t="shared" si="35"/>
        <v>#VALUE!</v>
      </c>
      <c r="DB27" s="115" t="e">
        <f t="shared" si="36"/>
        <v>#VALUE!</v>
      </c>
      <c r="DC27" s="115" t="e">
        <f t="shared" si="36"/>
        <v>#VALUE!</v>
      </c>
      <c r="DD27" s="115" t="e">
        <f t="shared" si="36"/>
        <v>#VALUE!</v>
      </c>
      <c r="DE27" s="115" t="e">
        <f t="shared" si="36"/>
        <v>#VALUE!</v>
      </c>
      <c r="DF27" s="115" t="e">
        <f t="shared" si="36"/>
        <v>#VALUE!</v>
      </c>
      <c r="DG27" s="115" t="e">
        <f t="shared" si="36"/>
        <v>#VALUE!</v>
      </c>
      <c r="DH27" s="115" t="e">
        <f t="shared" si="36"/>
        <v>#VALUE!</v>
      </c>
      <c r="DI27" s="115" t="e">
        <f t="shared" si="36"/>
        <v>#VALUE!</v>
      </c>
      <c r="DJ27" s="115" t="e">
        <f t="shared" si="36"/>
        <v>#VALUE!</v>
      </c>
      <c r="DK27" s="115" t="e">
        <f t="shared" si="36"/>
        <v>#VALUE!</v>
      </c>
      <c r="DL27" s="115" t="e">
        <f t="shared" si="36"/>
        <v>#VALUE!</v>
      </c>
      <c r="DM27" s="115" t="e">
        <f t="shared" si="36"/>
        <v>#VALUE!</v>
      </c>
    </row>
    <row r="28" spans="1:117" ht="15" customHeight="1" thickBot="1">
      <c r="A28" s="293">
        <v>2900</v>
      </c>
      <c r="B28" s="172" t="s">
        <v>743</v>
      </c>
      <c r="C28" s="172" t="s">
        <v>761</v>
      </c>
      <c r="D28" s="172" t="s">
        <v>762</v>
      </c>
      <c r="E28" s="172"/>
      <c r="F28" s="172" t="s">
        <v>117</v>
      </c>
      <c r="G28" s="171">
        <f>SUM(G29:G44)</f>
        <v>0</v>
      </c>
      <c r="H28" s="171"/>
      <c r="I28" s="171"/>
      <c r="J28" s="172" t="s">
        <v>727</v>
      </c>
      <c r="K28" s="373"/>
      <c r="L28" s="172"/>
      <c r="M28" s="293"/>
      <c r="N28" s="293"/>
      <c r="O28" s="376">
        <f>SUM(O29:O44)</f>
        <v>0</v>
      </c>
      <c r="P28" s="377"/>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c r="BK28" s="116"/>
      <c r="BL28" s="116"/>
      <c r="BM28" s="116"/>
      <c r="BN28" s="116"/>
      <c r="BO28" s="116"/>
      <c r="BP28" s="116"/>
      <c r="BQ28" s="116"/>
      <c r="BR28" s="116"/>
      <c r="BS28" s="116"/>
      <c r="BT28" s="116"/>
      <c r="BU28" s="116"/>
      <c r="BV28" s="116"/>
      <c r="BW28" s="116"/>
      <c r="BX28" s="116"/>
      <c r="BY28" s="116"/>
      <c r="BZ28" s="116"/>
      <c r="CA28" s="116"/>
      <c r="CB28" s="116"/>
      <c r="CC28" s="116"/>
      <c r="CD28" s="116"/>
      <c r="CE28" s="116"/>
      <c r="CF28" s="116"/>
      <c r="CG28" s="116"/>
      <c r="CH28" s="116"/>
      <c r="CI28" s="116"/>
      <c r="CJ28" s="116"/>
      <c r="CK28" s="116"/>
      <c r="CL28" s="116"/>
      <c r="CM28" s="116"/>
      <c r="CN28" s="116"/>
      <c r="CO28" s="116"/>
      <c r="CP28" s="116"/>
      <c r="CQ28" s="116"/>
      <c r="CR28" s="116"/>
      <c r="CS28" s="116"/>
      <c r="CT28" s="116"/>
      <c r="CU28" s="116"/>
      <c r="CV28" s="116"/>
      <c r="CW28" s="116"/>
      <c r="CX28" s="116"/>
      <c r="CY28" s="116"/>
      <c r="CZ28" s="116"/>
      <c r="DA28" s="116"/>
      <c r="DB28" s="116"/>
      <c r="DC28" s="116"/>
      <c r="DD28" s="116"/>
      <c r="DE28" s="116"/>
      <c r="DF28" s="116"/>
      <c r="DG28" s="116"/>
      <c r="DH28" s="116"/>
      <c r="DI28" s="116"/>
      <c r="DJ28" s="116"/>
      <c r="DK28" s="116"/>
      <c r="DL28" s="116"/>
      <c r="DM28" s="116"/>
    </row>
    <row r="29" spans="1:117" ht="15" customHeight="1" thickBot="1">
      <c r="A29" s="55">
        <v>3000</v>
      </c>
      <c r="B29" s="194" t="s">
        <v>728</v>
      </c>
      <c r="C29" s="194" t="s">
        <v>763</v>
      </c>
      <c r="D29" s="194" t="s">
        <v>287</v>
      </c>
      <c r="E29" s="194"/>
      <c r="F29" s="194" t="s">
        <v>1063</v>
      </c>
      <c r="G29" s="291">
        <f t="shared" si="4"/>
        <v>0</v>
      </c>
      <c r="H29" s="292">
        <f>VLOOKUP("E3.B",Errichtungskosten,12,0)*VLOOKUP("E3Bi",Verwaltung_Technik,5,0)/100</f>
        <v>0</v>
      </c>
      <c r="I29" s="168"/>
      <c r="J29" s="194" t="s">
        <v>727</v>
      </c>
      <c r="K29" s="378" t="s">
        <v>732</v>
      </c>
      <c r="L29" s="379" t="s">
        <v>358</v>
      </c>
      <c r="M29" s="325">
        <f t="shared" ref="M29:M44" si="37">VLOOKUP(L29,Finanzielle_Parameter,5,0)</f>
        <v>1.35</v>
      </c>
      <c r="N29" s="380">
        <f t="shared" ref="N29:N44" si="38">(1+VLOOKUP(L29,Finanzielle_Parameter,5,0)/100)/(1+VLOOKUP("R",Finanzielle_Parameter,5,0)/100)</f>
        <v>0.99655850540806312</v>
      </c>
      <c r="O29" s="381">
        <f t="shared" ref="O29:Y38" si="39">IF($N29&lt;&gt;1,$G29*($N29^$K29)*(($N29^($K29*INT(O$2/$K29))-1)/($N29^$K29-1)),$G29*INT(O$2/$K29))</f>
        <v>0</v>
      </c>
      <c r="P29" s="169" t="s">
        <v>103</v>
      </c>
      <c r="Q29" s="114">
        <f t="shared" si="39"/>
        <v>0</v>
      </c>
      <c r="R29" s="115">
        <f t="shared" si="39"/>
        <v>0</v>
      </c>
      <c r="S29" s="115">
        <f t="shared" si="39"/>
        <v>0</v>
      </c>
      <c r="T29" s="115">
        <f t="shared" si="39"/>
        <v>0</v>
      </c>
      <c r="U29" s="115">
        <f t="shared" si="39"/>
        <v>0</v>
      </c>
      <c r="V29" s="115">
        <f t="shared" si="39"/>
        <v>0</v>
      </c>
      <c r="W29" s="115">
        <f t="shared" si="39"/>
        <v>0</v>
      </c>
      <c r="X29" s="115">
        <f t="shared" si="39"/>
        <v>0</v>
      </c>
      <c r="Y29" s="115">
        <f t="shared" si="39"/>
        <v>0</v>
      </c>
      <c r="Z29" s="115">
        <f t="shared" ref="Z29:AI38" si="40">IF($N29&lt;&gt;1,$G29*($N29^$K29)*(($N29^($K29*INT(Z$2/$K29))-1)/($N29^$K29-1)),$G29*INT(Z$2/$K29))</f>
        <v>0</v>
      </c>
      <c r="AA29" s="115">
        <f t="shared" si="40"/>
        <v>0</v>
      </c>
      <c r="AB29" s="115">
        <f t="shared" si="40"/>
        <v>0</v>
      </c>
      <c r="AC29" s="115">
        <f t="shared" si="40"/>
        <v>0</v>
      </c>
      <c r="AD29" s="115">
        <f t="shared" si="40"/>
        <v>0</v>
      </c>
      <c r="AE29" s="115">
        <f t="shared" si="40"/>
        <v>0</v>
      </c>
      <c r="AF29" s="115">
        <f t="shared" si="40"/>
        <v>0</v>
      </c>
      <c r="AG29" s="115">
        <f t="shared" si="40"/>
        <v>0</v>
      </c>
      <c r="AH29" s="115">
        <f t="shared" si="40"/>
        <v>0</v>
      </c>
      <c r="AI29" s="115">
        <f t="shared" si="40"/>
        <v>0</v>
      </c>
      <c r="AJ29" s="115">
        <f t="shared" ref="AJ29:AS38" si="41">IF($N29&lt;&gt;1,$G29*($N29^$K29)*(($N29^($K29*INT(AJ$2/$K29))-1)/($N29^$K29-1)),$G29*INT(AJ$2/$K29))</f>
        <v>0</v>
      </c>
      <c r="AK29" s="115">
        <f t="shared" si="41"/>
        <v>0</v>
      </c>
      <c r="AL29" s="115">
        <f t="shared" si="41"/>
        <v>0</v>
      </c>
      <c r="AM29" s="115">
        <f t="shared" si="41"/>
        <v>0</v>
      </c>
      <c r="AN29" s="115">
        <f t="shared" si="41"/>
        <v>0</v>
      </c>
      <c r="AO29" s="115">
        <f t="shared" si="41"/>
        <v>0</v>
      </c>
      <c r="AP29" s="115">
        <f t="shared" si="41"/>
        <v>0</v>
      </c>
      <c r="AQ29" s="115">
        <f t="shared" si="41"/>
        <v>0</v>
      </c>
      <c r="AR29" s="115">
        <f t="shared" si="41"/>
        <v>0</v>
      </c>
      <c r="AS29" s="115">
        <f t="shared" si="41"/>
        <v>0</v>
      </c>
      <c r="AT29" s="115">
        <f t="shared" ref="AT29:BC38" si="42">IF($N29&lt;&gt;1,$G29*($N29^$K29)*(($N29^($K29*INT(AT$2/$K29))-1)/($N29^$K29-1)),$G29*INT(AT$2/$K29))</f>
        <v>0</v>
      </c>
      <c r="AU29" s="115">
        <f t="shared" si="42"/>
        <v>0</v>
      </c>
      <c r="AV29" s="115" t="e">
        <f t="shared" si="42"/>
        <v>#VALUE!</v>
      </c>
      <c r="AW29" s="115" t="e">
        <f t="shared" si="42"/>
        <v>#VALUE!</v>
      </c>
      <c r="AX29" s="115" t="e">
        <f t="shared" si="42"/>
        <v>#VALUE!</v>
      </c>
      <c r="AY29" s="115" t="e">
        <f t="shared" si="42"/>
        <v>#VALUE!</v>
      </c>
      <c r="AZ29" s="115" t="e">
        <f t="shared" si="42"/>
        <v>#VALUE!</v>
      </c>
      <c r="BA29" s="115" t="e">
        <f t="shared" si="42"/>
        <v>#VALUE!</v>
      </c>
      <c r="BB29" s="115" t="e">
        <f t="shared" si="42"/>
        <v>#VALUE!</v>
      </c>
      <c r="BC29" s="115" t="e">
        <f t="shared" si="42"/>
        <v>#VALUE!</v>
      </c>
      <c r="BD29" s="115" t="e">
        <f t="shared" ref="BD29:BM38" si="43">IF($N29&lt;&gt;1,$G29*($N29^$K29)*(($N29^($K29*INT(BD$2/$K29))-1)/($N29^$K29-1)),$G29*INT(BD$2/$K29))</f>
        <v>#VALUE!</v>
      </c>
      <c r="BE29" s="115" t="e">
        <f t="shared" si="43"/>
        <v>#VALUE!</v>
      </c>
      <c r="BF29" s="115" t="e">
        <f t="shared" si="43"/>
        <v>#VALUE!</v>
      </c>
      <c r="BG29" s="115" t="e">
        <f t="shared" si="43"/>
        <v>#VALUE!</v>
      </c>
      <c r="BH29" s="115" t="e">
        <f t="shared" si="43"/>
        <v>#VALUE!</v>
      </c>
      <c r="BI29" s="115" t="e">
        <f t="shared" si="43"/>
        <v>#VALUE!</v>
      </c>
      <c r="BJ29" s="115" t="e">
        <f t="shared" si="43"/>
        <v>#VALUE!</v>
      </c>
      <c r="BK29" s="115" t="e">
        <f t="shared" si="43"/>
        <v>#VALUE!</v>
      </c>
      <c r="BL29" s="115" t="e">
        <f t="shared" si="43"/>
        <v>#VALUE!</v>
      </c>
      <c r="BM29" s="115" t="e">
        <f t="shared" si="43"/>
        <v>#VALUE!</v>
      </c>
      <c r="BN29" s="115" t="e">
        <f t="shared" ref="BN29:BW38" si="44">IF($N29&lt;&gt;1,$G29*($N29^$K29)*(($N29^($K29*INT(BN$2/$K29))-1)/($N29^$K29-1)),$G29*INT(BN$2/$K29))</f>
        <v>#VALUE!</v>
      </c>
      <c r="BO29" s="115" t="e">
        <f t="shared" si="44"/>
        <v>#VALUE!</v>
      </c>
      <c r="BP29" s="115" t="e">
        <f t="shared" si="44"/>
        <v>#VALUE!</v>
      </c>
      <c r="BQ29" s="115" t="e">
        <f t="shared" si="44"/>
        <v>#VALUE!</v>
      </c>
      <c r="BR29" s="115" t="e">
        <f t="shared" si="44"/>
        <v>#VALUE!</v>
      </c>
      <c r="BS29" s="115" t="e">
        <f t="shared" si="44"/>
        <v>#VALUE!</v>
      </c>
      <c r="BT29" s="115" t="e">
        <f t="shared" si="44"/>
        <v>#VALUE!</v>
      </c>
      <c r="BU29" s="115" t="e">
        <f t="shared" si="44"/>
        <v>#VALUE!</v>
      </c>
      <c r="BV29" s="115" t="e">
        <f t="shared" si="44"/>
        <v>#VALUE!</v>
      </c>
      <c r="BW29" s="115" t="e">
        <f t="shared" si="44"/>
        <v>#VALUE!</v>
      </c>
      <c r="BX29" s="115" t="e">
        <f t="shared" ref="BX29:CG38" si="45">IF($N29&lt;&gt;1,$G29*($N29^$K29)*(($N29^($K29*INT(BX$2/$K29))-1)/($N29^$K29-1)),$G29*INT(BX$2/$K29))</f>
        <v>#VALUE!</v>
      </c>
      <c r="BY29" s="115" t="e">
        <f t="shared" si="45"/>
        <v>#VALUE!</v>
      </c>
      <c r="BZ29" s="115" t="e">
        <f t="shared" si="45"/>
        <v>#VALUE!</v>
      </c>
      <c r="CA29" s="115" t="e">
        <f t="shared" si="45"/>
        <v>#VALUE!</v>
      </c>
      <c r="CB29" s="115" t="e">
        <f t="shared" si="45"/>
        <v>#VALUE!</v>
      </c>
      <c r="CC29" s="115" t="e">
        <f t="shared" si="45"/>
        <v>#VALUE!</v>
      </c>
      <c r="CD29" s="115" t="e">
        <f t="shared" si="45"/>
        <v>#VALUE!</v>
      </c>
      <c r="CE29" s="115" t="e">
        <f t="shared" si="45"/>
        <v>#VALUE!</v>
      </c>
      <c r="CF29" s="115" t="e">
        <f t="shared" si="45"/>
        <v>#VALUE!</v>
      </c>
      <c r="CG29" s="115" t="e">
        <f t="shared" si="45"/>
        <v>#VALUE!</v>
      </c>
      <c r="CH29" s="115" t="e">
        <f t="shared" ref="CH29:CQ38" si="46">IF($N29&lt;&gt;1,$G29*($N29^$K29)*(($N29^($K29*INT(CH$2/$K29))-1)/($N29^$K29-1)),$G29*INT(CH$2/$K29))</f>
        <v>#VALUE!</v>
      </c>
      <c r="CI29" s="115" t="e">
        <f t="shared" si="46"/>
        <v>#VALUE!</v>
      </c>
      <c r="CJ29" s="115" t="e">
        <f t="shared" si="46"/>
        <v>#VALUE!</v>
      </c>
      <c r="CK29" s="115" t="e">
        <f t="shared" si="46"/>
        <v>#VALUE!</v>
      </c>
      <c r="CL29" s="115" t="e">
        <f t="shared" si="46"/>
        <v>#VALUE!</v>
      </c>
      <c r="CM29" s="115" t="e">
        <f t="shared" si="46"/>
        <v>#VALUE!</v>
      </c>
      <c r="CN29" s="115" t="e">
        <f t="shared" si="46"/>
        <v>#VALUE!</v>
      </c>
      <c r="CO29" s="115" t="e">
        <f t="shared" si="46"/>
        <v>#VALUE!</v>
      </c>
      <c r="CP29" s="115" t="e">
        <f t="shared" si="46"/>
        <v>#VALUE!</v>
      </c>
      <c r="CQ29" s="115" t="e">
        <f t="shared" si="46"/>
        <v>#VALUE!</v>
      </c>
      <c r="CR29" s="115" t="e">
        <f t="shared" ref="CR29:DA38" si="47">IF($N29&lt;&gt;1,$G29*($N29^$K29)*(($N29^($K29*INT(CR$2/$K29))-1)/($N29^$K29-1)),$G29*INT(CR$2/$K29))</f>
        <v>#VALUE!</v>
      </c>
      <c r="CS29" s="115" t="e">
        <f t="shared" si="47"/>
        <v>#VALUE!</v>
      </c>
      <c r="CT29" s="115" t="e">
        <f t="shared" si="47"/>
        <v>#VALUE!</v>
      </c>
      <c r="CU29" s="115" t="e">
        <f t="shared" si="47"/>
        <v>#VALUE!</v>
      </c>
      <c r="CV29" s="115" t="e">
        <f t="shared" si="47"/>
        <v>#VALUE!</v>
      </c>
      <c r="CW29" s="115" t="e">
        <f t="shared" si="47"/>
        <v>#VALUE!</v>
      </c>
      <c r="CX29" s="115" t="e">
        <f t="shared" si="47"/>
        <v>#VALUE!</v>
      </c>
      <c r="CY29" s="115" t="e">
        <f t="shared" si="47"/>
        <v>#VALUE!</v>
      </c>
      <c r="CZ29" s="115" t="e">
        <f t="shared" si="47"/>
        <v>#VALUE!</v>
      </c>
      <c r="DA29" s="115" t="e">
        <f t="shared" si="47"/>
        <v>#VALUE!</v>
      </c>
      <c r="DB29" s="115" t="e">
        <f t="shared" ref="DB29:DM38" si="48">IF($N29&lt;&gt;1,$G29*($N29^$K29)*(($N29^($K29*INT(DB$2/$K29))-1)/($N29^$K29-1)),$G29*INT(DB$2/$K29))</f>
        <v>#VALUE!</v>
      </c>
      <c r="DC29" s="115" t="e">
        <f t="shared" si="48"/>
        <v>#VALUE!</v>
      </c>
      <c r="DD29" s="115" t="e">
        <f t="shared" si="48"/>
        <v>#VALUE!</v>
      </c>
      <c r="DE29" s="115" t="e">
        <f t="shared" si="48"/>
        <v>#VALUE!</v>
      </c>
      <c r="DF29" s="115" t="e">
        <f t="shared" si="48"/>
        <v>#VALUE!</v>
      </c>
      <c r="DG29" s="115" t="e">
        <f t="shared" si="48"/>
        <v>#VALUE!</v>
      </c>
      <c r="DH29" s="115" t="e">
        <f t="shared" si="48"/>
        <v>#VALUE!</v>
      </c>
      <c r="DI29" s="115" t="e">
        <f t="shared" si="48"/>
        <v>#VALUE!</v>
      </c>
      <c r="DJ29" s="115" t="e">
        <f t="shared" si="48"/>
        <v>#VALUE!</v>
      </c>
      <c r="DK29" s="115" t="e">
        <f t="shared" si="48"/>
        <v>#VALUE!</v>
      </c>
      <c r="DL29" s="115" t="e">
        <f t="shared" si="48"/>
        <v>#VALUE!</v>
      </c>
      <c r="DM29" s="115" t="e">
        <f t="shared" si="48"/>
        <v>#VALUE!</v>
      </c>
    </row>
    <row r="30" spans="1:117" ht="15" customHeight="1" thickBot="1">
      <c r="A30" s="55">
        <v>3100</v>
      </c>
      <c r="B30" s="194" t="s">
        <v>728</v>
      </c>
      <c r="C30" s="194" t="s">
        <v>764</v>
      </c>
      <c r="D30" s="194" t="s">
        <v>285</v>
      </c>
      <c r="E30" s="194"/>
      <c r="F30" s="194" t="s">
        <v>1064</v>
      </c>
      <c r="G30" s="291">
        <f t="shared" si="4"/>
        <v>0</v>
      </c>
      <c r="H30" s="292">
        <f>VLOOKUP("E3.C.01",Errichtungskosten,12,0)*VLOOKUP("E3C01i",Verwaltung_Technik,5,0)/100+VLOOKUP("E3.C.02",Errichtungskosten,12,0)*VLOOKUP("E3C02i",Verwaltung_Technik,5,0)/100+VLOOKUP("E3.C.03",Errichtungskosten,12,0)*VLOOKUP("E3C03i",Verwaltung_Technik,5,0)/100+VLOOKUP("E3.C.S",Errichtungskosten,12,0)*VLOOKUP("E3CSi",Verwaltung_Technik,5,0)/100</f>
        <v>0</v>
      </c>
      <c r="I30" s="168"/>
      <c r="J30" s="194" t="s">
        <v>727</v>
      </c>
      <c r="K30" s="378" t="s">
        <v>732</v>
      </c>
      <c r="L30" s="379" t="s">
        <v>358</v>
      </c>
      <c r="M30" s="325">
        <f t="shared" si="37"/>
        <v>1.35</v>
      </c>
      <c r="N30" s="380">
        <f t="shared" si="38"/>
        <v>0.99655850540806312</v>
      </c>
      <c r="O30" s="381">
        <f t="shared" si="39"/>
        <v>0</v>
      </c>
      <c r="P30" s="169" t="s">
        <v>103</v>
      </c>
      <c r="Q30" s="114">
        <f t="shared" si="39"/>
        <v>0</v>
      </c>
      <c r="R30" s="115">
        <f t="shared" si="39"/>
        <v>0</v>
      </c>
      <c r="S30" s="115">
        <f t="shared" si="39"/>
        <v>0</v>
      </c>
      <c r="T30" s="115">
        <f t="shared" si="39"/>
        <v>0</v>
      </c>
      <c r="U30" s="115">
        <f t="shared" si="39"/>
        <v>0</v>
      </c>
      <c r="V30" s="115">
        <f t="shared" si="39"/>
        <v>0</v>
      </c>
      <c r="W30" s="115">
        <f t="shared" si="39"/>
        <v>0</v>
      </c>
      <c r="X30" s="115">
        <f t="shared" si="39"/>
        <v>0</v>
      </c>
      <c r="Y30" s="115">
        <f t="shared" si="39"/>
        <v>0</v>
      </c>
      <c r="Z30" s="115">
        <f t="shared" si="40"/>
        <v>0</v>
      </c>
      <c r="AA30" s="115">
        <f t="shared" si="40"/>
        <v>0</v>
      </c>
      <c r="AB30" s="115">
        <f t="shared" si="40"/>
        <v>0</v>
      </c>
      <c r="AC30" s="115">
        <f t="shared" si="40"/>
        <v>0</v>
      </c>
      <c r="AD30" s="115">
        <f t="shared" si="40"/>
        <v>0</v>
      </c>
      <c r="AE30" s="115">
        <f t="shared" si="40"/>
        <v>0</v>
      </c>
      <c r="AF30" s="115">
        <f t="shared" si="40"/>
        <v>0</v>
      </c>
      <c r="AG30" s="115">
        <f t="shared" si="40"/>
        <v>0</v>
      </c>
      <c r="AH30" s="115">
        <f t="shared" si="40"/>
        <v>0</v>
      </c>
      <c r="AI30" s="115">
        <f t="shared" si="40"/>
        <v>0</v>
      </c>
      <c r="AJ30" s="115">
        <f t="shared" si="41"/>
        <v>0</v>
      </c>
      <c r="AK30" s="115">
        <f t="shared" si="41"/>
        <v>0</v>
      </c>
      <c r="AL30" s="115">
        <f t="shared" si="41"/>
        <v>0</v>
      </c>
      <c r="AM30" s="115">
        <f t="shared" si="41"/>
        <v>0</v>
      </c>
      <c r="AN30" s="115">
        <f t="shared" si="41"/>
        <v>0</v>
      </c>
      <c r="AO30" s="115">
        <f t="shared" si="41"/>
        <v>0</v>
      </c>
      <c r="AP30" s="115">
        <f t="shared" si="41"/>
        <v>0</v>
      </c>
      <c r="AQ30" s="115">
        <f t="shared" si="41"/>
        <v>0</v>
      </c>
      <c r="AR30" s="115">
        <f t="shared" si="41"/>
        <v>0</v>
      </c>
      <c r="AS30" s="115">
        <f t="shared" si="41"/>
        <v>0</v>
      </c>
      <c r="AT30" s="115">
        <f t="shared" si="42"/>
        <v>0</v>
      </c>
      <c r="AU30" s="115">
        <f t="shared" si="42"/>
        <v>0</v>
      </c>
      <c r="AV30" s="115" t="e">
        <f t="shared" si="42"/>
        <v>#VALUE!</v>
      </c>
      <c r="AW30" s="115" t="e">
        <f t="shared" si="42"/>
        <v>#VALUE!</v>
      </c>
      <c r="AX30" s="115" t="e">
        <f t="shared" si="42"/>
        <v>#VALUE!</v>
      </c>
      <c r="AY30" s="115" t="e">
        <f t="shared" si="42"/>
        <v>#VALUE!</v>
      </c>
      <c r="AZ30" s="115" t="e">
        <f t="shared" si="42"/>
        <v>#VALUE!</v>
      </c>
      <c r="BA30" s="115" t="e">
        <f t="shared" si="42"/>
        <v>#VALUE!</v>
      </c>
      <c r="BB30" s="115" t="e">
        <f t="shared" si="42"/>
        <v>#VALUE!</v>
      </c>
      <c r="BC30" s="115" t="e">
        <f t="shared" si="42"/>
        <v>#VALUE!</v>
      </c>
      <c r="BD30" s="115" t="e">
        <f t="shared" si="43"/>
        <v>#VALUE!</v>
      </c>
      <c r="BE30" s="115" t="e">
        <f t="shared" si="43"/>
        <v>#VALUE!</v>
      </c>
      <c r="BF30" s="115" t="e">
        <f t="shared" si="43"/>
        <v>#VALUE!</v>
      </c>
      <c r="BG30" s="115" t="e">
        <f t="shared" si="43"/>
        <v>#VALUE!</v>
      </c>
      <c r="BH30" s="115" t="e">
        <f t="shared" si="43"/>
        <v>#VALUE!</v>
      </c>
      <c r="BI30" s="115" t="e">
        <f t="shared" si="43"/>
        <v>#VALUE!</v>
      </c>
      <c r="BJ30" s="115" t="e">
        <f t="shared" si="43"/>
        <v>#VALUE!</v>
      </c>
      <c r="BK30" s="115" t="e">
        <f t="shared" si="43"/>
        <v>#VALUE!</v>
      </c>
      <c r="BL30" s="115" t="e">
        <f t="shared" si="43"/>
        <v>#VALUE!</v>
      </c>
      <c r="BM30" s="115" t="e">
        <f t="shared" si="43"/>
        <v>#VALUE!</v>
      </c>
      <c r="BN30" s="115" t="e">
        <f t="shared" si="44"/>
        <v>#VALUE!</v>
      </c>
      <c r="BO30" s="115" t="e">
        <f t="shared" si="44"/>
        <v>#VALUE!</v>
      </c>
      <c r="BP30" s="115" t="e">
        <f t="shared" si="44"/>
        <v>#VALUE!</v>
      </c>
      <c r="BQ30" s="115" t="e">
        <f t="shared" si="44"/>
        <v>#VALUE!</v>
      </c>
      <c r="BR30" s="115" t="e">
        <f t="shared" si="44"/>
        <v>#VALUE!</v>
      </c>
      <c r="BS30" s="115" t="e">
        <f t="shared" si="44"/>
        <v>#VALUE!</v>
      </c>
      <c r="BT30" s="115" t="e">
        <f t="shared" si="44"/>
        <v>#VALUE!</v>
      </c>
      <c r="BU30" s="115" t="e">
        <f t="shared" si="44"/>
        <v>#VALUE!</v>
      </c>
      <c r="BV30" s="115" t="e">
        <f t="shared" si="44"/>
        <v>#VALUE!</v>
      </c>
      <c r="BW30" s="115" t="e">
        <f t="shared" si="44"/>
        <v>#VALUE!</v>
      </c>
      <c r="BX30" s="115" t="e">
        <f t="shared" si="45"/>
        <v>#VALUE!</v>
      </c>
      <c r="BY30" s="115" t="e">
        <f t="shared" si="45"/>
        <v>#VALUE!</v>
      </c>
      <c r="BZ30" s="115" t="e">
        <f t="shared" si="45"/>
        <v>#VALUE!</v>
      </c>
      <c r="CA30" s="115" t="e">
        <f t="shared" si="45"/>
        <v>#VALUE!</v>
      </c>
      <c r="CB30" s="115" t="e">
        <f t="shared" si="45"/>
        <v>#VALUE!</v>
      </c>
      <c r="CC30" s="115" t="e">
        <f t="shared" si="45"/>
        <v>#VALUE!</v>
      </c>
      <c r="CD30" s="115" t="e">
        <f t="shared" si="45"/>
        <v>#VALUE!</v>
      </c>
      <c r="CE30" s="115" t="e">
        <f t="shared" si="45"/>
        <v>#VALUE!</v>
      </c>
      <c r="CF30" s="115" t="e">
        <f t="shared" si="45"/>
        <v>#VALUE!</v>
      </c>
      <c r="CG30" s="115" t="e">
        <f t="shared" si="45"/>
        <v>#VALUE!</v>
      </c>
      <c r="CH30" s="115" t="e">
        <f t="shared" si="46"/>
        <v>#VALUE!</v>
      </c>
      <c r="CI30" s="115" t="e">
        <f t="shared" si="46"/>
        <v>#VALUE!</v>
      </c>
      <c r="CJ30" s="115" t="e">
        <f t="shared" si="46"/>
        <v>#VALUE!</v>
      </c>
      <c r="CK30" s="115" t="e">
        <f t="shared" si="46"/>
        <v>#VALUE!</v>
      </c>
      <c r="CL30" s="115" t="e">
        <f t="shared" si="46"/>
        <v>#VALUE!</v>
      </c>
      <c r="CM30" s="115" t="e">
        <f t="shared" si="46"/>
        <v>#VALUE!</v>
      </c>
      <c r="CN30" s="115" t="e">
        <f t="shared" si="46"/>
        <v>#VALUE!</v>
      </c>
      <c r="CO30" s="115" t="e">
        <f t="shared" si="46"/>
        <v>#VALUE!</v>
      </c>
      <c r="CP30" s="115" t="e">
        <f t="shared" si="46"/>
        <v>#VALUE!</v>
      </c>
      <c r="CQ30" s="115" t="e">
        <f t="shared" si="46"/>
        <v>#VALUE!</v>
      </c>
      <c r="CR30" s="115" t="e">
        <f t="shared" si="47"/>
        <v>#VALUE!</v>
      </c>
      <c r="CS30" s="115" t="e">
        <f t="shared" si="47"/>
        <v>#VALUE!</v>
      </c>
      <c r="CT30" s="115" t="e">
        <f t="shared" si="47"/>
        <v>#VALUE!</v>
      </c>
      <c r="CU30" s="115" t="e">
        <f t="shared" si="47"/>
        <v>#VALUE!</v>
      </c>
      <c r="CV30" s="115" t="e">
        <f t="shared" si="47"/>
        <v>#VALUE!</v>
      </c>
      <c r="CW30" s="115" t="e">
        <f t="shared" si="47"/>
        <v>#VALUE!</v>
      </c>
      <c r="CX30" s="115" t="e">
        <f t="shared" si="47"/>
        <v>#VALUE!</v>
      </c>
      <c r="CY30" s="115" t="e">
        <f t="shared" si="47"/>
        <v>#VALUE!</v>
      </c>
      <c r="CZ30" s="115" t="e">
        <f t="shared" si="47"/>
        <v>#VALUE!</v>
      </c>
      <c r="DA30" s="115" t="e">
        <f t="shared" si="47"/>
        <v>#VALUE!</v>
      </c>
      <c r="DB30" s="115" t="e">
        <f t="shared" si="48"/>
        <v>#VALUE!</v>
      </c>
      <c r="DC30" s="115" t="e">
        <f t="shared" si="48"/>
        <v>#VALUE!</v>
      </c>
      <c r="DD30" s="115" t="e">
        <f t="shared" si="48"/>
        <v>#VALUE!</v>
      </c>
      <c r="DE30" s="115" t="e">
        <f t="shared" si="48"/>
        <v>#VALUE!</v>
      </c>
      <c r="DF30" s="115" t="e">
        <f t="shared" si="48"/>
        <v>#VALUE!</v>
      </c>
      <c r="DG30" s="115" t="e">
        <f t="shared" si="48"/>
        <v>#VALUE!</v>
      </c>
      <c r="DH30" s="115" t="e">
        <f t="shared" si="48"/>
        <v>#VALUE!</v>
      </c>
      <c r="DI30" s="115" t="e">
        <f t="shared" si="48"/>
        <v>#VALUE!</v>
      </c>
      <c r="DJ30" s="115" t="e">
        <f t="shared" si="48"/>
        <v>#VALUE!</v>
      </c>
      <c r="DK30" s="115" t="e">
        <f t="shared" si="48"/>
        <v>#VALUE!</v>
      </c>
      <c r="DL30" s="115" t="e">
        <f t="shared" si="48"/>
        <v>#VALUE!</v>
      </c>
      <c r="DM30" s="115" t="e">
        <f t="shared" si="48"/>
        <v>#VALUE!</v>
      </c>
    </row>
    <row r="31" spans="1:117" ht="15" customHeight="1" thickBot="1">
      <c r="A31" s="55">
        <v>3200</v>
      </c>
      <c r="B31" s="194" t="s">
        <v>728</v>
      </c>
      <c r="C31" s="194" t="s">
        <v>765</v>
      </c>
      <c r="D31" s="194" t="s">
        <v>274</v>
      </c>
      <c r="E31" s="194"/>
      <c r="F31" s="194" t="s">
        <v>1065</v>
      </c>
      <c r="G31" s="291">
        <f t="shared" si="4"/>
        <v>0</v>
      </c>
      <c r="H31" s="292">
        <f>VLOOKUP("E3.D.01",Errichtungskosten,12,0)*VLOOKUP("E3D01Ri",Verwaltung_Technik,5,0)/100*(1-VLOOKUP("E3D01VAnteil",Verwaltung_Technik,5,0)/100) + VLOOKUP("E3.D.01",Errichtungskosten,12,0)*VLOOKUP("E3D01Vi",Verwaltung_Technik,5,0)/100*VLOOKUP("E3D01VAnteil",Verwaltung_Technik,5,0)/100 + VLOOKUP("E3.D.02",Errichtungskosten,12,0)*VLOOKUP("E3D02i",Verwaltung_Technik,5,0)/100+VLOOKUP("E3.D.03",Errichtungskosten,12,0)*VLOOKUP("E3D03i",Verwaltung_Technik,5,0)/100+VLOOKUP("E3.D.04",Errichtungskosten,12,0)*VLOOKUP("E3D04i",Verwaltung_Technik,5,0)/100+VLOOKUP("E3.D.05",Errichtungskosten,12,0)*VLOOKUP("E3D05i",Verwaltung_Technik,5,0)/100+VLOOKUP("E3.D.S",Errichtungskosten,12,0)*VLOOKUP("E3DSi",Verwaltung_Technik,5,0)/100</f>
        <v>0</v>
      </c>
      <c r="I31" s="168"/>
      <c r="J31" s="194" t="s">
        <v>727</v>
      </c>
      <c r="K31" s="378" t="s">
        <v>732</v>
      </c>
      <c r="L31" s="379" t="s">
        <v>358</v>
      </c>
      <c r="M31" s="325">
        <f t="shared" si="37"/>
        <v>1.35</v>
      </c>
      <c r="N31" s="380">
        <f t="shared" si="38"/>
        <v>0.99655850540806312</v>
      </c>
      <c r="O31" s="381">
        <f t="shared" si="39"/>
        <v>0</v>
      </c>
      <c r="P31" s="169" t="s">
        <v>103</v>
      </c>
      <c r="Q31" s="114">
        <f t="shared" si="39"/>
        <v>0</v>
      </c>
      <c r="R31" s="115">
        <f t="shared" si="39"/>
        <v>0</v>
      </c>
      <c r="S31" s="115">
        <f t="shared" si="39"/>
        <v>0</v>
      </c>
      <c r="T31" s="115">
        <f t="shared" si="39"/>
        <v>0</v>
      </c>
      <c r="U31" s="115">
        <f t="shared" si="39"/>
        <v>0</v>
      </c>
      <c r="V31" s="115">
        <f t="shared" si="39"/>
        <v>0</v>
      </c>
      <c r="W31" s="115">
        <f t="shared" si="39"/>
        <v>0</v>
      </c>
      <c r="X31" s="115">
        <f t="shared" si="39"/>
        <v>0</v>
      </c>
      <c r="Y31" s="115">
        <f t="shared" si="39"/>
        <v>0</v>
      </c>
      <c r="Z31" s="115">
        <f t="shared" si="40"/>
        <v>0</v>
      </c>
      <c r="AA31" s="115">
        <f t="shared" si="40"/>
        <v>0</v>
      </c>
      <c r="AB31" s="115">
        <f t="shared" si="40"/>
        <v>0</v>
      </c>
      <c r="AC31" s="115">
        <f t="shared" si="40"/>
        <v>0</v>
      </c>
      <c r="AD31" s="115">
        <f t="shared" si="40"/>
        <v>0</v>
      </c>
      <c r="AE31" s="115">
        <f t="shared" si="40"/>
        <v>0</v>
      </c>
      <c r="AF31" s="115">
        <f t="shared" si="40"/>
        <v>0</v>
      </c>
      <c r="AG31" s="115">
        <f t="shared" si="40"/>
        <v>0</v>
      </c>
      <c r="AH31" s="115">
        <f t="shared" si="40"/>
        <v>0</v>
      </c>
      <c r="AI31" s="115">
        <f t="shared" si="40"/>
        <v>0</v>
      </c>
      <c r="AJ31" s="115">
        <f t="shared" si="41"/>
        <v>0</v>
      </c>
      <c r="AK31" s="115">
        <f t="shared" si="41"/>
        <v>0</v>
      </c>
      <c r="AL31" s="115">
        <f t="shared" si="41"/>
        <v>0</v>
      </c>
      <c r="AM31" s="115">
        <f t="shared" si="41"/>
        <v>0</v>
      </c>
      <c r="AN31" s="115">
        <f t="shared" si="41"/>
        <v>0</v>
      </c>
      <c r="AO31" s="115">
        <f t="shared" si="41"/>
        <v>0</v>
      </c>
      <c r="AP31" s="115">
        <f t="shared" si="41"/>
        <v>0</v>
      </c>
      <c r="AQ31" s="115">
        <f t="shared" si="41"/>
        <v>0</v>
      </c>
      <c r="AR31" s="115">
        <f t="shared" si="41"/>
        <v>0</v>
      </c>
      <c r="AS31" s="115">
        <f t="shared" si="41"/>
        <v>0</v>
      </c>
      <c r="AT31" s="115">
        <f t="shared" si="42"/>
        <v>0</v>
      </c>
      <c r="AU31" s="115">
        <f t="shared" si="42"/>
        <v>0</v>
      </c>
      <c r="AV31" s="115" t="e">
        <f t="shared" si="42"/>
        <v>#VALUE!</v>
      </c>
      <c r="AW31" s="115" t="e">
        <f t="shared" si="42"/>
        <v>#VALUE!</v>
      </c>
      <c r="AX31" s="115" t="e">
        <f t="shared" si="42"/>
        <v>#VALUE!</v>
      </c>
      <c r="AY31" s="115" t="e">
        <f t="shared" si="42"/>
        <v>#VALUE!</v>
      </c>
      <c r="AZ31" s="115" t="e">
        <f t="shared" si="42"/>
        <v>#VALUE!</v>
      </c>
      <c r="BA31" s="115" t="e">
        <f t="shared" si="42"/>
        <v>#VALUE!</v>
      </c>
      <c r="BB31" s="115" t="e">
        <f t="shared" si="42"/>
        <v>#VALUE!</v>
      </c>
      <c r="BC31" s="115" t="e">
        <f t="shared" si="42"/>
        <v>#VALUE!</v>
      </c>
      <c r="BD31" s="115" t="e">
        <f t="shared" si="43"/>
        <v>#VALUE!</v>
      </c>
      <c r="BE31" s="115" t="e">
        <f t="shared" si="43"/>
        <v>#VALUE!</v>
      </c>
      <c r="BF31" s="115" t="e">
        <f t="shared" si="43"/>
        <v>#VALUE!</v>
      </c>
      <c r="BG31" s="115" t="e">
        <f t="shared" si="43"/>
        <v>#VALUE!</v>
      </c>
      <c r="BH31" s="115" t="e">
        <f t="shared" si="43"/>
        <v>#VALUE!</v>
      </c>
      <c r="BI31" s="115" t="e">
        <f t="shared" si="43"/>
        <v>#VALUE!</v>
      </c>
      <c r="BJ31" s="115" t="e">
        <f t="shared" si="43"/>
        <v>#VALUE!</v>
      </c>
      <c r="BK31" s="115" t="e">
        <f t="shared" si="43"/>
        <v>#VALUE!</v>
      </c>
      <c r="BL31" s="115" t="e">
        <f t="shared" si="43"/>
        <v>#VALUE!</v>
      </c>
      <c r="BM31" s="115" t="e">
        <f t="shared" si="43"/>
        <v>#VALUE!</v>
      </c>
      <c r="BN31" s="115" t="e">
        <f t="shared" si="44"/>
        <v>#VALUE!</v>
      </c>
      <c r="BO31" s="115" t="e">
        <f t="shared" si="44"/>
        <v>#VALUE!</v>
      </c>
      <c r="BP31" s="115" t="e">
        <f t="shared" si="44"/>
        <v>#VALUE!</v>
      </c>
      <c r="BQ31" s="115" t="e">
        <f t="shared" si="44"/>
        <v>#VALUE!</v>
      </c>
      <c r="BR31" s="115" t="e">
        <f t="shared" si="44"/>
        <v>#VALUE!</v>
      </c>
      <c r="BS31" s="115" t="e">
        <f t="shared" si="44"/>
        <v>#VALUE!</v>
      </c>
      <c r="BT31" s="115" t="e">
        <f t="shared" si="44"/>
        <v>#VALUE!</v>
      </c>
      <c r="BU31" s="115" t="e">
        <f t="shared" si="44"/>
        <v>#VALUE!</v>
      </c>
      <c r="BV31" s="115" t="e">
        <f t="shared" si="44"/>
        <v>#VALUE!</v>
      </c>
      <c r="BW31" s="115" t="e">
        <f t="shared" si="44"/>
        <v>#VALUE!</v>
      </c>
      <c r="BX31" s="115" t="e">
        <f t="shared" si="45"/>
        <v>#VALUE!</v>
      </c>
      <c r="BY31" s="115" t="e">
        <f t="shared" si="45"/>
        <v>#VALUE!</v>
      </c>
      <c r="BZ31" s="115" t="e">
        <f t="shared" si="45"/>
        <v>#VALUE!</v>
      </c>
      <c r="CA31" s="115" t="e">
        <f t="shared" si="45"/>
        <v>#VALUE!</v>
      </c>
      <c r="CB31" s="115" t="e">
        <f t="shared" si="45"/>
        <v>#VALUE!</v>
      </c>
      <c r="CC31" s="115" t="e">
        <f t="shared" si="45"/>
        <v>#VALUE!</v>
      </c>
      <c r="CD31" s="115" t="e">
        <f t="shared" si="45"/>
        <v>#VALUE!</v>
      </c>
      <c r="CE31" s="115" t="e">
        <f t="shared" si="45"/>
        <v>#VALUE!</v>
      </c>
      <c r="CF31" s="115" t="e">
        <f t="shared" si="45"/>
        <v>#VALUE!</v>
      </c>
      <c r="CG31" s="115" t="e">
        <f t="shared" si="45"/>
        <v>#VALUE!</v>
      </c>
      <c r="CH31" s="115" t="e">
        <f t="shared" si="46"/>
        <v>#VALUE!</v>
      </c>
      <c r="CI31" s="115" t="e">
        <f t="shared" si="46"/>
        <v>#VALUE!</v>
      </c>
      <c r="CJ31" s="115" t="e">
        <f t="shared" si="46"/>
        <v>#VALUE!</v>
      </c>
      <c r="CK31" s="115" t="e">
        <f t="shared" si="46"/>
        <v>#VALUE!</v>
      </c>
      <c r="CL31" s="115" t="e">
        <f t="shared" si="46"/>
        <v>#VALUE!</v>
      </c>
      <c r="CM31" s="115" t="e">
        <f t="shared" si="46"/>
        <v>#VALUE!</v>
      </c>
      <c r="CN31" s="115" t="e">
        <f t="shared" si="46"/>
        <v>#VALUE!</v>
      </c>
      <c r="CO31" s="115" t="e">
        <f t="shared" si="46"/>
        <v>#VALUE!</v>
      </c>
      <c r="CP31" s="115" t="e">
        <f t="shared" si="46"/>
        <v>#VALUE!</v>
      </c>
      <c r="CQ31" s="115" t="e">
        <f t="shared" si="46"/>
        <v>#VALUE!</v>
      </c>
      <c r="CR31" s="115" t="e">
        <f t="shared" si="47"/>
        <v>#VALUE!</v>
      </c>
      <c r="CS31" s="115" t="e">
        <f t="shared" si="47"/>
        <v>#VALUE!</v>
      </c>
      <c r="CT31" s="115" t="e">
        <f t="shared" si="47"/>
        <v>#VALUE!</v>
      </c>
      <c r="CU31" s="115" t="e">
        <f t="shared" si="47"/>
        <v>#VALUE!</v>
      </c>
      <c r="CV31" s="115" t="e">
        <f t="shared" si="47"/>
        <v>#VALUE!</v>
      </c>
      <c r="CW31" s="115" t="e">
        <f t="shared" si="47"/>
        <v>#VALUE!</v>
      </c>
      <c r="CX31" s="115" t="e">
        <f t="shared" si="47"/>
        <v>#VALUE!</v>
      </c>
      <c r="CY31" s="115" t="e">
        <f t="shared" si="47"/>
        <v>#VALUE!</v>
      </c>
      <c r="CZ31" s="115" t="e">
        <f t="shared" si="47"/>
        <v>#VALUE!</v>
      </c>
      <c r="DA31" s="115" t="e">
        <f t="shared" si="47"/>
        <v>#VALUE!</v>
      </c>
      <c r="DB31" s="115" t="e">
        <f t="shared" si="48"/>
        <v>#VALUE!</v>
      </c>
      <c r="DC31" s="115" t="e">
        <f t="shared" si="48"/>
        <v>#VALUE!</v>
      </c>
      <c r="DD31" s="115" t="e">
        <f t="shared" si="48"/>
        <v>#VALUE!</v>
      </c>
      <c r="DE31" s="115" t="e">
        <f t="shared" si="48"/>
        <v>#VALUE!</v>
      </c>
      <c r="DF31" s="115" t="e">
        <f t="shared" si="48"/>
        <v>#VALUE!</v>
      </c>
      <c r="DG31" s="115" t="e">
        <f t="shared" si="48"/>
        <v>#VALUE!</v>
      </c>
      <c r="DH31" s="115" t="e">
        <f t="shared" si="48"/>
        <v>#VALUE!</v>
      </c>
      <c r="DI31" s="115" t="e">
        <f t="shared" si="48"/>
        <v>#VALUE!</v>
      </c>
      <c r="DJ31" s="115" t="e">
        <f t="shared" si="48"/>
        <v>#VALUE!</v>
      </c>
      <c r="DK31" s="115" t="e">
        <f t="shared" si="48"/>
        <v>#VALUE!</v>
      </c>
      <c r="DL31" s="115" t="e">
        <f t="shared" si="48"/>
        <v>#VALUE!</v>
      </c>
      <c r="DM31" s="115" t="e">
        <f t="shared" si="48"/>
        <v>#VALUE!</v>
      </c>
    </row>
    <row r="32" spans="1:117" ht="15" customHeight="1" thickBot="1">
      <c r="A32" s="55">
        <v>3300</v>
      </c>
      <c r="B32" s="194" t="s">
        <v>728</v>
      </c>
      <c r="C32" s="194" t="s">
        <v>766</v>
      </c>
      <c r="D32" s="194" t="s">
        <v>259</v>
      </c>
      <c r="E32" s="194"/>
      <c r="F32" s="194" t="s">
        <v>1066</v>
      </c>
      <c r="G32" s="291">
        <f t="shared" si="4"/>
        <v>0</v>
      </c>
      <c r="H32" s="292">
        <f>VLOOKUP("E3.E.01",Errichtungskosten,12,0)*VLOOKUP("E3E01i",Verwaltung_Technik,5,0)/100+VLOOKUP("E3.E.02",Errichtungskosten,12,0)*VLOOKUP("E3E02i",Verwaltung_Technik,5,0)/100+VLOOKUP("E3.E.03",Errichtungskosten,12,0)*VLOOKUP("E3E03i",Verwaltung_Technik,5,0)/100+VLOOKUP("E3.E.04",Errichtungskosten,12,0)*VLOOKUP("E3E04i",Verwaltung_Technik,5,0)/100+VLOOKUP("E3.E.S",Errichtungskosten,12,0)*VLOOKUP("E3ESi",Verwaltung_Technik,5,0)/100</f>
        <v>0</v>
      </c>
      <c r="I32" s="168"/>
      <c r="J32" s="194" t="s">
        <v>727</v>
      </c>
      <c r="K32" s="378" t="s">
        <v>732</v>
      </c>
      <c r="L32" s="379" t="s">
        <v>358</v>
      </c>
      <c r="M32" s="325">
        <f t="shared" si="37"/>
        <v>1.35</v>
      </c>
      <c r="N32" s="380">
        <f t="shared" si="38"/>
        <v>0.99655850540806312</v>
      </c>
      <c r="O32" s="381">
        <f t="shared" si="39"/>
        <v>0</v>
      </c>
      <c r="P32" s="169" t="s">
        <v>103</v>
      </c>
      <c r="Q32" s="114">
        <f t="shared" si="39"/>
        <v>0</v>
      </c>
      <c r="R32" s="115">
        <f t="shared" si="39"/>
        <v>0</v>
      </c>
      <c r="S32" s="115">
        <f t="shared" si="39"/>
        <v>0</v>
      </c>
      <c r="T32" s="115">
        <f t="shared" si="39"/>
        <v>0</v>
      </c>
      <c r="U32" s="115">
        <f t="shared" si="39"/>
        <v>0</v>
      </c>
      <c r="V32" s="115">
        <f t="shared" si="39"/>
        <v>0</v>
      </c>
      <c r="W32" s="115">
        <f t="shared" si="39"/>
        <v>0</v>
      </c>
      <c r="X32" s="115">
        <f t="shared" si="39"/>
        <v>0</v>
      </c>
      <c r="Y32" s="115">
        <f t="shared" si="39"/>
        <v>0</v>
      </c>
      <c r="Z32" s="115">
        <f t="shared" si="40"/>
        <v>0</v>
      </c>
      <c r="AA32" s="115">
        <f t="shared" si="40"/>
        <v>0</v>
      </c>
      <c r="AB32" s="115">
        <f t="shared" si="40"/>
        <v>0</v>
      </c>
      <c r="AC32" s="115">
        <f t="shared" si="40"/>
        <v>0</v>
      </c>
      <c r="AD32" s="115">
        <f t="shared" si="40"/>
        <v>0</v>
      </c>
      <c r="AE32" s="115">
        <f t="shared" si="40"/>
        <v>0</v>
      </c>
      <c r="AF32" s="115">
        <f t="shared" si="40"/>
        <v>0</v>
      </c>
      <c r="AG32" s="115">
        <f t="shared" si="40"/>
        <v>0</v>
      </c>
      <c r="AH32" s="115">
        <f t="shared" si="40"/>
        <v>0</v>
      </c>
      <c r="AI32" s="115">
        <f t="shared" si="40"/>
        <v>0</v>
      </c>
      <c r="AJ32" s="115">
        <f t="shared" si="41"/>
        <v>0</v>
      </c>
      <c r="AK32" s="115">
        <f t="shared" si="41"/>
        <v>0</v>
      </c>
      <c r="AL32" s="115">
        <f t="shared" si="41"/>
        <v>0</v>
      </c>
      <c r="AM32" s="115">
        <f t="shared" si="41"/>
        <v>0</v>
      </c>
      <c r="AN32" s="115">
        <f t="shared" si="41"/>
        <v>0</v>
      </c>
      <c r="AO32" s="115">
        <f t="shared" si="41"/>
        <v>0</v>
      </c>
      <c r="AP32" s="115">
        <f t="shared" si="41"/>
        <v>0</v>
      </c>
      <c r="AQ32" s="115">
        <f t="shared" si="41"/>
        <v>0</v>
      </c>
      <c r="AR32" s="115">
        <f t="shared" si="41"/>
        <v>0</v>
      </c>
      <c r="AS32" s="115">
        <f t="shared" si="41"/>
        <v>0</v>
      </c>
      <c r="AT32" s="115">
        <f t="shared" si="42"/>
        <v>0</v>
      </c>
      <c r="AU32" s="115">
        <f t="shared" si="42"/>
        <v>0</v>
      </c>
      <c r="AV32" s="115" t="e">
        <f t="shared" si="42"/>
        <v>#VALUE!</v>
      </c>
      <c r="AW32" s="115" t="e">
        <f t="shared" si="42"/>
        <v>#VALUE!</v>
      </c>
      <c r="AX32" s="115" t="e">
        <f t="shared" si="42"/>
        <v>#VALUE!</v>
      </c>
      <c r="AY32" s="115" t="e">
        <f t="shared" si="42"/>
        <v>#VALUE!</v>
      </c>
      <c r="AZ32" s="115" t="e">
        <f t="shared" si="42"/>
        <v>#VALUE!</v>
      </c>
      <c r="BA32" s="115" t="e">
        <f t="shared" si="42"/>
        <v>#VALUE!</v>
      </c>
      <c r="BB32" s="115" t="e">
        <f t="shared" si="42"/>
        <v>#VALUE!</v>
      </c>
      <c r="BC32" s="115" t="e">
        <f t="shared" si="42"/>
        <v>#VALUE!</v>
      </c>
      <c r="BD32" s="115" t="e">
        <f t="shared" si="43"/>
        <v>#VALUE!</v>
      </c>
      <c r="BE32" s="115" t="e">
        <f t="shared" si="43"/>
        <v>#VALUE!</v>
      </c>
      <c r="BF32" s="115" t="e">
        <f t="shared" si="43"/>
        <v>#VALUE!</v>
      </c>
      <c r="BG32" s="115" t="e">
        <f t="shared" si="43"/>
        <v>#VALUE!</v>
      </c>
      <c r="BH32" s="115" t="e">
        <f t="shared" si="43"/>
        <v>#VALUE!</v>
      </c>
      <c r="BI32" s="115" t="e">
        <f t="shared" si="43"/>
        <v>#VALUE!</v>
      </c>
      <c r="BJ32" s="115" t="e">
        <f t="shared" si="43"/>
        <v>#VALUE!</v>
      </c>
      <c r="BK32" s="115" t="e">
        <f t="shared" si="43"/>
        <v>#VALUE!</v>
      </c>
      <c r="BL32" s="115" t="e">
        <f t="shared" si="43"/>
        <v>#VALUE!</v>
      </c>
      <c r="BM32" s="115" t="e">
        <f t="shared" si="43"/>
        <v>#VALUE!</v>
      </c>
      <c r="BN32" s="115" t="e">
        <f t="shared" si="44"/>
        <v>#VALUE!</v>
      </c>
      <c r="BO32" s="115" t="e">
        <f t="shared" si="44"/>
        <v>#VALUE!</v>
      </c>
      <c r="BP32" s="115" t="e">
        <f t="shared" si="44"/>
        <v>#VALUE!</v>
      </c>
      <c r="BQ32" s="115" t="e">
        <f t="shared" si="44"/>
        <v>#VALUE!</v>
      </c>
      <c r="BR32" s="115" t="e">
        <f t="shared" si="44"/>
        <v>#VALUE!</v>
      </c>
      <c r="BS32" s="115" t="e">
        <f t="shared" si="44"/>
        <v>#VALUE!</v>
      </c>
      <c r="BT32" s="115" t="e">
        <f t="shared" si="44"/>
        <v>#VALUE!</v>
      </c>
      <c r="BU32" s="115" t="e">
        <f t="shared" si="44"/>
        <v>#VALUE!</v>
      </c>
      <c r="BV32" s="115" t="e">
        <f t="shared" si="44"/>
        <v>#VALUE!</v>
      </c>
      <c r="BW32" s="115" t="e">
        <f t="shared" si="44"/>
        <v>#VALUE!</v>
      </c>
      <c r="BX32" s="115" t="e">
        <f t="shared" si="45"/>
        <v>#VALUE!</v>
      </c>
      <c r="BY32" s="115" t="e">
        <f t="shared" si="45"/>
        <v>#VALUE!</v>
      </c>
      <c r="BZ32" s="115" t="e">
        <f t="shared" si="45"/>
        <v>#VALUE!</v>
      </c>
      <c r="CA32" s="115" t="e">
        <f t="shared" si="45"/>
        <v>#VALUE!</v>
      </c>
      <c r="CB32" s="115" t="e">
        <f t="shared" si="45"/>
        <v>#VALUE!</v>
      </c>
      <c r="CC32" s="115" t="e">
        <f t="shared" si="45"/>
        <v>#VALUE!</v>
      </c>
      <c r="CD32" s="115" t="e">
        <f t="shared" si="45"/>
        <v>#VALUE!</v>
      </c>
      <c r="CE32" s="115" t="e">
        <f t="shared" si="45"/>
        <v>#VALUE!</v>
      </c>
      <c r="CF32" s="115" t="e">
        <f t="shared" si="45"/>
        <v>#VALUE!</v>
      </c>
      <c r="CG32" s="115" t="e">
        <f t="shared" si="45"/>
        <v>#VALUE!</v>
      </c>
      <c r="CH32" s="115" t="e">
        <f t="shared" si="46"/>
        <v>#VALUE!</v>
      </c>
      <c r="CI32" s="115" t="e">
        <f t="shared" si="46"/>
        <v>#VALUE!</v>
      </c>
      <c r="CJ32" s="115" t="e">
        <f t="shared" si="46"/>
        <v>#VALUE!</v>
      </c>
      <c r="CK32" s="115" t="e">
        <f t="shared" si="46"/>
        <v>#VALUE!</v>
      </c>
      <c r="CL32" s="115" t="e">
        <f t="shared" si="46"/>
        <v>#VALUE!</v>
      </c>
      <c r="CM32" s="115" t="e">
        <f t="shared" si="46"/>
        <v>#VALUE!</v>
      </c>
      <c r="CN32" s="115" t="e">
        <f t="shared" si="46"/>
        <v>#VALUE!</v>
      </c>
      <c r="CO32" s="115" t="e">
        <f t="shared" si="46"/>
        <v>#VALUE!</v>
      </c>
      <c r="CP32" s="115" t="e">
        <f t="shared" si="46"/>
        <v>#VALUE!</v>
      </c>
      <c r="CQ32" s="115" t="e">
        <f t="shared" si="46"/>
        <v>#VALUE!</v>
      </c>
      <c r="CR32" s="115" t="e">
        <f t="shared" si="47"/>
        <v>#VALUE!</v>
      </c>
      <c r="CS32" s="115" t="e">
        <f t="shared" si="47"/>
        <v>#VALUE!</v>
      </c>
      <c r="CT32" s="115" t="e">
        <f t="shared" si="47"/>
        <v>#VALUE!</v>
      </c>
      <c r="CU32" s="115" t="e">
        <f t="shared" si="47"/>
        <v>#VALUE!</v>
      </c>
      <c r="CV32" s="115" t="e">
        <f t="shared" si="47"/>
        <v>#VALUE!</v>
      </c>
      <c r="CW32" s="115" t="e">
        <f t="shared" si="47"/>
        <v>#VALUE!</v>
      </c>
      <c r="CX32" s="115" t="e">
        <f t="shared" si="47"/>
        <v>#VALUE!</v>
      </c>
      <c r="CY32" s="115" t="e">
        <f t="shared" si="47"/>
        <v>#VALUE!</v>
      </c>
      <c r="CZ32" s="115" t="e">
        <f t="shared" si="47"/>
        <v>#VALUE!</v>
      </c>
      <c r="DA32" s="115" t="e">
        <f t="shared" si="47"/>
        <v>#VALUE!</v>
      </c>
      <c r="DB32" s="115" t="e">
        <f t="shared" si="48"/>
        <v>#VALUE!</v>
      </c>
      <c r="DC32" s="115" t="e">
        <f t="shared" si="48"/>
        <v>#VALUE!</v>
      </c>
      <c r="DD32" s="115" t="e">
        <f t="shared" si="48"/>
        <v>#VALUE!</v>
      </c>
      <c r="DE32" s="115" t="e">
        <f t="shared" si="48"/>
        <v>#VALUE!</v>
      </c>
      <c r="DF32" s="115" t="e">
        <f t="shared" si="48"/>
        <v>#VALUE!</v>
      </c>
      <c r="DG32" s="115" t="e">
        <f t="shared" si="48"/>
        <v>#VALUE!</v>
      </c>
      <c r="DH32" s="115" t="e">
        <f t="shared" si="48"/>
        <v>#VALUE!</v>
      </c>
      <c r="DI32" s="115" t="e">
        <f t="shared" si="48"/>
        <v>#VALUE!</v>
      </c>
      <c r="DJ32" s="115" t="e">
        <f t="shared" si="48"/>
        <v>#VALUE!</v>
      </c>
      <c r="DK32" s="115" t="e">
        <f t="shared" si="48"/>
        <v>#VALUE!</v>
      </c>
      <c r="DL32" s="115" t="e">
        <f t="shared" si="48"/>
        <v>#VALUE!</v>
      </c>
      <c r="DM32" s="115" t="e">
        <f t="shared" si="48"/>
        <v>#VALUE!</v>
      </c>
    </row>
    <row r="33" spans="1:117" ht="15" customHeight="1" thickBot="1">
      <c r="A33" s="55">
        <v>3400</v>
      </c>
      <c r="B33" s="194" t="s">
        <v>728</v>
      </c>
      <c r="C33" s="194" t="s">
        <v>767</v>
      </c>
      <c r="D33" s="194" t="s">
        <v>246</v>
      </c>
      <c r="E33" s="194"/>
      <c r="F33" s="194" t="s">
        <v>1067</v>
      </c>
      <c r="G33" s="291">
        <f t="shared" si="4"/>
        <v>0</v>
      </c>
      <c r="H33" s="292">
        <f>VLOOKUP("E3.F",Errichtungskosten,12,0)*VLOOKUP("E3Fi",Verwaltung_Technik,5,0)/100</f>
        <v>0</v>
      </c>
      <c r="I33" s="168"/>
      <c r="J33" s="194" t="s">
        <v>727</v>
      </c>
      <c r="K33" s="378" t="s">
        <v>732</v>
      </c>
      <c r="L33" s="379" t="s">
        <v>358</v>
      </c>
      <c r="M33" s="325">
        <f t="shared" si="37"/>
        <v>1.35</v>
      </c>
      <c r="N33" s="380">
        <f t="shared" si="38"/>
        <v>0.99655850540806312</v>
      </c>
      <c r="O33" s="381">
        <f t="shared" si="39"/>
        <v>0</v>
      </c>
      <c r="P33" s="169" t="s">
        <v>103</v>
      </c>
      <c r="Q33" s="114">
        <f t="shared" si="39"/>
        <v>0</v>
      </c>
      <c r="R33" s="115">
        <f t="shared" si="39"/>
        <v>0</v>
      </c>
      <c r="S33" s="115">
        <f t="shared" si="39"/>
        <v>0</v>
      </c>
      <c r="T33" s="115">
        <f t="shared" si="39"/>
        <v>0</v>
      </c>
      <c r="U33" s="115">
        <f t="shared" si="39"/>
        <v>0</v>
      </c>
      <c r="V33" s="115">
        <f t="shared" si="39"/>
        <v>0</v>
      </c>
      <c r="W33" s="115">
        <f t="shared" si="39"/>
        <v>0</v>
      </c>
      <c r="X33" s="115">
        <f t="shared" si="39"/>
        <v>0</v>
      </c>
      <c r="Y33" s="115">
        <f t="shared" si="39"/>
        <v>0</v>
      </c>
      <c r="Z33" s="115">
        <f t="shared" si="40"/>
        <v>0</v>
      </c>
      <c r="AA33" s="115">
        <f t="shared" si="40"/>
        <v>0</v>
      </c>
      <c r="AB33" s="115">
        <f t="shared" si="40"/>
        <v>0</v>
      </c>
      <c r="AC33" s="115">
        <f t="shared" si="40"/>
        <v>0</v>
      </c>
      <c r="AD33" s="115">
        <f t="shared" si="40"/>
        <v>0</v>
      </c>
      <c r="AE33" s="115">
        <f t="shared" si="40"/>
        <v>0</v>
      </c>
      <c r="AF33" s="115">
        <f t="shared" si="40"/>
        <v>0</v>
      </c>
      <c r="AG33" s="115">
        <f t="shared" si="40"/>
        <v>0</v>
      </c>
      <c r="AH33" s="115">
        <f t="shared" si="40"/>
        <v>0</v>
      </c>
      <c r="AI33" s="115">
        <f t="shared" si="40"/>
        <v>0</v>
      </c>
      <c r="AJ33" s="115">
        <f t="shared" si="41"/>
        <v>0</v>
      </c>
      <c r="AK33" s="115">
        <f t="shared" si="41"/>
        <v>0</v>
      </c>
      <c r="AL33" s="115">
        <f t="shared" si="41"/>
        <v>0</v>
      </c>
      <c r="AM33" s="115">
        <f t="shared" si="41"/>
        <v>0</v>
      </c>
      <c r="AN33" s="115">
        <f t="shared" si="41"/>
        <v>0</v>
      </c>
      <c r="AO33" s="115">
        <f t="shared" si="41"/>
        <v>0</v>
      </c>
      <c r="AP33" s="115">
        <f t="shared" si="41"/>
        <v>0</v>
      </c>
      <c r="AQ33" s="115">
        <f t="shared" si="41"/>
        <v>0</v>
      </c>
      <c r="AR33" s="115">
        <f t="shared" si="41"/>
        <v>0</v>
      </c>
      <c r="AS33" s="115">
        <f t="shared" si="41"/>
        <v>0</v>
      </c>
      <c r="AT33" s="115">
        <f t="shared" si="42"/>
        <v>0</v>
      </c>
      <c r="AU33" s="115">
        <f t="shared" si="42"/>
        <v>0</v>
      </c>
      <c r="AV33" s="115" t="e">
        <f t="shared" si="42"/>
        <v>#VALUE!</v>
      </c>
      <c r="AW33" s="115" t="e">
        <f t="shared" si="42"/>
        <v>#VALUE!</v>
      </c>
      <c r="AX33" s="115" t="e">
        <f t="shared" si="42"/>
        <v>#VALUE!</v>
      </c>
      <c r="AY33" s="115" t="e">
        <f t="shared" si="42"/>
        <v>#VALUE!</v>
      </c>
      <c r="AZ33" s="115" t="e">
        <f t="shared" si="42"/>
        <v>#VALUE!</v>
      </c>
      <c r="BA33" s="115" t="e">
        <f t="shared" si="42"/>
        <v>#VALUE!</v>
      </c>
      <c r="BB33" s="115" t="e">
        <f t="shared" si="42"/>
        <v>#VALUE!</v>
      </c>
      <c r="BC33" s="115" t="e">
        <f t="shared" si="42"/>
        <v>#VALUE!</v>
      </c>
      <c r="BD33" s="115" t="e">
        <f t="shared" si="43"/>
        <v>#VALUE!</v>
      </c>
      <c r="BE33" s="115" t="e">
        <f t="shared" si="43"/>
        <v>#VALUE!</v>
      </c>
      <c r="BF33" s="115" t="e">
        <f t="shared" si="43"/>
        <v>#VALUE!</v>
      </c>
      <c r="BG33" s="115" t="e">
        <f t="shared" si="43"/>
        <v>#VALUE!</v>
      </c>
      <c r="BH33" s="115" t="e">
        <f t="shared" si="43"/>
        <v>#VALUE!</v>
      </c>
      <c r="BI33" s="115" t="e">
        <f t="shared" si="43"/>
        <v>#VALUE!</v>
      </c>
      <c r="BJ33" s="115" t="e">
        <f t="shared" si="43"/>
        <v>#VALUE!</v>
      </c>
      <c r="BK33" s="115" t="e">
        <f t="shared" si="43"/>
        <v>#VALUE!</v>
      </c>
      <c r="BL33" s="115" t="e">
        <f t="shared" si="43"/>
        <v>#VALUE!</v>
      </c>
      <c r="BM33" s="115" t="e">
        <f t="shared" si="43"/>
        <v>#VALUE!</v>
      </c>
      <c r="BN33" s="115" t="e">
        <f t="shared" si="44"/>
        <v>#VALUE!</v>
      </c>
      <c r="BO33" s="115" t="e">
        <f t="shared" si="44"/>
        <v>#VALUE!</v>
      </c>
      <c r="BP33" s="115" t="e">
        <f t="shared" si="44"/>
        <v>#VALUE!</v>
      </c>
      <c r="BQ33" s="115" t="e">
        <f t="shared" si="44"/>
        <v>#VALUE!</v>
      </c>
      <c r="BR33" s="115" t="e">
        <f t="shared" si="44"/>
        <v>#VALUE!</v>
      </c>
      <c r="BS33" s="115" t="e">
        <f t="shared" si="44"/>
        <v>#VALUE!</v>
      </c>
      <c r="BT33" s="115" t="e">
        <f t="shared" si="44"/>
        <v>#VALUE!</v>
      </c>
      <c r="BU33" s="115" t="e">
        <f t="shared" si="44"/>
        <v>#VALUE!</v>
      </c>
      <c r="BV33" s="115" t="e">
        <f t="shared" si="44"/>
        <v>#VALUE!</v>
      </c>
      <c r="BW33" s="115" t="e">
        <f t="shared" si="44"/>
        <v>#VALUE!</v>
      </c>
      <c r="BX33" s="115" t="e">
        <f t="shared" si="45"/>
        <v>#VALUE!</v>
      </c>
      <c r="BY33" s="115" t="e">
        <f t="shared" si="45"/>
        <v>#VALUE!</v>
      </c>
      <c r="BZ33" s="115" t="e">
        <f t="shared" si="45"/>
        <v>#VALUE!</v>
      </c>
      <c r="CA33" s="115" t="e">
        <f t="shared" si="45"/>
        <v>#VALUE!</v>
      </c>
      <c r="CB33" s="115" t="e">
        <f t="shared" si="45"/>
        <v>#VALUE!</v>
      </c>
      <c r="CC33" s="115" t="e">
        <f t="shared" si="45"/>
        <v>#VALUE!</v>
      </c>
      <c r="CD33" s="115" t="e">
        <f t="shared" si="45"/>
        <v>#VALUE!</v>
      </c>
      <c r="CE33" s="115" t="e">
        <f t="shared" si="45"/>
        <v>#VALUE!</v>
      </c>
      <c r="CF33" s="115" t="e">
        <f t="shared" si="45"/>
        <v>#VALUE!</v>
      </c>
      <c r="CG33" s="115" t="e">
        <f t="shared" si="45"/>
        <v>#VALUE!</v>
      </c>
      <c r="CH33" s="115" t="e">
        <f t="shared" si="46"/>
        <v>#VALUE!</v>
      </c>
      <c r="CI33" s="115" t="e">
        <f t="shared" si="46"/>
        <v>#VALUE!</v>
      </c>
      <c r="CJ33" s="115" t="e">
        <f t="shared" si="46"/>
        <v>#VALUE!</v>
      </c>
      <c r="CK33" s="115" t="e">
        <f t="shared" si="46"/>
        <v>#VALUE!</v>
      </c>
      <c r="CL33" s="115" t="e">
        <f t="shared" si="46"/>
        <v>#VALUE!</v>
      </c>
      <c r="CM33" s="115" t="e">
        <f t="shared" si="46"/>
        <v>#VALUE!</v>
      </c>
      <c r="CN33" s="115" t="e">
        <f t="shared" si="46"/>
        <v>#VALUE!</v>
      </c>
      <c r="CO33" s="115" t="e">
        <f t="shared" si="46"/>
        <v>#VALUE!</v>
      </c>
      <c r="CP33" s="115" t="e">
        <f t="shared" si="46"/>
        <v>#VALUE!</v>
      </c>
      <c r="CQ33" s="115" t="e">
        <f t="shared" si="46"/>
        <v>#VALUE!</v>
      </c>
      <c r="CR33" s="115" t="e">
        <f t="shared" si="47"/>
        <v>#VALUE!</v>
      </c>
      <c r="CS33" s="115" t="e">
        <f t="shared" si="47"/>
        <v>#VALUE!</v>
      </c>
      <c r="CT33" s="115" t="e">
        <f t="shared" si="47"/>
        <v>#VALUE!</v>
      </c>
      <c r="CU33" s="115" t="e">
        <f t="shared" si="47"/>
        <v>#VALUE!</v>
      </c>
      <c r="CV33" s="115" t="e">
        <f t="shared" si="47"/>
        <v>#VALUE!</v>
      </c>
      <c r="CW33" s="115" t="e">
        <f t="shared" si="47"/>
        <v>#VALUE!</v>
      </c>
      <c r="CX33" s="115" t="e">
        <f t="shared" si="47"/>
        <v>#VALUE!</v>
      </c>
      <c r="CY33" s="115" t="e">
        <f t="shared" si="47"/>
        <v>#VALUE!</v>
      </c>
      <c r="CZ33" s="115" t="e">
        <f t="shared" si="47"/>
        <v>#VALUE!</v>
      </c>
      <c r="DA33" s="115" t="e">
        <f t="shared" si="47"/>
        <v>#VALUE!</v>
      </c>
      <c r="DB33" s="115" t="e">
        <f t="shared" si="48"/>
        <v>#VALUE!</v>
      </c>
      <c r="DC33" s="115" t="e">
        <f t="shared" si="48"/>
        <v>#VALUE!</v>
      </c>
      <c r="DD33" s="115" t="e">
        <f t="shared" si="48"/>
        <v>#VALUE!</v>
      </c>
      <c r="DE33" s="115" t="e">
        <f t="shared" si="48"/>
        <v>#VALUE!</v>
      </c>
      <c r="DF33" s="115" t="e">
        <f t="shared" si="48"/>
        <v>#VALUE!</v>
      </c>
      <c r="DG33" s="115" t="e">
        <f t="shared" si="48"/>
        <v>#VALUE!</v>
      </c>
      <c r="DH33" s="115" t="e">
        <f t="shared" si="48"/>
        <v>#VALUE!</v>
      </c>
      <c r="DI33" s="115" t="e">
        <f t="shared" si="48"/>
        <v>#VALUE!</v>
      </c>
      <c r="DJ33" s="115" t="e">
        <f t="shared" si="48"/>
        <v>#VALUE!</v>
      </c>
      <c r="DK33" s="115" t="e">
        <f t="shared" si="48"/>
        <v>#VALUE!</v>
      </c>
      <c r="DL33" s="115" t="e">
        <f t="shared" si="48"/>
        <v>#VALUE!</v>
      </c>
      <c r="DM33" s="115" t="e">
        <f t="shared" si="48"/>
        <v>#VALUE!</v>
      </c>
    </row>
    <row r="34" spans="1:117" ht="15" customHeight="1" thickBot="1">
      <c r="A34" s="55">
        <v>3500</v>
      </c>
      <c r="B34" s="194" t="s">
        <v>728</v>
      </c>
      <c r="C34" s="194" t="s">
        <v>768</v>
      </c>
      <c r="D34" s="194" t="s">
        <v>229</v>
      </c>
      <c r="E34" s="194"/>
      <c r="F34" s="194" t="s">
        <v>1068</v>
      </c>
      <c r="G34" s="291">
        <f t="shared" si="4"/>
        <v>0</v>
      </c>
      <c r="H34" s="292">
        <f>VLOOKUP("E3.G",Errichtungskosten,12,0)*VLOOKUP("E3Gi",Verwaltung_Technik,5,0)/100</f>
        <v>0</v>
      </c>
      <c r="I34" s="168"/>
      <c r="J34" s="194" t="s">
        <v>727</v>
      </c>
      <c r="K34" s="378" t="s">
        <v>732</v>
      </c>
      <c r="L34" s="379" t="s">
        <v>358</v>
      </c>
      <c r="M34" s="325">
        <f t="shared" si="37"/>
        <v>1.35</v>
      </c>
      <c r="N34" s="380">
        <f t="shared" si="38"/>
        <v>0.99655850540806312</v>
      </c>
      <c r="O34" s="381">
        <f t="shared" si="39"/>
        <v>0</v>
      </c>
      <c r="P34" s="169" t="s">
        <v>103</v>
      </c>
      <c r="Q34" s="114">
        <f t="shared" si="39"/>
        <v>0</v>
      </c>
      <c r="R34" s="115">
        <f t="shared" si="39"/>
        <v>0</v>
      </c>
      <c r="S34" s="115">
        <f t="shared" si="39"/>
        <v>0</v>
      </c>
      <c r="T34" s="115">
        <f t="shared" si="39"/>
        <v>0</v>
      </c>
      <c r="U34" s="115">
        <f t="shared" si="39"/>
        <v>0</v>
      </c>
      <c r="V34" s="115">
        <f t="shared" si="39"/>
        <v>0</v>
      </c>
      <c r="W34" s="115">
        <f t="shared" si="39"/>
        <v>0</v>
      </c>
      <c r="X34" s="115">
        <f t="shared" si="39"/>
        <v>0</v>
      </c>
      <c r="Y34" s="115">
        <f t="shared" si="39"/>
        <v>0</v>
      </c>
      <c r="Z34" s="115">
        <f t="shared" si="40"/>
        <v>0</v>
      </c>
      <c r="AA34" s="115">
        <f t="shared" si="40"/>
        <v>0</v>
      </c>
      <c r="AB34" s="115">
        <f t="shared" si="40"/>
        <v>0</v>
      </c>
      <c r="AC34" s="115">
        <f t="shared" si="40"/>
        <v>0</v>
      </c>
      <c r="AD34" s="115">
        <f t="shared" si="40"/>
        <v>0</v>
      </c>
      <c r="AE34" s="115">
        <f t="shared" si="40"/>
        <v>0</v>
      </c>
      <c r="AF34" s="115">
        <f t="shared" si="40"/>
        <v>0</v>
      </c>
      <c r="AG34" s="115">
        <f t="shared" si="40"/>
        <v>0</v>
      </c>
      <c r="AH34" s="115">
        <f t="shared" si="40"/>
        <v>0</v>
      </c>
      <c r="AI34" s="115">
        <f t="shared" si="40"/>
        <v>0</v>
      </c>
      <c r="AJ34" s="115">
        <f t="shared" si="41"/>
        <v>0</v>
      </c>
      <c r="AK34" s="115">
        <f t="shared" si="41"/>
        <v>0</v>
      </c>
      <c r="AL34" s="115">
        <f t="shared" si="41"/>
        <v>0</v>
      </c>
      <c r="AM34" s="115">
        <f t="shared" si="41"/>
        <v>0</v>
      </c>
      <c r="AN34" s="115">
        <f t="shared" si="41"/>
        <v>0</v>
      </c>
      <c r="AO34" s="115">
        <f t="shared" si="41"/>
        <v>0</v>
      </c>
      <c r="AP34" s="115">
        <f t="shared" si="41"/>
        <v>0</v>
      </c>
      <c r="AQ34" s="115">
        <f t="shared" si="41"/>
        <v>0</v>
      </c>
      <c r="AR34" s="115">
        <f t="shared" si="41"/>
        <v>0</v>
      </c>
      <c r="AS34" s="115">
        <f t="shared" si="41"/>
        <v>0</v>
      </c>
      <c r="AT34" s="115">
        <f t="shared" si="42"/>
        <v>0</v>
      </c>
      <c r="AU34" s="115">
        <f t="shared" si="42"/>
        <v>0</v>
      </c>
      <c r="AV34" s="115" t="e">
        <f t="shared" si="42"/>
        <v>#VALUE!</v>
      </c>
      <c r="AW34" s="115" t="e">
        <f t="shared" si="42"/>
        <v>#VALUE!</v>
      </c>
      <c r="AX34" s="115" t="e">
        <f t="shared" si="42"/>
        <v>#VALUE!</v>
      </c>
      <c r="AY34" s="115" t="e">
        <f t="shared" si="42"/>
        <v>#VALUE!</v>
      </c>
      <c r="AZ34" s="115" t="e">
        <f t="shared" si="42"/>
        <v>#VALUE!</v>
      </c>
      <c r="BA34" s="115" t="e">
        <f t="shared" si="42"/>
        <v>#VALUE!</v>
      </c>
      <c r="BB34" s="115" t="e">
        <f t="shared" si="42"/>
        <v>#VALUE!</v>
      </c>
      <c r="BC34" s="115" t="e">
        <f t="shared" si="42"/>
        <v>#VALUE!</v>
      </c>
      <c r="BD34" s="115" t="e">
        <f t="shared" si="43"/>
        <v>#VALUE!</v>
      </c>
      <c r="BE34" s="115" t="e">
        <f t="shared" si="43"/>
        <v>#VALUE!</v>
      </c>
      <c r="BF34" s="115" t="e">
        <f t="shared" si="43"/>
        <v>#VALUE!</v>
      </c>
      <c r="BG34" s="115" t="e">
        <f t="shared" si="43"/>
        <v>#VALUE!</v>
      </c>
      <c r="BH34" s="115" t="e">
        <f t="shared" si="43"/>
        <v>#VALUE!</v>
      </c>
      <c r="BI34" s="115" t="e">
        <f t="shared" si="43"/>
        <v>#VALUE!</v>
      </c>
      <c r="BJ34" s="115" t="e">
        <f t="shared" si="43"/>
        <v>#VALUE!</v>
      </c>
      <c r="BK34" s="115" t="e">
        <f t="shared" si="43"/>
        <v>#VALUE!</v>
      </c>
      <c r="BL34" s="115" t="e">
        <f t="shared" si="43"/>
        <v>#VALUE!</v>
      </c>
      <c r="BM34" s="115" t="e">
        <f t="shared" si="43"/>
        <v>#VALUE!</v>
      </c>
      <c r="BN34" s="115" t="e">
        <f t="shared" si="44"/>
        <v>#VALUE!</v>
      </c>
      <c r="BO34" s="115" t="e">
        <f t="shared" si="44"/>
        <v>#VALUE!</v>
      </c>
      <c r="BP34" s="115" t="e">
        <f t="shared" si="44"/>
        <v>#VALUE!</v>
      </c>
      <c r="BQ34" s="115" t="e">
        <f t="shared" si="44"/>
        <v>#VALUE!</v>
      </c>
      <c r="BR34" s="115" t="e">
        <f t="shared" si="44"/>
        <v>#VALUE!</v>
      </c>
      <c r="BS34" s="115" t="e">
        <f t="shared" si="44"/>
        <v>#VALUE!</v>
      </c>
      <c r="BT34" s="115" t="e">
        <f t="shared" si="44"/>
        <v>#VALUE!</v>
      </c>
      <c r="BU34" s="115" t="e">
        <f t="shared" si="44"/>
        <v>#VALUE!</v>
      </c>
      <c r="BV34" s="115" t="e">
        <f t="shared" si="44"/>
        <v>#VALUE!</v>
      </c>
      <c r="BW34" s="115" t="e">
        <f t="shared" si="44"/>
        <v>#VALUE!</v>
      </c>
      <c r="BX34" s="115" t="e">
        <f t="shared" si="45"/>
        <v>#VALUE!</v>
      </c>
      <c r="BY34" s="115" t="e">
        <f t="shared" si="45"/>
        <v>#VALUE!</v>
      </c>
      <c r="BZ34" s="115" t="e">
        <f t="shared" si="45"/>
        <v>#VALUE!</v>
      </c>
      <c r="CA34" s="115" t="e">
        <f t="shared" si="45"/>
        <v>#VALUE!</v>
      </c>
      <c r="CB34" s="115" t="e">
        <f t="shared" si="45"/>
        <v>#VALUE!</v>
      </c>
      <c r="CC34" s="115" t="e">
        <f t="shared" si="45"/>
        <v>#VALUE!</v>
      </c>
      <c r="CD34" s="115" t="e">
        <f t="shared" si="45"/>
        <v>#VALUE!</v>
      </c>
      <c r="CE34" s="115" t="e">
        <f t="shared" si="45"/>
        <v>#VALUE!</v>
      </c>
      <c r="CF34" s="115" t="e">
        <f t="shared" si="45"/>
        <v>#VALUE!</v>
      </c>
      <c r="CG34" s="115" t="e">
        <f t="shared" si="45"/>
        <v>#VALUE!</v>
      </c>
      <c r="CH34" s="115" t="e">
        <f t="shared" si="46"/>
        <v>#VALUE!</v>
      </c>
      <c r="CI34" s="115" t="e">
        <f t="shared" si="46"/>
        <v>#VALUE!</v>
      </c>
      <c r="CJ34" s="115" t="e">
        <f t="shared" si="46"/>
        <v>#VALUE!</v>
      </c>
      <c r="CK34" s="115" t="e">
        <f t="shared" si="46"/>
        <v>#VALUE!</v>
      </c>
      <c r="CL34" s="115" t="e">
        <f t="shared" si="46"/>
        <v>#VALUE!</v>
      </c>
      <c r="CM34" s="115" t="e">
        <f t="shared" si="46"/>
        <v>#VALUE!</v>
      </c>
      <c r="CN34" s="115" t="e">
        <f t="shared" si="46"/>
        <v>#VALUE!</v>
      </c>
      <c r="CO34" s="115" t="e">
        <f t="shared" si="46"/>
        <v>#VALUE!</v>
      </c>
      <c r="CP34" s="115" t="e">
        <f t="shared" si="46"/>
        <v>#VALUE!</v>
      </c>
      <c r="CQ34" s="115" t="e">
        <f t="shared" si="46"/>
        <v>#VALUE!</v>
      </c>
      <c r="CR34" s="115" t="e">
        <f t="shared" si="47"/>
        <v>#VALUE!</v>
      </c>
      <c r="CS34" s="115" t="e">
        <f t="shared" si="47"/>
        <v>#VALUE!</v>
      </c>
      <c r="CT34" s="115" t="e">
        <f t="shared" si="47"/>
        <v>#VALUE!</v>
      </c>
      <c r="CU34" s="115" t="e">
        <f t="shared" si="47"/>
        <v>#VALUE!</v>
      </c>
      <c r="CV34" s="115" t="e">
        <f t="shared" si="47"/>
        <v>#VALUE!</v>
      </c>
      <c r="CW34" s="115" t="e">
        <f t="shared" si="47"/>
        <v>#VALUE!</v>
      </c>
      <c r="CX34" s="115" t="e">
        <f t="shared" si="47"/>
        <v>#VALUE!</v>
      </c>
      <c r="CY34" s="115" t="e">
        <f t="shared" si="47"/>
        <v>#VALUE!</v>
      </c>
      <c r="CZ34" s="115" t="e">
        <f t="shared" si="47"/>
        <v>#VALUE!</v>
      </c>
      <c r="DA34" s="115" t="e">
        <f t="shared" si="47"/>
        <v>#VALUE!</v>
      </c>
      <c r="DB34" s="115" t="e">
        <f t="shared" si="48"/>
        <v>#VALUE!</v>
      </c>
      <c r="DC34" s="115" t="e">
        <f t="shared" si="48"/>
        <v>#VALUE!</v>
      </c>
      <c r="DD34" s="115" t="e">
        <f t="shared" si="48"/>
        <v>#VALUE!</v>
      </c>
      <c r="DE34" s="115" t="e">
        <f t="shared" si="48"/>
        <v>#VALUE!</v>
      </c>
      <c r="DF34" s="115" t="e">
        <f t="shared" si="48"/>
        <v>#VALUE!</v>
      </c>
      <c r="DG34" s="115" t="e">
        <f t="shared" si="48"/>
        <v>#VALUE!</v>
      </c>
      <c r="DH34" s="115" t="e">
        <f t="shared" si="48"/>
        <v>#VALUE!</v>
      </c>
      <c r="DI34" s="115" t="e">
        <f t="shared" si="48"/>
        <v>#VALUE!</v>
      </c>
      <c r="DJ34" s="115" t="e">
        <f t="shared" si="48"/>
        <v>#VALUE!</v>
      </c>
      <c r="DK34" s="115" t="e">
        <f t="shared" si="48"/>
        <v>#VALUE!</v>
      </c>
      <c r="DL34" s="115" t="e">
        <f t="shared" si="48"/>
        <v>#VALUE!</v>
      </c>
      <c r="DM34" s="115" t="e">
        <f t="shared" si="48"/>
        <v>#VALUE!</v>
      </c>
    </row>
    <row r="35" spans="1:117" ht="15" customHeight="1" thickBot="1">
      <c r="A35" s="55">
        <v>3600</v>
      </c>
      <c r="B35" s="194" t="s">
        <v>728</v>
      </c>
      <c r="C35" s="194" t="s">
        <v>769</v>
      </c>
      <c r="D35" s="194" t="s">
        <v>210</v>
      </c>
      <c r="E35" s="194"/>
      <c r="F35" s="194" t="s">
        <v>1069</v>
      </c>
      <c r="G35" s="291">
        <f t="shared" si="4"/>
        <v>0</v>
      </c>
      <c r="H35" s="292">
        <f>VLOOKUP("E3.H",Errichtungskosten,12,0)*VLOOKUP("E3Hi",Verwaltung_Technik,5,0)/100</f>
        <v>0</v>
      </c>
      <c r="I35" s="168"/>
      <c r="J35" s="194" t="s">
        <v>727</v>
      </c>
      <c r="K35" s="378" t="s">
        <v>732</v>
      </c>
      <c r="L35" s="379" t="s">
        <v>358</v>
      </c>
      <c r="M35" s="325">
        <f t="shared" si="37"/>
        <v>1.35</v>
      </c>
      <c r="N35" s="380">
        <f t="shared" si="38"/>
        <v>0.99655850540806312</v>
      </c>
      <c r="O35" s="381">
        <f t="shared" si="39"/>
        <v>0</v>
      </c>
      <c r="P35" s="169" t="s">
        <v>103</v>
      </c>
      <c r="Q35" s="114">
        <f t="shared" si="39"/>
        <v>0</v>
      </c>
      <c r="R35" s="115">
        <f t="shared" si="39"/>
        <v>0</v>
      </c>
      <c r="S35" s="115">
        <f t="shared" si="39"/>
        <v>0</v>
      </c>
      <c r="T35" s="115">
        <f t="shared" si="39"/>
        <v>0</v>
      </c>
      <c r="U35" s="115">
        <f t="shared" si="39"/>
        <v>0</v>
      </c>
      <c r="V35" s="115">
        <f t="shared" si="39"/>
        <v>0</v>
      </c>
      <c r="W35" s="115">
        <f t="shared" si="39"/>
        <v>0</v>
      </c>
      <c r="X35" s="115">
        <f t="shared" si="39"/>
        <v>0</v>
      </c>
      <c r="Y35" s="115">
        <f t="shared" si="39"/>
        <v>0</v>
      </c>
      <c r="Z35" s="115">
        <f t="shared" si="40"/>
        <v>0</v>
      </c>
      <c r="AA35" s="115">
        <f t="shared" si="40"/>
        <v>0</v>
      </c>
      <c r="AB35" s="115">
        <f t="shared" si="40"/>
        <v>0</v>
      </c>
      <c r="AC35" s="115">
        <f t="shared" si="40"/>
        <v>0</v>
      </c>
      <c r="AD35" s="115">
        <f t="shared" si="40"/>
        <v>0</v>
      </c>
      <c r="AE35" s="115">
        <f t="shared" si="40"/>
        <v>0</v>
      </c>
      <c r="AF35" s="115">
        <f t="shared" si="40"/>
        <v>0</v>
      </c>
      <c r="AG35" s="115">
        <f t="shared" si="40"/>
        <v>0</v>
      </c>
      <c r="AH35" s="115">
        <f t="shared" si="40"/>
        <v>0</v>
      </c>
      <c r="AI35" s="115">
        <f t="shared" si="40"/>
        <v>0</v>
      </c>
      <c r="AJ35" s="115">
        <f t="shared" si="41"/>
        <v>0</v>
      </c>
      <c r="AK35" s="115">
        <f t="shared" si="41"/>
        <v>0</v>
      </c>
      <c r="AL35" s="115">
        <f t="shared" si="41"/>
        <v>0</v>
      </c>
      <c r="AM35" s="115">
        <f t="shared" si="41"/>
        <v>0</v>
      </c>
      <c r="AN35" s="115">
        <f t="shared" si="41"/>
        <v>0</v>
      </c>
      <c r="AO35" s="115">
        <f t="shared" si="41"/>
        <v>0</v>
      </c>
      <c r="AP35" s="115">
        <f t="shared" si="41"/>
        <v>0</v>
      </c>
      <c r="AQ35" s="115">
        <f t="shared" si="41"/>
        <v>0</v>
      </c>
      <c r="AR35" s="115">
        <f t="shared" si="41"/>
        <v>0</v>
      </c>
      <c r="AS35" s="115">
        <f t="shared" si="41"/>
        <v>0</v>
      </c>
      <c r="AT35" s="115">
        <f t="shared" si="42"/>
        <v>0</v>
      </c>
      <c r="AU35" s="115">
        <f t="shared" si="42"/>
        <v>0</v>
      </c>
      <c r="AV35" s="115" t="e">
        <f t="shared" si="42"/>
        <v>#VALUE!</v>
      </c>
      <c r="AW35" s="115" t="e">
        <f t="shared" si="42"/>
        <v>#VALUE!</v>
      </c>
      <c r="AX35" s="115" t="e">
        <f t="shared" si="42"/>
        <v>#VALUE!</v>
      </c>
      <c r="AY35" s="115" t="e">
        <f t="shared" si="42"/>
        <v>#VALUE!</v>
      </c>
      <c r="AZ35" s="115" t="e">
        <f t="shared" si="42"/>
        <v>#VALUE!</v>
      </c>
      <c r="BA35" s="115" t="e">
        <f t="shared" si="42"/>
        <v>#VALUE!</v>
      </c>
      <c r="BB35" s="115" t="e">
        <f t="shared" si="42"/>
        <v>#VALUE!</v>
      </c>
      <c r="BC35" s="115" t="e">
        <f t="shared" si="42"/>
        <v>#VALUE!</v>
      </c>
      <c r="BD35" s="115" t="e">
        <f t="shared" si="43"/>
        <v>#VALUE!</v>
      </c>
      <c r="BE35" s="115" t="e">
        <f t="shared" si="43"/>
        <v>#VALUE!</v>
      </c>
      <c r="BF35" s="115" t="e">
        <f t="shared" si="43"/>
        <v>#VALUE!</v>
      </c>
      <c r="BG35" s="115" t="e">
        <f t="shared" si="43"/>
        <v>#VALUE!</v>
      </c>
      <c r="BH35" s="115" t="e">
        <f t="shared" si="43"/>
        <v>#VALUE!</v>
      </c>
      <c r="BI35" s="115" t="e">
        <f t="shared" si="43"/>
        <v>#VALUE!</v>
      </c>
      <c r="BJ35" s="115" t="e">
        <f t="shared" si="43"/>
        <v>#VALUE!</v>
      </c>
      <c r="BK35" s="115" t="e">
        <f t="shared" si="43"/>
        <v>#VALUE!</v>
      </c>
      <c r="BL35" s="115" t="e">
        <f t="shared" si="43"/>
        <v>#VALUE!</v>
      </c>
      <c r="BM35" s="115" t="e">
        <f t="shared" si="43"/>
        <v>#VALUE!</v>
      </c>
      <c r="BN35" s="115" t="e">
        <f t="shared" si="44"/>
        <v>#VALUE!</v>
      </c>
      <c r="BO35" s="115" t="e">
        <f t="shared" si="44"/>
        <v>#VALUE!</v>
      </c>
      <c r="BP35" s="115" t="e">
        <f t="shared" si="44"/>
        <v>#VALUE!</v>
      </c>
      <c r="BQ35" s="115" t="e">
        <f t="shared" si="44"/>
        <v>#VALUE!</v>
      </c>
      <c r="BR35" s="115" t="e">
        <f t="shared" si="44"/>
        <v>#VALUE!</v>
      </c>
      <c r="BS35" s="115" t="e">
        <f t="shared" si="44"/>
        <v>#VALUE!</v>
      </c>
      <c r="BT35" s="115" t="e">
        <f t="shared" si="44"/>
        <v>#VALUE!</v>
      </c>
      <c r="BU35" s="115" t="e">
        <f t="shared" si="44"/>
        <v>#VALUE!</v>
      </c>
      <c r="BV35" s="115" t="e">
        <f t="shared" si="44"/>
        <v>#VALUE!</v>
      </c>
      <c r="BW35" s="115" t="e">
        <f t="shared" si="44"/>
        <v>#VALUE!</v>
      </c>
      <c r="BX35" s="115" t="e">
        <f t="shared" si="45"/>
        <v>#VALUE!</v>
      </c>
      <c r="BY35" s="115" t="e">
        <f t="shared" si="45"/>
        <v>#VALUE!</v>
      </c>
      <c r="BZ35" s="115" t="e">
        <f t="shared" si="45"/>
        <v>#VALUE!</v>
      </c>
      <c r="CA35" s="115" t="e">
        <f t="shared" si="45"/>
        <v>#VALUE!</v>
      </c>
      <c r="CB35" s="115" t="e">
        <f t="shared" si="45"/>
        <v>#VALUE!</v>
      </c>
      <c r="CC35" s="115" t="e">
        <f t="shared" si="45"/>
        <v>#VALUE!</v>
      </c>
      <c r="CD35" s="115" t="e">
        <f t="shared" si="45"/>
        <v>#VALUE!</v>
      </c>
      <c r="CE35" s="115" t="e">
        <f t="shared" si="45"/>
        <v>#VALUE!</v>
      </c>
      <c r="CF35" s="115" t="e">
        <f t="shared" si="45"/>
        <v>#VALUE!</v>
      </c>
      <c r="CG35" s="115" t="e">
        <f t="shared" si="45"/>
        <v>#VALUE!</v>
      </c>
      <c r="CH35" s="115" t="e">
        <f t="shared" si="46"/>
        <v>#VALUE!</v>
      </c>
      <c r="CI35" s="115" t="e">
        <f t="shared" si="46"/>
        <v>#VALUE!</v>
      </c>
      <c r="CJ35" s="115" t="e">
        <f t="shared" si="46"/>
        <v>#VALUE!</v>
      </c>
      <c r="CK35" s="115" t="e">
        <f t="shared" si="46"/>
        <v>#VALUE!</v>
      </c>
      <c r="CL35" s="115" t="e">
        <f t="shared" si="46"/>
        <v>#VALUE!</v>
      </c>
      <c r="CM35" s="115" t="e">
        <f t="shared" si="46"/>
        <v>#VALUE!</v>
      </c>
      <c r="CN35" s="115" t="e">
        <f t="shared" si="46"/>
        <v>#VALUE!</v>
      </c>
      <c r="CO35" s="115" t="e">
        <f t="shared" si="46"/>
        <v>#VALUE!</v>
      </c>
      <c r="CP35" s="115" t="e">
        <f t="shared" si="46"/>
        <v>#VALUE!</v>
      </c>
      <c r="CQ35" s="115" t="e">
        <f t="shared" si="46"/>
        <v>#VALUE!</v>
      </c>
      <c r="CR35" s="115" t="e">
        <f t="shared" si="47"/>
        <v>#VALUE!</v>
      </c>
      <c r="CS35" s="115" t="e">
        <f t="shared" si="47"/>
        <v>#VALUE!</v>
      </c>
      <c r="CT35" s="115" t="e">
        <f t="shared" si="47"/>
        <v>#VALUE!</v>
      </c>
      <c r="CU35" s="115" t="e">
        <f t="shared" si="47"/>
        <v>#VALUE!</v>
      </c>
      <c r="CV35" s="115" t="e">
        <f t="shared" si="47"/>
        <v>#VALUE!</v>
      </c>
      <c r="CW35" s="115" t="e">
        <f t="shared" si="47"/>
        <v>#VALUE!</v>
      </c>
      <c r="CX35" s="115" t="e">
        <f t="shared" si="47"/>
        <v>#VALUE!</v>
      </c>
      <c r="CY35" s="115" t="e">
        <f t="shared" si="47"/>
        <v>#VALUE!</v>
      </c>
      <c r="CZ35" s="115" t="e">
        <f t="shared" si="47"/>
        <v>#VALUE!</v>
      </c>
      <c r="DA35" s="115" t="e">
        <f t="shared" si="47"/>
        <v>#VALUE!</v>
      </c>
      <c r="DB35" s="115" t="e">
        <f t="shared" si="48"/>
        <v>#VALUE!</v>
      </c>
      <c r="DC35" s="115" t="e">
        <f t="shared" si="48"/>
        <v>#VALUE!</v>
      </c>
      <c r="DD35" s="115" t="e">
        <f t="shared" si="48"/>
        <v>#VALUE!</v>
      </c>
      <c r="DE35" s="115" t="e">
        <f t="shared" si="48"/>
        <v>#VALUE!</v>
      </c>
      <c r="DF35" s="115" t="e">
        <f t="shared" si="48"/>
        <v>#VALUE!</v>
      </c>
      <c r="DG35" s="115" t="e">
        <f t="shared" si="48"/>
        <v>#VALUE!</v>
      </c>
      <c r="DH35" s="115" t="e">
        <f t="shared" si="48"/>
        <v>#VALUE!</v>
      </c>
      <c r="DI35" s="115" t="e">
        <f t="shared" si="48"/>
        <v>#VALUE!</v>
      </c>
      <c r="DJ35" s="115" t="e">
        <f t="shared" si="48"/>
        <v>#VALUE!</v>
      </c>
      <c r="DK35" s="115" t="e">
        <f t="shared" si="48"/>
        <v>#VALUE!</v>
      </c>
      <c r="DL35" s="115" t="e">
        <f t="shared" si="48"/>
        <v>#VALUE!</v>
      </c>
      <c r="DM35" s="115" t="e">
        <f t="shared" si="48"/>
        <v>#VALUE!</v>
      </c>
    </row>
    <row r="36" spans="1:117" ht="15" customHeight="1" thickBot="1">
      <c r="A36" s="55">
        <v>3700</v>
      </c>
      <c r="B36" s="194" t="s">
        <v>728</v>
      </c>
      <c r="C36" s="194" t="s">
        <v>770</v>
      </c>
      <c r="D36" s="194" t="s">
        <v>204</v>
      </c>
      <c r="E36" s="194"/>
      <c r="F36" s="194" t="s">
        <v>1070</v>
      </c>
      <c r="G36" s="291">
        <f t="shared" si="4"/>
        <v>0</v>
      </c>
      <c r="H36" s="292">
        <f>VLOOKUP("E3.I",Errichtungskosten,12,0)*VLOOKUP("E3Ii",Verwaltung_Technik,5,0)/100</f>
        <v>0</v>
      </c>
      <c r="I36" s="168"/>
      <c r="J36" s="194" t="s">
        <v>727</v>
      </c>
      <c r="K36" s="378" t="s">
        <v>732</v>
      </c>
      <c r="L36" s="379" t="s">
        <v>356</v>
      </c>
      <c r="M36" s="325">
        <f t="shared" si="37"/>
        <v>2.77</v>
      </c>
      <c r="N36" s="380">
        <f t="shared" si="38"/>
        <v>1.0105211406096364</v>
      </c>
      <c r="O36" s="381">
        <f t="shared" si="39"/>
        <v>0</v>
      </c>
      <c r="P36" s="169" t="s">
        <v>103</v>
      </c>
      <c r="Q36" s="114">
        <f t="shared" si="39"/>
        <v>0</v>
      </c>
      <c r="R36" s="115">
        <f t="shared" si="39"/>
        <v>0</v>
      </c>
      <c r="S36" s="115">
        <f t="shared" si="39"/>
        <v>0</v>
      </c>
      <c r="T36" s="115">
        <f t="shared" si="39"/>
        <v>0</v>
      </c>
      <c r="U36" s="115">
        <f t="shared" si="39"/>
        <v>0</v>
      </c>
      <c r="V36" s="115">
        <f t="shared" si="39"/>
        <v>0</v>
      </c>
      <c r="W36" s="115">
        <f t="shared" si="39"/>
        <v>0</v>
      </c>
      <c r="X36" s="115">
        <f t="shared" si="39"/>
        <v>0</v>
      </c>
      <c r="Y36" s="115">
        <f t="shared" si="39"/>
        <v>0</v>
      </c>
      <c r="Z36" s="115">
        <f t="shared" si="40"/>
        <v>0</v>
      </c>
      <c r="AA36" s="115">
        <f t="shared" si="40"/>
        <v>0</v>
      </c>
      <c r="AB36" s="115">
        <f t="shared" si="40"/>
        <v>0</v>
      </c>
      <c r="AC36" s="115">
        <f t="shared" si="40"/>
        <v>0</v>
      </c>
      <c r="AD36" s="115">
        <f t="shared" si="40"/>
        <v>0</v>
      </c>
      <c r="AE36" s="115">
        <f t="shared" si="40"/>
        <v>0</v>
      </c>
      <c r="AF36" s="115">
        <f t="shared" si="40"/>
        <v>0</v>
      </c>
      <c r="AG36" s="115">
        <f t="shared" si="40"/>
        <v>0</v>
      </c>
      <c r="AH36" s="115">
        <f t="shared" si="40"/>
        <v>0</v>
      </c>
      <c r="AI36" s="115">
        <f t="shared" si="40"/>
        <v>0</v>
      </c>
      <c r="AJ36" s="115">
        <f t="shared" si="41"/>
        <v>0</v>
      </c>
      <c r="AK36" s="115">
        <f t="shared" si="41"/>
        <v>0</v>
      </c>
      <c r="AL36" s="115">
        <f t="shared" si="41"/>
        <v>0</v>
      </c>
      <c r="AM36" s="115">
        <f t="shared" si="41"/>
        <v>0</v>
      </c>
      <c r="AN36" s="115">
        <f t="shared" si="41"/>
        <v>0</v>
      </c>
      <c r="AO36" s="115">
        <f t="shared" si="41"/>
        <v>0</v>
      </c>
      <c r="AP36" s="115">
        <f t="shared" si="41"/>
        <v>0</v>
      </c>
      <c r="AQ36" s="115">
        <f t="shared" si="41"/>
        <v>0</v>
      </c>
      <c r="AR36" s="115">
        <f t="shared" si="41"/>
        <v>0</v>
      </c>
      <c r="AS36" s="115">
        <f t="shared" si="41"/>
        <v>0</v>
      </c>
      <c r="AT36" s="115">
        <f t="shared" si="42"/>
        <v>0</v>
      </c>
      <c r="AU36" s="115">
        <f t="shared" si="42"/>
        <v>0</v>
      </c>
      <c r="AV36" s="115" t="e">
        <f t="shared" si="42"/>
        <v>#VALUE!</v>
      </c>
      <c r="AW36" s="115" t="e">
        <f t="shared" si="42"/>
        <v>#VALUE!</v>
      </c>
      <c r="AX36" s="115" t="e">
        <f t="shared" si="42"/>
        <v>#VALUE!</v>
      </c>
      <c r="AY36" s="115" t="e">
        <f t="shared" si="42"/>
        <v>#VALUE!</v>
      </c>
      <c r="AZ36" s="115" t="e">
        <f t="shared" si="42"/>
        <v>#VALUE!</v>
      </c>
      <c r="BA36" s="115" t="e">
        <f t="shared" si="42"/>
        <v>#VALUE!</v>
      </c>
      <c r="BB36" s="115" t="e">
        <f t="shared" si="42"/>
        <v>#VALUE!</v>
      </c>
      <c r="BC36" s="115" t="e">
        <f t="shared" si="42"/>
        <v>#VALUE!</v>
      </c>
      <c r="BD36" s="115" t="e">
        <f t="shared" si="43"/>
        <v>#VALUE!</v>
      </c>
      <c r="BE36" s="115" t="e">
        <f t="shared" si="43"/>
        <v>#VALUE!</v>
      </c>
      <c r="BF36" s="115" t="e">
        <f t="shared" si="43"/>
        <v>#VALUE!</v>
      </c>
      <c r="BG36" s="115" t="e">
        <f t="shared" si="43"/>
        <v>#VALUE!</v>
      </c>
      <c r="BH36" s="115" t="e">
        <f t="shared" si="43"/>
        <v>#VALUE!</v>
      </c>
      <c r="BI36" s="115" t="e">
        <f t="shared" si="43"/>
        <v>#VALUE!</v>
      </c>
      <c r="BJ36" s="115" t="e">
        <f t="shared" si="43"/>
        <v>#VALUE!</v>
      </c>
      <c r="BK36" s="115" t="e">
        <f t="shared" si="43"/>
        <v>#VALUE!</v>
      </c>
      <c r="BL36" s="115" t="e">
        <f t="shared" si="43"/>
        <v>#VALUE!</v>
      </c>
      <c r="BM36" s="115" t="e">
        <f t="shared" si="43"/>
        <v>#VALUE!</v>
      </c>
      <c r="BN36" s="115" t="e">
        <f t="shared" si="44"/>
        <v>#VALUE!</v>
      </c>
      <c r="BO36" s="115" t="e">
        <f t="shared" si="44"/>
        <v>#VALUE!</v>
      </c>
      <c r="BP36" s="115" t="e">
        <f t="shared" si="44"/>
        <v>#VALUE!</v>
      </c>
      <c r="BQ36" s="115" t="e">
        <f t="shared" si="44"/>
        <v>#VALUE!</v>
      </c>
      <c r="BR36" s="115" t="e">
        <f t="shared" si="44"/>
        <v>#VALUE!</v>
      </c>
      <c r="BS36" s="115" t="e">
        <f t="shared" si="44"/>
        <v>#VALUE!</v>
      </c>
      <c r="BT36" s="115" t="e">
        <f t="shared" si="44"/>
        <v>#VALUE!</v>
      </c>
      <c r="BU36" s="115" t="e">
        <f t="shared" si="44"/>
        <v>#VALUE!</v>
      </c>
      <c r="BV36" s="115" t="e">
        <f t="shared" si="44"/>
        <v>#VALUE!</v>
      </c>
      <c r="BW36" s="115" t="e">
        <f t="shared" si="44"/>
        <v>#VALUE!</v>
      </c>
      <c r="BX36" s="115" t="e">
        <f t="shared" si="45"/>
        <v>#VALUE!</v>
      </c>
      <c r="BY36" s="115" t="e">
        <f t="shared" si="45"/>
        <v>#VALUE!</v>
      </c>
      <c r="BZ36" s="115" t="e">
        <f t="shared" si="45"/>
        <v>#VALUE!</v>
      </c>
      <c r="CA36" s="115" t="e">
        <f t="shared" si="45"/>
        <v>#VALUE!</v>
      </c>
      <c r="CB36" s="115" t="e">
        <f t="shared" si="45"/>
        <v>#VALUE!</v>
      </c>
      <c r="CC36" s="115" t="e">
        <f t="shared" si="45"/>
        <v>#VALUE!</v>
      </c>
      <c r="CD36" s="115" t="e">
        <f t="shared" si="45"/>
        <v>#VALUE!</v>
      </c>
      <c r="CE36" s="115" t="e">
        <f t="shared" si="45"/>
        <v>#VALUE!</v>
      </c>
      <c r="CF36" s="115" t="e">
        <f t="shared" si="45"/>
        <v>#VALUE!</v>
      </c>
      <c r="CG36" s="115" t="e">
        <f t="shared" si="45"/>
        <v>#VALUE!</v>
      </c>
      <c r="CH36" s="115" t="e">
        <f t="shared" si="46"/>
        <v>#VALUE!</v>
      </c>
      <c r="CI36" s="115" t="e">
        <f t="shared" si="46"/>
        <v>#VALUE!</v>
      </c>
      <c r="CJ36" s="115" t="e">
        <f t="shared" si="46"/>
        <v>#VALUE!</v>
      </c>
      <c r="CK36" s="115" t="e">
        <f t="shared" si="46"/>
        <v>#VALUE!</v>
      </c>
      <c r="CL36" s="115" t="e">
        <f t="shared" si="46"/>
        <v>#VALUE!</v>
      </c>
      <c r="CM36" s="115" t="e">
        <f t="shared" si="46"/>
        <v>#VALUE!</v>
      </c>
      <c r="CN36" s="115" t="e">
        <f t="shared" si="46"/>
        <v>#VALUE!</v>
      </c>
      <c r="CO36" s="115" t="e">
        <f t="shared" si="46"/>
        <v>#VALUE!</v>
      </c>
      <c r="CP36" s="115" t="e">
        <f t="shared" si="46"/>
        <v>#VALUE!</v>
      </c>
      <c r="CQ36" s="115" t="e">
        <f t="shared" si="46"/>
        <v>#VALUE!</v>
      </c>
      <c r="CR36" s="115" t="e">
        <f t="shared" si="47"/>
        <v>#VALUE!</v>
      </c>
      <c r="CS36" s="115" t="e">
        <f t="shared" si="47"/>
        <v>#VALUE!</v>
      </c>
      <c r="CT36" s="115" t="e">
        <f t="shared" si="47"/>
        <v>#VALUE!</v>
      </c>
      <c r="CU36" s="115" t="e">
        <f t="shared" si="47"/>
        <v>#VALUE!</v>
      </c>
      <c r="CV36" s="115" t="e">
        <f t="shared" si="47"/>
        <v>#VALUE!</v>
      </c>
      <c r="CW36" s="115" t="e">
        <f t="shared" si="47"/>
        <v>#VALUE!</v>
      </c>
      <c r="CX36" s="115" t="e">
        <f t="shared" si="47"/>
        <v>#VALUE!</v>
      </c>
      <c r="CY36" s="115" t="e">
        <f t="shared" si="47"/>
        <v>#VALUE!</v>
      </c>
      <c r="CZ36" s="115" t="e">
        <f t="shared" si="47"/>
        <v>#VALUE!</v>
      </c>
      <c r="DA36" s="115" t="e">
        <f t="shared" si="47"/>
        <v>#VALUE!</v>
      </c>
      <c r="DB36" s="115" t="e">
        <f t="shared" si="48"/>
        <v>#VALUE!</v>
      </c>
      <c r="DC36" s="115" t="e">
        <f t="shared" si="48"/>
        <v>#VALUE!</v>
      </c>
      <c r="DD36" s="115" t="e">
        <f t="shared" si="48"/>
        <v>#VALUE!</v>
      </c>
      <c r="DE36" s="115" t="e">
        <f t="shared" si="48"/>
        <v>#VALUE!</v>
      </c>
      <c r="DF36" s="115" t="e">
        <f t="shared" si="48"/>
        <v>#VALUE!</v>
      </c>
      <c r="DG36" s="115" t="e">
        <f t="shared" si="48"/>
        <v>#VALUE!</v>
      </c>
      <c r="DH36" s="115" t="e">
        <f t="shared" si="48"/>
        <v>#VALUE!</v>
      </c>
      <c r="DI36" s="115" t="e">
        <f t="shared" si="48"/>
        <v>#VALUE!</v>
      </c>
      <c r="DJ36" s="115" t="e">
        <f t="shared" si="48"/>
        <v>#VALUE!</v>
      </c>
      <c r="DK36" s="115" t="e">
        <f t="shared" si="48"/>
        <v>#VALUE!</v>
      </c>
      <c r="DL36" s="115" t="e">
        <f t="shared" si="48"/>
        <v>#VALUE!</v>
      </c>
      <c r="DM36" s="115" t="e">
        <f t="shared" si="48"/>
        <v>#VALUE!</v>
      </c>
    </row>
    <row r="37" spans="1:117" ht="15" customHeight="1" thickBot="1">
      <c r="A37" s="55">
        <v>3800</v>
      </c>
      <c r="B37" s="194" t="s">
        <v>728</v>
      </c>
      <c r="C37" s="194" t="s">
        <v>771</v>
      </c>
      <c r="D37" s="194" t="s">
        <v>190</v>
      </c>
      <c r="E37" s="194"/>
      <c r="F37" s="194" t="s">
        <v>1071</v>
      </c>
      <c r="G37" s="291">
        <f t="shared" si="4"/>
        <v>0</v>
      </c>
      <c r="H37" s="292">
        <f>VLOOKUP("E4.B",Errichtungskosten,12,0)*VLOOKUP("E4Bi",Verwaltung_Technik,5,0)/100</f>
        <v>0</v>
      </c>
      <c r="I37" s="168"/>
      <c r="J37" s="194" t="s">
        <v>727</v>
      </c>
      <c r="K37" s="378" t="s">
        <v>732</v>
      </c>
      <c r="L37" s="379" t="s">
        <v>356</v>
      </c>
      <c r="M37" s="325">
        <f t="shared" si="37"/>
        <v>2.77</v>
      </c>
      <c r="N37" s="380">
        <f t="shared" si="38"/>
        <v>1.0105211406096364</v>
      </c>
      <c r="O37" s="381">
        <f t="shared" si="39"/>
        <v>0</v>
      </c>
      <c r="P37" s="169" t="s">
        <v>103</v>
      </c>
      <c r="Q37" s="114">
        <f t="shared" si="39"/>
        <v>0</v>
      </c>
      <c r="R37" s="115">
        <f t="shared" si="39"/>
        <v>0</v>
      </c>
      <c r="S37" s="115">
        <f t="shared" si="39"/>
        <v>0</v>
      </c>
      <c r="T37" s="115">
        <f t="shared" si="39"/>
        <v>0</v>
      </c>
      <c r="U37" s="115">
        <f t="shared" si="39"/>
        <v>0</v>
      </c>
      <c r="V37" s="115">
        <f t="shared" si="39"/>
        <v>0</v>
      </c>
      <c r="W37" s="115">
        <f t="shared" si="39"/>
        <v>0</v>
      </c>
      <c r="X37" s="115">
        <f t="shared" si="39"/>
        <v>0</v>
      </c>
      <c r="Y37" s="115">
        <f t="shared" si="39"/>
        <v>0</v>
      </c>
      <c r="Z37" s="115">
        <f t="shared" si="40"/>
        <v>0</v>
      </c>
      <c r="AA37" s="115">
        <f t="shared" si="40"/>
        <v>0</v>
      </c>
      <c r="AB37" s="115">
        <f t="shared" si="40"/>
        <v>0</v>
      </c>
      <c r="AC37" s="115">
        <f t="shared" si="40"/>
        <v>0</v>
      </c>
      <c r="AD37" s="115">
        <f t="shared" si="40"/>
        <v>0</v>
      </c>
      <c r="AE37" s="115">
        <f t="shared" si="40"/>
        <v>0</v>
      </c>
      <c r="AF37" s="115">
        <f t="shared" si="40"/>
        <v>0</v>
      </c>
      <c r="AG37" s="115">
        <f t="shared" si="40"/>
        <v>0</v>
      </c>
      <c r="AH37" s="115">
        <f t="shared" si="40"/>
        <v>0</v>
      </c>
      <c r="AI37" s="115">
        <f t="shared" si="40"/>
        <v>0</v>
      </c>
      <c r="AJ37" s="115">
        <f t="shared" si="41"/>
        <v>0</v>
      </c>
      <c r="AK37" s="115">
        <f t="shared" si="41"/>
        <v>0</v>
      </c>
      <c r="AL37" s="115">
        <f t="shared" si="41"/>
        <v>0</v>
      </c>
      <c r="AM37" s="115">
        <f t="shared" si="41"/>
        <v>0</v>
      </c>
      <c r="AN37" s="115">
        <f t="shared" si="41"/>
        <v>0</v>
      </c>
      <c r="AO37" s="115">
        <f t="shared" si="41"/>
        <v>0</v>
      </c>
      <c r="AP37" s="115">
        <f t="shared" si="41"/>
        <v>0</v>
      </c>
      <c r="AQ37" s="115">
        <f t="shared" si="41"/>
        <v>0</v>
      </c>
      <c r="AR37" s="115">
        <f t="shared" si="41"/>
        <v>0</v>
      </c>
      <c r="AS37" s="115">
        <f t="shared" si="41"/>
        <v>0</v>
      </c>
      <c r="AT37" s="115">
        <f t="shared" si="42"/>
        <v>0</v>
      </c>
      <c r="AU37" s="115">
        <f t="shared" si="42"/>
        <v>0</v>
      </c>
      <c r="AV37" s="115" t="e">
        <f t="shared" si="42"/>
        <v>#VALUE!</v>
      </c>
      <c r="AW37" s="115" t="e">
        <f t="shared" si="42"/>
        <v>#VALUE!</v>
      </c>
      <c r="AX37" s="115" t="e">
        <f t="shared" si="42"/>
        <v>#VALUE!</v>
      </c>
      <c r="AY37" s="115" t="e">
        <f t="shared" si="42"/>
        <v>#VALUE!</v>
      </c>
      <c r="AZ37" s="115" t="e">
        <f t="shared" si="42"/>
        <v>#VALUE!</v>
      </c>
      <c r="BA37" s="115" t="e">
        <f t="shared" si="42"/>
        <v>#VALUE!</v>
      </c>
      <c r="BB37" s="115" t="e">
        <f t="shared" si="42"/>
        <v>#VALUE!</v>
      </c>
      <c r="BC37" s="115" t="e">
        <f t="shared" si="42"/>
        <v>#VALUE!</v>
      </c>
      <c r="BD37" s="115" t="e">
        <f t="shared" si="43"/>
        <v>#VALUE!</v>
      </c>
      <c r="BE37" s="115" t="e">
        <f t="shared" si="43"/>
        <v>#VALUE!</v>
      </c>
      <c r="BF37" s="115" t="e">
        <f t="shared" si="43"/>
        <v>#VALUE!</v>
      </c>
      <c r="BG37" s="115" t="e">
        <f t="shared" si="43"/>
        <v>#VALUE!</v>
      </c>
      <c r="BH37" s="115" t="e">
        <f t="shared" si="43"/>
        <v>#VALUE!</v>
      </c>
      <c r="BI37" s="115" t="e">
        <f t="shared" si="43"/>
        <v>#VALUE!</v>
      </c>
      <c r="BJ37" s="115" t="e">
        <f t="shared" si="43"/>
        <v>#VALUE!</v>
      </c>
      <c r="BK37" s="115" t="e">
        <f t="shared" si="43"/>
        <v>#VALUE!</v>
      </c>
      <c r="BL37" s="115" t="e">
        <f t="shared" si="43"/>
        <v>#VALUE!</v>
      </c>
      <c r="BM37" s="115" t="e">
        <f t="shared" si="43"/>
        <v>#VALUE!</v>
      </c>
      <c r="BN37" s="115" t="e">
        <f t="shared" si="44"/>
        <v>#VALUE!</v>
      </c>
      <c r="BO37" s="115" t="e">
        <f t="shared" si="44"/>
        <v>#VALUE!</v>
      </c>
      <c r="BP37" s="115" t="e">
        <f t="shared" si="44"/>
        <v>#VALUE!</v>
      </c>
      <c r="BQ37" s="115" t="e">
        <f t="shared" si="44"/>
        <v>#VALUE!</v>
      </c>
      <c r="BR37" s="115" t="e">
        <f t="shared" si="44"/>
        <v>#VALUE!</v>
      </c>
      <c r="BS37" s="115" t="e">
        <f t="shared" si="44"/>
        <v>#VALUE!</v>
      </c>
      <c r="BT37" s="115" t="e">
        <f t="shared" si="44"/>
        <v>#VALUE!</v>
      </c>
      <c r="BU37" s="115" t="e">
        <f t="shared" si="44"/>
        <v>#VALUE!</v>
      </c>
      <c r="BV37" s="115" t="e">
        <f t="shared" si="44"/>
        <v>#VALUE!</v>
      </c>
      <c r="BW37" s="115" t="e">
        <f t="shared" si="44"/>
        <v>#VALUE!</v>
      </c>
      <c r="BX37" s="115" t="e">
        <f t="shared" si="45"/>
        <v>#VALUE!</v>
      </c>
      <c r="BY37" s="115" t="e">
        <f t="shared" si="45"/>
        <v>#VALUE!</v>
      </c>
      <c r="BZ37" s="115" t="e">
        <f t="shared" si="45"/>
        <v>#VALUE!</v>
      </c>
      <c r="CA37" s="115" t="e">
        <f t="shared" si="45"/>
        <v>#VALUE!</v>
      </c>
      <c r="CB37" s="115" t="e">
        <f t="shared" si="45"/>
        <v>#VALUE!</v>
      </c>
      <c r="CC37" s="115" t="e">
        <f t="shared" si="45"/>
        <v>#VALUE!</v>
      </c>
      <c r="CD37" s="115" t="e">
        <f t="shared" si="45"/>
        <v>#VALUE!</v>
      </c>
      <c r="CE37" s="115" t="e">
        <f t="shared" si="45"/>
        <v>#VALUE!</v>
      </c>
      <c r="CF37" s="115" t="e">
        <f t="shared" si="45"/>
        <v>#VALUE!</v>
      </c>
      <c r="CG37" s="115" t="e">
        <f t="shared" si="45"/>
        <v>#VALUE!</v>
      </c>
      <c r="CH37" s="115" t="e">
        <f t="shared" si="46"/>
        <v>#VALUE!</v>
      </c>
      <c r="CI37" s="115" t="e">
        <f t="shared" si="46"/>
        <v>#VALUE!</v>
      </c>
      <c r="CJ37" s="115" t="e">
        <f t="shared" si="46"/>
        <v>#VALUE!</v>
      </c>
      <c r="CK37" s="115" t="e">
        <f t="shared" si="46"/>
        <v>#VALUE!</v>
      </c>
      <c r="CL37" s="115" t="e">
        <f t="shared" si="46"/>
        <v>#VALUE!</v>
      </c>
      <c r="CM37" s="115" t="e">
        <f t="shared" si="46"/>
        <v>#VALUE!</v>
      </c>
      <c r="CN37" s="115" t="e">
        <f t="shared" si="46"/>
        <v>#VALUE!</v>
      </c>
      <c r="CO37" s="115" t="e">
        <f t="shared" si="46"/>
        <v>#VALUE!</v>
      </c>
      <c r="CP37" s="115" t="e">
        <f t="shared" si="46"/>
        <v>#VALUE!</v>
      </c>
      <c r="CQ37" s="115" t="e">
        <f t="shared" si="46"/>
        <v>#VALUE!</v>
      </c>
      <c r="CR37" s="115" t="e">
        <f t="shared" si="47"/>
        <v>#VALUE!</v>
      </c>
      <c r="CS37" s="115" t="e">
        <f t="shared" si="47"/>
        <v>#VALUE!</v>
      </c>
      <c r="CT37" s="115" t="e">
        <f t="shared" si="47"/>
        <v>#VALUE!</v>
      </c>
      <c r="CU37" s="115" t="e">
        <f t="shared" si="47"/>
        <v>#VALUE!</v>
      </c>
      <c r="CV37" s="115" t="e">
        <f t="shared" si="47"/>
        <v>#VALUE!</v>
      </c>
      <c r="CW37" s="115" t="e">
        <f t="shared" si="47"/>
        <v>#VALUE!</v>
      </c>
      <c r="CX37" s="115" t="e">
        <f t="shared" si="47"/>
        <v>#VALUE!</v>
      </c>
      <c r="CY37" s="115" t="e">
        <f t="shared" si="47"/>
        <v>#VALUE!</v>
      </c>
      <c r="CZ37" s="115" t="e">
        <f t="shared" si="47"/>
        <v>#VALUE!</v>
      </c>
      <c r="DA37" s="115" t="e">
        <f t="shared" si="47"/>
        <v>#VALUE!</v>
      </c>
      <c r="DB37" s="115" t="e">
        <f t="shared" si="48"/>
        <v>#VALUE!</v>
      </c>
      <c r="DC37" s="115" t="e">
        <f t="shared" si="48"/>
        <v>#VALUE!</v>
      </c>
      <c r="DD37" s="115" t="e">
        <f t="shared" si="48"/>
        <v>#VALUE!</v>
      </c>
      <c r="DE37" s="115" t="e">
        <f t="shared" si="48"/>
        <v>#VALUE!</v>
      </c>
      <c r="DF37" s="115" t="e">
        <f t="shared" si="48"/>
        <v>#VALUE!</v>
      </c>
      <c r="DG37" s="115" t="e">
        <f t="shared" si="48"/>
        <v>#VALUE!</v>
      </c>
      <c r="DH37" s="115" t="e">
        <f t="shared" si="48"/>
        <v>#VALUE!</v>
      </c>
      <c r="DI37" s="115" t="e">
        <f t="shared" si="48"/>
        <v>#VALUE!</v>
      </c>
      <c r="DJ37" s="115" t="e">
        <f t="shared" si="48"/>
        <v>#VALUE!</v>
      </c>
      <c r="DK37" s="115" t="e">
        <f t="shared" si="48"/>
        <v>#VALUE!</v>
      </c>
      <c r="DL37" s="115" t="e">
        <f t="shared" si="48"/>
        <v>#VALUE!</v>
      </c>
      <c r="DM37" s="115" t="e">
        <f t="shared" si="48"/>
        <v>#VALUE!</v>
      </c>
    </row>
    <row r="38" spans="1:117" ht="15" customHeight="1" thickBot="1">
      <c r="A38" s="55">
        <v>3900</v>
      </c>
      <c r="B38" s="194" t="s">
        <v>728</v>
      </c>
      <c r="C38" s="194" t="s">
        <v>772</v>
      </c>
      <c r="D38" s="194" t="s">
        <v>177</v>
      </c>
      <c r="E38" s="194"/>
      <c r="F38" s="194" t="s">
        <v>1072</v>
      </c>
      <c r="G38" s="291">
        <f t="shared" si="4"/>
        <v>0</v>
      </c>
      <c r="H38" s="292">
        <f>VLOOKUP("E4.C",Errichtungskosten,5)*VLOOKUP("E4Ci",Verwaltung_Technik,5,0)/100</f>
        <v>0</v>
      </c>
      <c r="I38" s="168"/>
      <c r="J38" s="194" t="s">
        <v>727</v>
      </c>
      <c r="K38" s="378" t="s">
        <v>732</v>
      </c>
      <c r="L38" s="379" t="s">
        <v>356</v>
      </c>
      <c r="M38" s="325">
        <f t="shared" si="37"/>
        <v>2.77</v>
      </c>
      <c r="N38" s="380">
        <f t="shared" si="38"/>
        <v>1.0105211406096364</v>
      </c>
      <c r="O38" s="381">
        <f t="shared" si="39"/>
        <v>0</v>
      </c>
      <c r="P38" s="169" t="s">
        <v>103</v>
      </c>
      <c r="Q38" s="114">
        <f t="shared" si="39"/>
        <v>0</v>
      </c>
      <c r="R38" s="115">
        <f t="shared" si="39"/>
        <v>0</v>
      </c>
      <c r="S38" s="115">
        <f t="shared" si="39"/>
        <v>0</v>
      </c>
      <c r="T38" s="115">
        <f t="shared" si="39"/>
        <v>0</v>
      </c>
      <c r="U38" s="115">
        <f t="shared" si="39"/>
        <v>0</v>
      </c>
      <c r="V38" s="115">
        <f t="shared" si="39"/>
        <v>0</v>
      </c>
      <c r="W38" s="115">
        <f t="shared" si="39"/>
        <v>0</v>
      </c>
      <c r="X38" s="115">
        <f t="shared" si="39"/>
        <v>0</v>
      </c>
      <c r="Y38" s="115">
        <f t="shared" si="39"/>
        <v>0</v>
      </c>
      <c r="Z38" s="115">
        <f t="shared" si="40"/>
        <v>0</v>
      </c>
      <c r="AA38" s="115">
        <f t="shared" si="40"/>
        <v>0</v>
      </c>
      <c r="AB38" s="115">
        <f t="shared" si="40"/>
        <v>0</v>
      </c>
      <c r="AC38" s="115">
        <f t="shared" si="40"/>
        <v>0</v>
      </c>
      <c r="AD38" s="115">
        <f t="shared" si="40"/>
        <v>0</v>
      </c>
      <c r="AE38" s="115">
        <f t="shared" si="40"/>
        <v>0</v>
      </c>
      <c r="AF38" s="115">
        <f t="shared" si="40"/>
        <v>0</v>
      </c>
      <c r="AG38" s="115">
        <f t="shared" si="40"/>
        <v>0</v>
      </c>
      <c r="AH38" s="115">
        <f t="shared" si="40"/>
        <v>0</v>
      </c>
      <c r="AI38" s="115">
        <f t="shared" si="40"/>
        <v>0</v>
      </c>
      <c r="AJ38" s="115">
        <f t="shared" si="41"/>
        <v>0</v>
      </c>
      <c r="AK38" s="115">
        <f t="shared" si="41"/>
        <v>0</v>
      </c>
      <c r="AL38" s="115">
        <f t="shared" si="41"/>
        <v>0</v>
      </c>
      <c r="AM38" s="115">
        <f t="shared" si="41"/>
        <v>0</v>
      </c>
      <c r="AN38" s="115">
        <f t="shared" si="41"/>
        <v>0</v>
      </c>
      <c r="AO38" s="115">
        <f t="shared" si="41"/>
        <v>0</v>
      </c>
      <c r="AP38" s="115">
        <f t="shared" si="41"/>
        <v>0</v>
      </c>
      <c r="AQ38" s="115">
        <f t="shared" si="41"/>
        <v>0</v>
      </c>
      <c r="AR38" s="115">
        <f t="shared" si="41"/>
        <v>0</v>
      </c>
      <c r="AS38" s="115">
        <f t="shared" si="41"/>
        <v>0</v>
      </c>
      <c r="AT38" s="115">
        <f t="shared" si="42"/>
        <v>0</v>
      </c>
      <c r="AU38" s="115">
        <f t="shared" si="42"/>
        <v>0</v>
      </c>
      <c r="AV38" s="115" t="e">
        <f t="shared" si="42"/>
        <v>#VALUE!</v>
      </c>
      <c r="AW38" s="115" t="e">
        <f t="shared" si="42"/>
        <v>#VALUE!</v>
      </c>
      <c r="AX38" s="115" t="e">
        <f t="shared" si="42"/>
        <v>#VALUE!</v>
      </c>
      <c r="AY38" s="115" t="e">
        <f t="shared" si="42"/>
        <v>#VALUE!</v>
      </c>
      <c r="AZ38" s="115" t="e">
        <f t="shared" si="42"/>
        <v>#VALUE!</v>
      </c>
      <c r="BA38" s="115" t="e">
        <f t="shared" si="42"/>
        <v>#VALUE!</v>
      </c>
      <c r="BB38" s="115" t="e">
        <f t="shared" si="42"/>
        <v>#VALUE!</v>
      </c>
      <c r="BC38" s="115" t="e">
        <f t="shared" si="42"/>
        <v>#VALUE!</v>
      </c>
      <c r="BD38" s="115" t="e">
        <f t="shared" si="43"/>
        <v>#VALUE!</v>
      </c>
      <c r="BE38" s="115" t="e">
        <f t="shared" si="43"/>
        <v>#VALUE!</v>
      </c>
      <c r="BF38" s="115" t="e">
        <f t="shared" si="43"/>
        <v>#VALUE!</v>
      </c>
      <c r="BG38" s="115" t="e">
        <f t="shared" si="43"/>
        <v>#VALUE!</v>
      </c>
      <c r="BH38" s="115" t="e">
        <f t="shared" si="43"/>
        <v>#VALUE!</v>
      </c>
      <c r="BI38" s="115" t="e">
        <f t="shared" si="43"/>
        <v>#VALUE!</v>
      </c>
      <c r="BJ38" s="115" t="e">
        <f t="shared" si="43"/>
        <v>#VALUE!</v>
      </c>
      <c r="BK38" s="115" t="e">
        <f t="shared" si="43"/>
        <v>#VALUE!</v>
      </c>
      <c r="BL38" s="115" t="e">
        <f t="shared" si="43"/>
        <v>#VALUE!</v>
      </c>
      <c r="BM38" s="115" t="e">
        <f t="shared" si="43"/>
        <v>#VALUE!</v>
      </c>
      <c r="BN38" s="115" t="e">
        <f t="shared" si="44"/>
        <v>#VALUE!</v>
      </c>
      <c r="BO38" s="115" t="e">
        <f t="shared" si="44"/>
        <v>#VALUE!</v>
      </c>
      <c r="BP38" s="115" t="e">
        <f t="shared" si="44"/>
        <v>#VALUE!</v>
      </c>
      <c r="BQ38" s="115" t="e">
        <f t="shared" si="44"/>
        <v>#VALUE!</v>
      </c>
      <c r="BR38" s="115" t="e">
        <f t="shared" si="44"/>
        <v>#VALUE!</v>
      </c>
      <c r="BS38" s="115" t="e">
        <f t="shared" si="44"/>
        <v>#VALUE!</v>
      </c>
      <c r="BT38" s="115" t="e">
        <f t="shared" si="44"/>
        <v>#VALUE!</v>
      </c>
      <c r="BU38" s="115" t="e">
        <f t="shared" si="44"/>
        <v>#VALUE!</v>
      </c>
      <c r="BV38" s="115" t="e">
        <f t="shared" si="44"/>
        <v>#VALUE!</v>
      </c>
      <c r="BW38" s="115" t="e">
        <f t="shared" si="44"/>
        <v>#VALUE!</v>
      </c>
      <c r="BX38" s="115" t="e">
        <f t="shared" si="45"/>
        <v>#VALUE!</v>
      </c>
      <c r="BY38" s="115" t="e">
        <f t="shared" si="45"/>
        <v>#VALUE!</v>
      </c>
      <c r="BZ38" s="115" t="e">
        <f t="shared" si="45"/>
        <v>#VALUE!</v>
      </c>
      <c r="CA38" s="115" t="e">
        <f t="shared" si="45"/>
        <v>#VALUE!</v>
      </c>
      <c r="CB38" s="115" t="e">
        <f t="shared" si="45"/>
        <v>#VALUE!</v>
      </c>
      <c r="CC38" s="115" t="e">
        <f t="shared" si="45"/>
        <v>#VALUE!</v>
      </c>
      <c r="CD38" s="115" t="e">
        <f t="shared" si="45"/>
        <v>#VALUE!</v>
      </c>
      <c r="CE38" s="115" t="e">
        <f t="shared" si="45"/>
        <v>#VALUE!</v>
      </c>
      <c r="CF38" s="115" t="e">
        <f t="shared" si="45"/>
        <v>#VALUE!</v>
      </c>
      <c r="CG38" s="115" t="e">
        <f t="shared" si="45"/>
        <v>#VALUE!</v>
      </c>
      <c r="CH38" s="115" t="e">
        <f t="shared" si="46"/>
        <v>#VALUE!</v>
      </c>
      <c r="CI38" s="115" t="e">
        <f t="shared" si="46"/>
        <v>#VALUE!</v>
      </c>
      <c r="CJ38" s="115" t="e">
        <f t="shared" si="46"/>
        <v>#VALUE!</v>
      </c>
      <c r="CK38" s="115" t="e">
        <f t="shared" si="46"/>
        <v>#VALUE!</v>
      </c>
      <c r="CL38" s="115" t="e">
        <f t="shared" si="46"/>
        <v>#VALUE!</v>
      </c>
      <c r="CM38" s="115" t="e">
        <f t="shared" si="46"/>
        <v>#VALUE!</v>
      </c>
      <c r="CN38" s="115" t="e">
        <f t="shared" si="46"/>
        <v>#VALUE!</v>
      </c>
      <c r="CO38" s="115" t="e">
        <f t="shared" si="46"/>
        <v>#VALUE!</v>
      </c>
      <c r="CP38" s="115" t="e">
        <f t="shared" si="46"/>
        <v>#VALUE!</v>
      </c>
      <c r="CQ38" s="115" t="e">
        <f t="shared" si="46"/>
        <v>#VALUE!</v>
      </c>
      <c r="CR38" s="115" t="e">
        <f t="shared" si="47"/>
        <v>#VALUE!</v>
      </c>
      <c r="CS38" s="115" t="e">
        <f t="shared" si="47"/>
        <v>#VALUE!</v>
      </c>
      <c r="CT38" s="115" t="e">
        <f t="shared" si="47"/>
        <v>#VALUE!</v>
      </c>
      <c r="CU38" s="115" t="e">
        <f t="shared" si="47"/>
        <v>#VALUE!</v>
      </c>
      <c r="CV38" s="115" t="e">
        <f t="shared" si="47"/>
        <v>#VALUE!</v>
      </c>
      <c r="CW38" s="115" t="e">
        <f t="shared" si="47"/>
        <v>#VALUE!</v>
      </c>
      <c r="CX38" s="115" t="e">
        <f t="shared" si="47"/>
        <v>#VALUE!</v>
      </c>
      <c r="CY38" s="115" t="e">
        <f t="shared" si="47"/>
        <v>#VALUE!</v>
      </c>
      <c r="CZ38" s="115" t="e">
        <f t="shared" si="47"/>
        <v>#VALUE!</v>
      </c>
      <c r="DA38" s="115" t="e">
        <f t="shared" si="47"/>
        <v>#VALUE!</v>
      </c>
      <c r="DB38" s="115" t="e">
        <f t="shared" si="48"/>
        <v>#VALUE!</v>
      </c>
      <c r="DC38" s="115" t="e">
        <f t="shared" si="48"/>
        <v>#VALUE!</v>
      </c>
      <c r="DD38" s="115" t="e">
        <f t="shared" si="48"/>
        <v>#VALUE!</v>
      </c>
      <c r="DE38" s="115" t="e">
        <f t="shared" si="48"/>
        <v>#VALUE!</v>
      </c>
      <c r="DF38" s="115" t="e">
        <f t="shared" si="48"/>
        <v>#VALUE!</v>
      </c>
      <c r="DG38" s="115" t="e">
        <f t="shared" si="48"/>
        <v>#VALUE!</v>
      </c>
      <c r="DH38" s="115" t="e">
        <f t="shared" si="48"/>
        <v>#VALUE!</v>
      </c>
      <c r="DI38" s="115" t="e">
        <f t="shared" si="48"/>
        <v>#VALUE!</v>
      </c>
      <c r="DJ38" s="115" t="e">
        <f t="shared" si="48"/>
        <v>#VALUE!</v>
      </c>
      <c r="DK38" s="115" t="e">
        <f t="shared" si="48"/>
        <v>#VALUE!</v>
      </c>
      <c r="DL38" s="115" t="e">
        <f t="shared" si="48"/>
        <v>#VALUE!</v>
      </c>
      <c r="DM38" s="115" t="e">
        <f t="shared" si="48"/>
        <v>#VALUE!</v>
      </c>
    </row>
    <row r="39" spans="1:117" ht="15" customHeight="1" thickBot="1">
      <c r="A39" s="55">
        <v>4000</v>
      </c>
      <c r="B39" s="194" t="s">
        <v>728</v>
      </c>
      <c r="C39" s="194" t="s">
        <v>773</v>
      </c>
      <c r="D39" s="194" t="s">
        <v>166</v>
      </c>
      <c r="E39" s="194"/>
      <c r="F39" s="194" t="s">
        <v>1073</v>
      </c>
      <c r="G39" s="291">
        <f t="shared" si="4"/>
        <v>0</v>
      </c>
      <c r="H39" s="292">
        <f>VLOOKUP("E4.D",Errichtungskosten,12,0)*VLOOKUP("E4Di",Verwaltung_Technik,5,0)/100</f>
        <v>0</v>
      </c>
      <c r="I39" s="168"/>
      <c r="J39" s="194" t="s">
        <v>727</v>
      </c>
      <c r="K39" s="378" t="s">
        <v>732</v>
      </c>
      <c r="L39" s="379" t="s">
        <v>356</v>
      </c>
      <c r="M39" s="325">
        <f t="shared" si="37"/>
        <v>2.77</v>
      </c>
      <c r="N39" s="380">
        <f t="shared" si="38"/>
        <v>1.0105211406096364</v>
      </c>
      <c r="O39" s="381">
        <f t="shared" ref="O39:Y44" si="49">IF($N39&lt;&gt;1,$G39*($N39^$K39)*(($N39^($K39*INT(O$2/$K39))-1)/($N39^$K39-1)),$G39*INT(O$2/$K39))</f>
        <v>0</v>
      </c>
      <c r="P39" s="169" t="s">
        <v>103</v>
      </c>
      <c r="Q39" s="114">
        <f t="shared" si="49"/>
        <v>0</v>
      </c>
      <c r="R39" s="115">
        <f t="shared" si="49"/>
        <v>0</v>
      </c>
      <c r="S39" s="115">
        <f t="shared" si="49"/>
        <v>0</v>
      </c>
      <c r="T39" s="115">
        <f t="shared" si="49"/>
        <v>0</v>
      </c>
      <c r="U39" s="115">
        <f t="shared" si="49"/>
        <v>0</v>
      </c>
      <c r="V39" s="115">
        <f t="shared" si="49"/>
        <v>0</v>
      </c>
      <c r="W39" s="115">
        <f t="shared" si="49"/>
        <v>0</v>
      </c>
      <c r="X39" s="115">
        <f t="shared" si="49"/>
        <v>0</v>
      </c>
      <c r="Y39" s="115">
        <f t="shared" si="49"/>
        <v>0</v>
      </c>
      <c r="Z39" s="115">
        <f t="shared" ref="Z39:AI44" si="50">IF($N39&lt;&gt;1,$G39*($N39^$K39)*(($N39^($K39*INT(Z$2/$K39))-1)/($N39^$K39-1)),$G39*INT(Z$2/$K39))</f>
        <v>0</v>
      </c>
      <c r="AA39" s="115">
        <f t="shared" si="50"/>
        <v>0</v>
      </c>
      <c r="AB39" s="115">
        <f t="shared" si="50"/>
        <v>0</v>
      </c>
      <c r="AC39" s="115">
        <f t="shared" si="50"/>
        <v>0</v>
      </c>
      <c r="AD39" s="115">
        <f t="shared" si="50"/>
        <v>0</v>
      </c>
      <c r="AE39" s="115">
        <f t="shared" si="50"/>
        <v>0</v>
      </c>
      <c r="AF39" s="115">
        <f t="shared" si="50"/>
        <v>0</v>
      </c>
      <c r="AG39" s="115">
        <f t="shared" si="50"/>
        <v>0</v>
      </c>
      <c r="AH39" s="115">
        <f t="shared" si="50"/>
        <v>0</v>
      </c>
      <c r="AI39" s="115">
        <f t="shared" si="50"/>
        <v>0</v>
      </c>
      <c r="AJ39" s="115">
        <f t="shared" ref="AJ39:AS44" si="51">IF($N39&lt;&gt;1,$G39*($N39^$K39)*(($N39^($K39*INT(AJ$2/$K39))-1)/($N39^$K39-1)),$G39*INT(AJ$2/$K39))</f>
        <v>0</v>
      </c>
      <c r="AK39" s="115">
        <f t="shared" si="51"/>
        <v>0</v>
      </c>
      <c r="AL39" s="115">
        <f t="shared" si="51"/>
        <v>0</v>
      </c>
      <c r="AM39" s="115">
        <f t="shared" si="51"/>
        <v>0</v>
      </c>
      <c r="AN39" s="115">
        <f t="shared" si="51"/>
        <v>0</v>
      </c>
      <c r="AO39" s="115">
        <f t="shared" si="51"/>
        <v>0</v>
      </c>
      <c r="AP39" s="115">
        <f t="shared" si="51"/>
        <v>0</v>
      </c>
      <c r="AQ39" s="115">
        <f t="shared" si="51"/>
        <v>0</v>
      </c>
      <c r="AR39" s="115">
        <f t="shared" si="51"/>
        <v>0</v>
      </c>
      <c r="AS39" s="115">
        <f t="shared" si="51"/>
        <v>0</v>
      </c>
      <c r="AT39" s="115">
        <f t="shared" ref="AT39:BC44" si="52">IF($N39&lt;&gt;1,$G39*($N39^$K39)*(($N39^($K39*INT(AT$2/$K39))-1)/($N39^$K39-1)),$G39*INT(AT$2/$K39))</f>
        <v>0</v>
      </c>
      <c r="AU39" s="115">
        <f t="shared" si="52"/>
        <v>0</v>
      </c>
      <c r="AV39" s="115" t="e">
        <f t="shared" si="52"/>
        <v>#VALUE!</v>
      </c>
      <c r="AW39" s="115" t="e">
        <f t="shared" si="52"/>
        <v>#VALUE!</v>
      </c>
      <c r="AX39" s="115" t="e">
        <f t="shared" si="52"/>
        <v>#VALUE!</v>
      </c>
      <c r="AY39" s="115" t="e">
        <f t="shared" si="52"/>
        <v>#VALUE!</v>
      </c>
      <c r="AZ39" s="115" t="e">
        <f t="shared" si="52"/>
        <v>#VALUE!</v>
      </c>
      <c r="BA39" s="115" t="e">
        <f t="shared" si="52"/>
        <v>#VALUE!</v>
      </c>
      <c r="BB39" s="115" t="e">
        <f t="shared" si="52"/>
        <v>#VALUE!</v>
      </c>
      <c r="BC39" s="115" t="e">
        <f t="shared" si="52"/>
        <v>#VALUE!</v>
      </c>
      <c r="BD39" s="115" t="e">
        <f t="shared" ref="BD39:BM44" si="53">IF($N39&lt;&gt;1,$G39*($N39^$K39)*(($N39^($K39*INT(BD$2/$K39))-1)/($N39^$K39-1)),$G39*INT(BD$2/$K39))</f>
        <v>#VALUE!</v>
      </c>
      <c r="BE39" s="115" t="e">
        <f t="shared" si="53"/>
        <v>#VALUE!</v>
      </c>
      <c r="BF39" s="115" t="e">
        <f t="shared" si="53"/>
        <v>#VALUE!</v>
      </c>
      <c r="BG39" s="115" t="e">
        <f t="shared" si="53"/>
        <v>#VALUE!</v>
      </c>
      <c r="BH39" s="115" t="e">
        <f t="shared" si="53"/>
        <v>#VALUE!</v>
      </c>
      <c r="BI39" s="115" t="e">
        <f t="shared" si="53"/>
        <v>#VALUE!</v>
      </c>
      <c r="BJ39" s="115" t="e">
        <f t="shared" si="53"/>
        <v>#VALUE!</v>
      </c>
      <c r="BK39" s="115" t="e">
        <f t="shared" si="53"/>
        <v>#VALUE!</v>
      </c>
      <c r="BL39" s="115" t="e">
        <f t="shared" si="53"/>
        <v>#VALUE!</v>
      </c>
      <c r="BM39" s="115" t="e">
        <f t="shared" si="53"/>
        <v>#VALUE!</v>
      </c>
      <c r="BN39" s="115" t="e">
        <f t="shared" ref="BN39:BW44" si="54">IF($N39&lt;&gt;1,$G39*($N39^$K39)*(($N39^($K39*INT(BN$2/$K39))-1)/($N39^$K39-1)),$G39*INT(BN$2/$K39))</f>
        <v>#VALUE!</v>
      </c>
      <c r="BO39" s="115" t="e">
        <f t="shared" si="54"/>
        <v>#VALUE!</v>
      </c>
      <c r="BP39" s="115" t="e">
        <f t="shared" si="54"/>
        <v>#VALUE!</v>
      </c>
      <c r="BQ39" s="115" t="e">
        <f t="shared" si="54"/>
        <v>#VALUE!</v>
      </c>
      <c r="BR39" s="115" t="e">
        <f t="shared" si="54"/>
        <v>#VALUE!</v>
      </c>
      <c r="BS39" s="115" t="e">
        <f t="shared" si="54"/>
        <v>#VALUE!</v>
      </c>
      <c r="BT39" s="115" t="e">
        <f t="shared" si="54"/>
        <v>#VALUE!</v>
      </c>
      <c r="BU39" s="115" t="e">
        <f t="shared" si="54"/>
        <v>#VALUE!</v>
      </c>
      <c r="BV39" s="115" t="e">
        <f t="shared" si="54"/>
        <v>#VALUE!</v>
      </c>
      <c r="BW39" s="115" t="e">
        <f t="shared" si="54"/>
        <v>#VALUE!</v>
      </c>
      <c r="BX39" s="115" t="e">
        <f t="shared" ref="BX39:CG44" si="55">IF($N39&lt;&gt;1,$G39*($N39^$K39)*(($N39^($K39*INT(BX$2/$K39))-1)/($N39^$K39-1)),$G39*INT(BX$2/$K39))</f>
        <v>#VALUE!</v>
      </c>
      <c r="BY39" s="115" t="e">
        <f t="shared" si="55"/>
        <v>#VALUE!</v>
      </c>
      <c r="BZ39" s="115" t="e">
        <f t="shared" si="55"/>
        <v>#VALUE!</v>
      </c>
      <c r="CA39" s="115" t="e">
        <f t="shared" si="55"/>
        <v>#VALUE!</v>
      </c>
      <c r="CB39" s="115" t="e">
        <f t="shared" si="55"/>
        <v>#VALUE!</v>
      </c>
      <c r="CC39" s="115" t="e">
        <f t="shared" si="55"/>
        <v>#VALUE!</v>
      </c>
      <c r="CD39" s="115" t="e">
        <f t="shared" si="55"/>
        <v>#VALUE!</v>
      </c>
      <c r="CE39" s="115" t="e">
        <f t="shared" si="55"/>
        <v>#VALUE!</v>
      </c>
      <c r="CF39" s="115" t="e">
        <f t="shared" si="55"/>
        <v>#VALUE!</v>
      </c>
      <c r="CG39" s="115" t="e">
        <f t="shared" si="55"/>
        <v>#VALUE!</v>
      </c>
      <c r="CH39" s="115" t="e">
        <f t="shared" ref="CH39:CQ44" si="56">IF($N39&lt;&gt;1,$G39*($N39^$K39)*(($N39^($K39*INT(CH$2/$K39))-1)/($N39^$K39-1)),$G39*INT(CH$2/$K39))</f>
        <v>#VALUE!</v>
      </c>
      <c r="CI39" s="115" t="e">
        <f t="shared" si="56"/>
        <v>#VALUE!</v>
      </c>
      <c r="CJ39" s="115" t="e">
        <f t="shared" si="56"/>
        <v>#VALUE!</v>
      </c>
      <c r="CK39" s="115" t="e">
        <f t="shared" si="56"/>
        <v>#VALUE!</v>
      </c>
      <c r="CL39" s="115" t="e">
        <f t="shared" si="56"/>
        <v>#VALUE!</v>
      </c>
      <c r="CM39" s="115" t="e">
        <f t="shared" si="56"/>
        <v>#VALUE!</v>
      </c>
      <c r="CN39" s="115" t="e">
        <f t="shared" si="56"/>
        <v>#VALUE!</v>
      </c>
      <c r="CO39" s="115" t="e">
        <f t="shared" si="56"/>
        <v>#VALUE!</v>
      </c>
      <c r="CP39" s="115" t="e">
        <f t="shared" si="56"/>
        <v>#VALUE!</v>
      </c>
      <c r="CQ39" s="115" t="e">
        <f t="shared" si="56"/>
        <v>#VALUE!</v>
      </c>
      <c r="CR39" s="115" t="e">
        <f t="shared" ref="CR39:DA44" si="57">IF($N39&lt;&gt;1,$G39*($N39^$K39)*(($N39^($K39*INT(CR$2/$K39))-1)/($N39^$K39-1)),$G39*INT(CR$2/$K39))</f>
        <v>#VALUE!</v>
      </c>
      <c r="CS39" s="115" t="e">
        <f t="shared" si="57"/>
        <v>#VALUE!</v>
      </c>
      <c r="CT39" s="115" t="e">
        <f t="shared" si="57"/>
        <v>#VALUE!</v>
      </c>
      <c r="CU39" s="115" t="e">
        <f t="shared" si="57"/>
        <v>#VALUE!</v>
      </c>
      <c r="CV39" s="115" t="e">
        <f t="shared" si="57"/>
        <v>#VALUE!</v>
      </c>
      <c r="CW39" s="115" t="e">
        <f t="shared" si="57"/>
        <v>#VALUE!</v>
      </c>
      <c r="CX39" s="115" t="e">
        <f t="shared" si="57"/>
        <v>#VALUE!</v>
      </c>
      <c r="CY39" s="115" t="e">
        <f t="shared" si="57"/>
        <v>#VALUE!</v>
      </c>
      <c r="CZ39" s="115" t="e">
        <f t="shared" si="57"/>
        <v>#VALUE!</v>
      </c>
      <c r="DA39" s="115" t="e">
        <f t="shared" si="57"/>
        <v>#VALUE!</v>
      </c>
      <c r="DB39" s="115" t="e">
        <f t="shared" ref="DB39:DM44" si="58">IF($N39&lt;&gt;1,$G39*($N39^$K39)*(($N39^($K39*INT(DB$2/$K39))-1)/($N39^$K39-1)),$G39*INT(DB$2/$K39))</f>
        <v>#VALUE!</v>
      </c>
      <c r="DC39" s="115" t="e">
        <f t="shared" si="58"/>
        <v>#VALUE!</v>
      </c>
      <c r="DD39" s="115" t="e">
        <f t="shared" si="58"/>
        <v>#VALUE!</v>
      </c>
      <c r="DE39" s="115" t="e">
        <f t="shared" si="58"/>
        <v>#VALUE!</v>
      </c>
      <c r="DF39" s="115" t="e">
        <f t="shared" si="58"/>
        <v>#VALUE!</v>
      </c>
      <c r="DG39" s="115" t="e">
        <f t="shared" si="58"/>
        <v>#VALUE!</v>
      </c>
      <c r="DH39" s="115" t="e">
        <f t="shared" si="58"/>
        <v>#VALUE!</v>
      </c>
      <c r="DI39" s="115" t="e">
        <f t="shared" si="58"/>
        <v>#VALUE!</v>
      </c>
      <c r="DJ39" s="115" t="e">
        <f t="shared" si="58"/>
        <v>#VALUE!</v>
      </c>
      <c r="DK39" s="115" t="e">
        <f t="shared" si="58"/>
        <v>#VALUE!</v>
      </c>
      <c r="DL39" s="115" t="e">
        <f t="shared" si="58"/>
        <v>#VALUE!</v>
      </c>
      <c r="DM39" s="115" t="e">
        <f t="shared" si="58"/>
        <v>#VALUE!</v>
      </c>
    </row>
    <row r="40" spans="1:117" ht="15" customHeight="1" thickBot="1">
      <c r="A40" s="55">
        <v>4100</v>
      </c>
      <c r="B40" s="194" t="s">
        <v>728</v>
      </c>
      <c r="C40" s="194" t="s">
        <v>774</v>
      </c>
      <c r="D40" s="194" t="s">
        <v>147</v>
      </c>
      <c r="E40" s="194"/>
      <c r="F40" s="194" t="s">
        <v>1074</v>
      </c>
      <c r="G40" s="291">
        <f t="shared" si="4"/>
        <v>0</v>
      </c>
      <c r="H40" s="292">
        <f>VLOOKUP("E5.B",Errichtungskosten,12,0)*VLOOKUP("E5Bi",Verwaltung_Technik,5,0)/100</f>
        <v>0</v>
      </c>
      <c r="I40" s="168"/>
      <c r="J40" s="194" t="s">
        <v>727</v>
      </c>
      <c r="K40" s="378" t="s">
        <v>732</v>
      </c>
      <c r="L40" s="379" t="s">
        <v>356</v>
      </c>
      <c r="M40" s="325">
        <f t="shared" si="37"/>
        <v>2.77</v>
      </c>
      <c r="N40" s="380">
        <f t="shared" si="38"/>
        <v>1.0105211406096364</v>
      </c>
      <c r="O40" s="381">
        <f t="shared" si="49"/>
        <v>0</v>
      </c>
      <c r="P40" s="169" t="s">
        <v>103</v>
      </c>
      <c r="Q40" s="114">
        <f t="shared" si="49"/>
        <v>0</v>
      </c>
      <c r="R40" s="115">
        <f t="shared" si="49"/>
        <v>0</v>
      </c>
      <c r="S40" s="115">
        <f t="shared" si="49"/>
        <v>0</v>
      </c>
      <c r="T40" s="115">
        <f t="shared" si="49"/>
        <v>0</v>
      </c>
      <c r="U40" s="115">
        <f t="shared" si="49"/>
        <v>0</v>
      </c>
      <c r="V40" s="115">
        <f t="shared" si="49"/>
        <v>0</v>
      </c>
      <c r="W40" s="115">
        <f t="shared" si="49"/>
        <v>0</v>
      </c>
      <c r="X40" s="115">
        <f t="shared" si="49"/>
        <v>0</v>
      </c>
      <c r="Y40" s="115">
        <f t="shared" si="49"/>
        <v>0</v>
      </c>
      <c r="Z40" s="115">
        <f t="shared" si="50"/>
        <v>0</v>
      </c>
      <c r="AA40" s="115">
        <f t="shared" si="50"/>
        <v>0</v>
      </c>
      <c r="AB40" s="115">
        <f t="shared" si="50"/>
        <v>0</v>
      </c>
      <c r="AC40" s="115">
        <f t="shared" si="50"/>
        <v>0</v>
      </c>
      <c r="AD40" s="115">
        <f t="shared" si="50"/>
        <v>0</v>
      </c>
      <c r="AE40" s="115">
        <f t="shared" si="50"/>
        <v>0</v>
      </c>
      <c r="AF40" s="115">
        <f t="shared" si="50"/>
        <v>0</v>
      </c>
      <c r="AG40" s="115">
        <f t="shared" si="50"/>
        <v>0</v>
      </c>
      <c r="AH40" s="115">
        <f t="shared" si="50"/>
        <v>0</v>
      </c>
      <c r="AI40" s="115">
        <f t="shared" si="50"/>
        <v>0</v>
      </c>
      <c r="AJ40" s="115">
        <f t="shared" si="51"/>
        <v>0</v>
      </c>
      <c r="AK40" s="115">
        <f t="shared" si="51"/>
        <v>0</v>
      </c>
      <c r="AL40" s="115">
        <f t="shared" si="51"/>
        <v>0</v>
      </c>
      <c r="AM40" s="115">
        <f t="shared" si="51"/>
        <v>0</v>
      </c>
      <c r="AN40" s="115">
        <f t="shared" si="51"/>
        <v>0</v>
      </c>
      <c r="AO40" s="115">
        <f t="shared" si="51"/>
        <v>0</v>
      </c>
      <c r="AP40" s="115">
        <f t="shared" si="51"/>
        <v>0</v>
      </c>
      <c r="AQ40" s="115">
        <f t="shared" si="51"/>
        <v>0</v>
      </c>
      <c r="AR40" s="115">
        <f t="shared" si="51"/>
        <v>0</v>
      </c>
      <c r="AS40" s="115">
        <f t="shared" si="51"/>
        <v>0</v>
      </c>
      <c r="AT40" s="115">
        <f t="shared" si="52"/>
        <v>0</v>
      </c>
      <c r="AU40" s="115">
        <f t="shared" si="52"/>
        <v>0</v>
      </c>
      <c r="AV40" s="115" t="e">
        <f t="shared" si="52"/>
        <v>#VALUE!</v>
      </c>
      <c r="AW40" s="115" t="e">
        <f t="shared" si="52"/>
        <v>#VALUE!</v>
      </c>
      <c r="AX40" s="115" t="e">
        <f t="shared" si="52"/>
        <v>#VALUE!</v>
      </c>
      <c r="AY40" s="115" t="e">
        <f t="shared" si="52"/>
        <v>#VALUE!</v>
      </c>
      <c r="AZ40" s="115" t="e">
        <f t="shared" si="52"/>
        <v>#VALUE!</v>
      </c>
      <c r="BA40" s="115" t="e">
        <f t="shared" si="52"/>
        <v>#VALUE!</v>
      </c>
      <c r="BB40" s="115" t="e">
        <f t="shared" si="52"/>
        <v>#VALUE!</v>
      </c>
      <c r="BC40" s="115" t="e">
        <f t="shared" si="52"/>
        <v>#VALUE!</v>
      </c>
      <c r="BD40" s="115" t="e">
        <f t="shared" si="53"/>
        <v>#VALUE!</v>
      </c>
      <c r="BE40" s="115" t="e">
        <f t="shared" si="53"/>
        <v>#VALUE!</v>
      </c>
      <c r="BF40" s="115" t="e">
        <f t="shared" si="53"/>
        <v>#VALUE!</v>
      </c>
      <c r="BG40" s="115" t="e">
        <f t="shared" si="53"/>
        <v>#VALUE!</v>
      </c>
      <c r="BH40" s="115" t="e">
        <f t="shared" si="53"/>
        <v>#VALUE!</v>
      </c>
      <c r="BI40" s="115" t="e">
        <f t="shared" si="53"/>
        <v>#VALUE!</v>
      </c>
      <c r="BJ40" s="115" t="e">
        <f t="shared" si="53"/>
        <v>#VALUE!</v>
      </c>
      <c r="BK40" s="115" t="e">
        <f t="shared" si="53"/>
        <v>#VALUE!</v>
      </c>
      <c r="BL40" s="115" t="e">
        <f t="shared" si="53"/>
        <v>#VALUE!</v>
      </c>
      <c r="BM40" s="115" t="e">
        <f t="shared" si="53"/>
        <v>#VALUE!</v>
      </c>
      <c r="BN40" s="115" t="e">
        <f t="shared" si="54"/>
        <v>#VALUE!</v>
      </c>
      <c r="BO40" s="115" t="e">
        <f t="shared" si="54"/>
        <v>#VALUE!</v>
      </c>
      <c r="BP40" s="115" t="e">
        <f t="shared" si="54"/>
        <v>#VALUE!</v>
      </c>
      <c r="BQ40" s="115" t="e">
        <f t="shared" si="54"/>
        <v>#VALUE!</v>
      </c>
      <c r="BR40" s="115" t="e">
        <f t="shared" si="54"/>
        <v>#VALUE!</v>
      </c>
      <c r="BS40" s="115" t="e">
        <f t="shared" si="54"/>
        <v>#VALUE!</v>
      </c>
      <c r="BT40" s="115" t="e">
        <f t="shared" si="54"/>
        <v>#VALUE!</v>
      </c>
      <c r="BU40" s="115" t="e">
        <f t="shared" si="54"/>
        <v>#VALUE!</v>
      </c>
      <c r="BV40" s="115" t="e">
        <f t="shared" si="54"/>
        <v>#VALUE!</v>
      </c>
      <c r="BW40" s="115" t="e">
        <f t="shared" si="54"/>
        <v>#VALUE!</v>
      </c>
      <c r="BX40" s="115" t="e">
        <f t="shared" si="55"/>
        <v>#VALUE!</v>
      </c>
      <c r="BY40" s="115" t="e">
        <f t="shared" si="55"/>
        <v>#VALUE!</v>
      </c>
      <c r="BZ40" s="115" t="e">
        <f t="shared" si="55"/>
        <v>#VALUE!</v>
      </c>
      <c r="CA40" s="115" t="e">
        <f t="shared" si="55"/>
        <v>#VALUE!</v>
      </c>
      <c r="CB40" s="115" t="e">
        <f t="shared" si="55"/>
        <v>#VALUE!</v>
      </c>
      <c r="CC40" s="115" t="e">
        <f t="shared" si="55"/>
        <v>#VALUE!</v>
      </c>
      <c r="CD40" s="115" t="e">
        <f t="shared" si="55"/>
        <v>#VALUE!</v>
      </c>
      <c r="CE40" s="115" t="e">
        <f t="shared" si="55"/>
        <v>#VALUE!</v>
      </c>
      <c r="CF40" s="115" t="e">
        <f t="shared" si="55"/>
        <v>#VALUE!</v>
      </c>
      <c r="CG40" s="115" t="e">
        <f t="shared" si="55"/>
        <v>#VALUE!</v>
      </c>
      <c r="CH40" s="115" t="e">
        <f t="shared" si="56"/>
        <v>#VALUE!</v>
      </c>
      <c r="CI40" s="115" t="e">
        <f t="shared" si="56"/>
        <v>#VALUE!</v>
      </c>
      <c r="CJ40" s="115" t="e">
        <f t="shared" si="56"/>
        <v>#VALUE!</v>
      </c>
      <c r="CK40" s="115" t="e">
        <f t="shared" si="56"/>
        <v>#VALUE!</v>
      </c>
      <c r="CL40" s="115" t="e">
        <f t="shared" si="56"/>
        <v>#VALUE!</v>
      </c>
      <c r="CM40" s="115" t="e">
        <f t="shared" si="56"/>
        <v>#VALUE!</v>
      </c>
      <c r="CN40" s="115" t="e">
        <f t="shared" si="56"/>
        <v>#VALUE!</v>
      </c>
      <c r="CO40" s="115" t="e">
        <f t="shared" si="56"/>
        <v>#VALUE!</v>
      </c>
      <c r="CP40" s="115" t="e">
        <f t="shared" si="56"/>
        <v>#VALUE!</v>
      </c>
      <c r="CQ40" s="115" t="e">
        <f t="shared" si="56"/>
        <v>#VALUE!</v>
      </c>
      <c r="CR40" s="115" t="e">
        <f t="shared" si="57"/>
        <v>#VALUE!</v>
      </c>
      <c r="CS40" s="115" t="e">
        <f t="shared" si="57"/>
        <v>#VALUE!</v>
      </c>
      <c r="CT40" s="115" t="e">
        <f t="shared" si="57"/>
        <v>#VALUE!</v>
      </c>
      <c r="CU40" s="115" t="e">
        <f t="shared" si="57"/>
        <v>#VALUE!</v>
      </c>
      <c r="CV40" s="115" t="e">
        <f t="shared" si="57"/>
        <v>#VALUE!</v>
      </c>
      <c r="CW40" s="115" t="e">
        <f t="shared" si="57"/>
        <v>#VALUE!</v>
      </c>
      <c r="CX40" s="115" t="e">
        <f t="shared" si="57"/>
        <v>#VALUE!</v>
      </c>
      <c r="CY40" s="115" t="e">
        <f t="shared" si="57"/>
        <v>#VALUE!</v>
      </c>
      <c r="CZ40" s="115" t="e">
        <f t="shared" si="57"/>
        <v>#VALUE!</v>
      </c>
      <c r="DA40" s="115" t="e">
        <f t="shared" si="57"/>
        <v>#VALUE!</v>
      </c>
      <c r="DB40" s="115" t="e">
        <f t="shared" si="58"/>
        <v>#VALUE!</v>
      </c>
      <c r="DC40" s="115" t="e">
        <f t="shared" si="58"/>
        <v>#VALUE!</v>
      </c>
      <c r="DD40" s="115" t="e">
        <f t="shared" si="58"/>
        <v>#VALUE!</v>
      </c>
      <c r="DE40" s="115" t="e">
        <f t="shared" si="58"/>
        <v>#VALUE!</v>
      </c>
      <c r="DF40" s="115" t="e">
        <f t="shared" si="58"/>
        <v>#VALUE!</v>
      </c>
      <c r="DG40" s="115" t="e">
        <f t="shared" si="58"/>
        <v>#VALUE!</v>
      </c>
      <c r="DH40" s="115" t="e">
        <f t="shared" si="58"/>
        <v>#VALUE!</v>
      </c>
      <c r="DI40" s="115" t="e">
        <f t="shared" si="58"/>
        <v>#VALUE!</v>
      </c>
      <c r="DJ40" s="115" t="e">
        <f t="shared" si="58"/>
        <v>#VALUE!</v>
      </c>
      <c r="DK40" s="115" t="e">
        <f t="shared" si="58"/>
        <v>#VALUE!</v>
      </c>
      <c r="DL40" s="115" t="e">
        <f t="shared" si="58"/>
        <v>#VALUE!</v>
      </c>
      <c r="DM40" s="115" t="e">
        <f t="shared" si="58"/>
        <v>#VALUE!</v>
      </c>
    </row>
    <row r="41" spans="1:117" ht="15" customHeight="1" thickBot="1">
      <c r="A41" s="55">
        <v>4200</v>
      </c>
      <c r="B41" s="194" t="s">
        <v>728</v>
      </c>
      <c r="C41" s="194" t="s">
        <v>775</v>
      </c>
      <c r="D41" s="194" t="s">
        <v>145</v>
      </c>
      <c r="E41" s="194"/>
      <c r="F41" s="194" t="s">
        <v>1075</v>
      </c>
      <c r="G41" s="291">
        <f t="shared" si="4"/>
        <v>0</v>
      </c>
      <c r="H41" s="292">
        <f>VLOOKUP("E5.C",Errichtungskosten,12,0)*VLOOKUP("E5Ci",Verwaltung_Technik,5,0)/100</f>
        <v>0</v>
      </c>
      <c r="I41" s="168"/>
      <c r="J41" s="194" t="s">
        <v>727</v>
      </c>
      <c r="K41" s="378" t="s">
        <v>732</v>
      </c>
      <c r="L41" s="379" t="s">
        <v>356</v>
      </c>
      <c r="M41" s="325">
        <f t="shared" si="37"/>
        <v>2.77</v>
      </c>
      <c r="N41" s="380">
        <f t="shared" si="38"/>
        <v>1.0105211406096364</v>
      </c>
      <c r="O41" s="381">
        <f t="shared" si="49"/>
        <v>0</v>
      </c>
      <c r="P41" s="169" t="s">
        <v>103</v>
      </c>
      <c r="Q41" s="114">
        <f t="shared" si="49"/>
        <v>0</v>
      </c>
      <c r="R41" s="115">
        <f t="shared" si="49"/>
        <v>0</v>
      </c>
      <c r="S41" s="115">
        <f t="shared" si="49"/>
        <v>0</v>
      </c>
      <c r="T41" s="115">
        <f t="shared" si="49"/>
        <v>0</v>
      </c>
      <c r="U41" s="115">
        <f t="shared" si="49"/>
        <v>0</v>
      </c>
      <c r="V41" s="115">
        <f t="shared" si="49"/>
        <v>0</v>
      </c>
      <c r="W41" s="115">
        <f t="shared" si="49"/>
        <v>0</v>
      </c>
      <c r="X41" s="115">
        <f t="shared" si="49"/>
        <v>0</v>
      </c>
      <c r="Y41" s="115">
        <f t="shared" si="49"/>
        <v>0</v>
      </c>
      <c r="Z41" s="115">
        <f t="shared" si="50"/>
        <v>0</v>
      </c>
      <c r="AA41" s="115">
        <f t="shared" si="50"/>
        <v>0</v>
      </c>
      <c r="AB41" s="115">
        <f t="shared" si="50"/>
        <v>0</v>
      </c>
      <c r="AC41" s="115">
        <f t="shared" si="50"/>
        <v>0</v>
      </c>
      <c r="AD41" s="115">
        <f t="shared" si="50"/>
        <v>0</v>
      </c>
      <c r="AE41" s="115">
        <f t="shared" si="50"/>
        <v>0</v>
      </c>
      <c r="AF41" s="115">
        <f t="shared" si="50"/>
        <v>0</v>
      </c>
      <c r="AG41" s="115">
        <f t="shared" si="50"/>
        <v>0</v>
      </c>
      <c r="AH41" s="115">
        <f t="shared" si="50"/>
        <v>0</v>
      </c>
      <c r="AI41" s="115">
        <f t="shared" si="50"/>
        <v>0</v>
      </c>
      <c r="AJ41" s="115">
        <f t="shared" si="51"/>
        <v>0</v>
      </c>
      <c r="AK41" s="115">
        <f t="shared" si="51"/>
        <v>0</v>
      </c>
      <c r="AL41" s="115">
        <f t="shared" si="51"/>
        <v>0</v>
      </c>
      <c r="AM41" s="115">
        <f t="shared" si="51"/>
        <v>0</v>
      </c>
      <c r="AN41" s="115">
        <f t="shared" si="51"/>
        <v>0</v>
      </c>
      <c r="AO41" s="115">
        <f t="shared" si="51"/>
        <v>0</v>
      </c>
      <c r="AP41" s="115">
        <f t="shared" si="51"/>
        <v>0</v>
      </c>
      <c r="AQ41" s="115">
        <f t="shared" si="51"/>
        <v>0</v>
      </c>
      <c r="AR41" s="115">
        <f t="shared" si="51"/>
        <v>0</v>
      </c>
      <c r="AS41" s="115">
        <f t="shared" si="51"/>
        <v>0</v>
      </c>
      <c r="AT41" s="115">
        <f t="shared" si="52"/>
        <v>0</v>
      </c>
      <c r="AU41" s="115">
        <f t="shared" si="52"/>
        <v>0</v>
      </c>
      <c r="AV41" s="115" t="e">
        <f t="shared" si="52"/>
        <v>#VALUE!</v>
      </c>
      <c r="AW41" s="115" t="e">
        <f t="shared" si="52"/>
        <v>#VALUE!</v>
      </c>
      <c r="AX41" s="115" t="e">
        <f t="shared" si="52"/>
        <v>#VALUE!</v>
      </c>
      <c r="AY41" s="115" t="e">
        <f t="shared" si="52"/>
        <v>#VALUE!</v>
      </c>
      <c r="AZ41" s="115" t="e">
        <f t="shared" si="52"/>
        <v>#VALUE!</v>
      </c>
      <c r="BA41" s="115" t="e">
        <f t="shared" si="52"/>
        <v>#VALUE!</v>
      </c>
      <c r="BB41" s="115" t="e">
        <f t="shared" si="52"/>
        <v>#VALUE!</v>
      </c>
      <c r="BC41" s="115" t="e">
        <f t="shared" si="52"/>
        <v>#VALUE!</v>
      </c>
      <c r="BD41" s="115" t="e">
        <f t="shared" si="53"/>
        <v>#VALUE!</v>
      </c>
      <c r="BE41" s="115" t="e">
        <f t="shared" si="53"/>
        <v>#VALUE!</v>
      </c>
      <c r="BF41" s="115" t="e">
        <f t="shared" si="53"/>
        <v>#VALUE!</v>
      </c>
      <c r="BG41" s="115" t="e">
        <f t="shared" si="53"/>
        <v>#VALUE!</v>
      </c>
      <c r="BH41" s="115" t="e">
        <f t="shared" si="53"/>
        <v>#VALUE!</v>
      </c>
      <c r="BI41" s="115" t="e">
        <f t="shared" si="53"/>
        <v>#VALUE!</v>
      </c>
      <c r="BJ41" s="115" t="e">
        <f t="shared" si="53"/>
        <v>#VALUE!</v>
      </c>
      <c r="BK41" s="115" t="e">
        <f t="shared" si="53"/>
        <v>#VALUE!</v>
      </c>
      <c r="BL41" s="115" t="e">
        <f t="shared" si="53"/>
        <v>#VALUE!</v>
      </c>
      <c r="BM41" s="115" t="e">
        <f t="shared" si="53"/>
        <v>#VALUE!</v>
      </c>
      <c r="BN41" s="115" t="e">
        <f t="shared" si="54"/>
        <v>#VALUE!</v>
      </c>
      <c r="BO41" s="115" t="e">
        <f t="shared" si="54"/>
        <v>#VALUE!</v>
      </c>
      <c r="BP41" s="115" t="e">
        <f t="shared" si="54"/>
        <v>#VALUE!</v>
      </c>
      <c r="BQ41" s="115" t="e">
        <f t="shared" si="54"/>
        <v>#VALUE!</v>
      </c>
      <c r="BR41" s="115" t="e">
        <f t="shared" si="54"/>
        <v>#VALUE!</v>
      </c>
      <c r="BS41" s="115" t="e">
        <f t="shared" si="54"/>
        <v>#VALUE!</v>
      </c>
      <c r="BT41" s="115" t="e">
        <f t="shared" si="54"/>
        <v>#VALUE!</v>
      </c>
      <c r="BU41" s="115" t="e">
        <f t="shared" si="54"/>
        <v>#VALUE!</v>
      </c>
      <c r="BV41" s="115" t="e">
        <f t="shared" si="54"/>
        <v>#VALUE!</v>
      </c>
      <c r="BW41" s="115" t="e">
        <f t="shared" si="54"/>
        <v>#VALUE!</v>
      </c>
      <c r="BX41" s="115" t="e">
        <f t="shared" si="55"/>
        <v>#VALUE!</v>
      </c>
      <c r="BY41" s="115" t="e">
        <f t="shared" si="55"/>
        <v>#VALUE!</v>
      </c>
      <c r="BZ41" s="115" t="e">
        <f t="shared" si="55"/>
        <v>#VALUE!</v>
      </c>
      <c r="CA41" s="115" t="e">
        <f t="shared" si="55"/>
        <v>#VALUE!</v>
      </c>
      <c r="CB41" s="115" t="e">
        <f t="shared" si="55"/>
        <v>#VALUE!</v>
      </c>
      <c r="CC41" s="115" t="e">
        <f t="shared" si="55"/>
        <v>#VALUE!</v>
      </c>
      <c r="CD41" s="115" t="e">
        <f t="shared" si="55"/>
        <v>#VALUE!</v>
      </c>
      <c r="CE41" s="115" t="e">
        <f t="shared" si="55"/>
        <v>#VALUE!</v>
      </c>
      <c r="CF41" s="115" t="e">
        <f t="shared" si="55"/>
        <v>#VALUE!</v>
      </c>
      <c r="CG41" s="115" t="e">
        <f t="shared" si="55"/>
        <v>#VALUE!</v>
      </c>
      <c r="CH41" s="115" t="e">
        <f t="shared" si="56"/>
        <v>#VALUE!</v>
      </c>
      <c r="CI41" s="115" t="e">
        <f t="shared" si="56"/>
        <v>#VALUE!</v>
      </c>
      <c r="CJ41" s="115" t="e">
        <f t="shared" si="56"/>
        <v>#VALUE!</v>
      </c>
      <c r="CK41" s="115" t="e">
        <f t="shared" si="56"/>
        <v>#VALUE!</v>
      </c>
      <c r="CL41" s="115" t="e">
        <f t="shared" si="56"/>
        <v>#VALUE!</v>
      </c>
      <c r="CM41" s="115" t="e">
        <f t="shared" si="56"/>
        <v>#VALUE!</v>
      </c>
      <c r="CN41" s="115" t="e">
        <f t="shared" si="56"/>
        <v>#VALUE!</v>
      </c>
      <c r="CO41" s="115" t="e">
        <f t="shared" si="56"/>
        <v>#VALUE!</v>
      </c>
      <c r="CP41" s="115" t="e">
        <f t="shared" si="56"/>
        <v>#VALUE!</v>
      </c>
      <c r="CQ41" s="115" t="e">
        <f t="shared" si="56"/>
        <v>#VALUE!</v>
      </c>
      <c r="CR41" s="115" t="e">
        <f t="shared" si="57"/>
        <v>#VALUE!</v>
      </c>
      <c r="CS41" s="115" t="e">
        <f t="shared" si="57"/>
        <v>#VALUE!</v>
      </c>
      <c r="CT41" s="115" t="e">
        <f t="shared" si="57"/>
        <v>#VALUE!</v>
      </c>
      <c r="CU41" s="115" t="e">
        <f t="shared" si="57"/>
        <v>#VALUE!</v>
      </c>
      <c r="CV41" s="115" t="e">
        <f t="shared" si="57"/>
        <v>#VALUE!</v>
      </c>
      <c r="CW41" s="115" t="e">
        <f t="shared" si="57"/>
        <v>#VALUE!</v>
      </c>
      <c r="CX41" s="115" t="e">
        <f t="shared" si="57"/>
        <v>#VALUE!</v>
      </c>
      <c r="CY41" s="115" t="e">
        <f t="shared" si="57"/>
        <v>#VALUE!</v>
      </c>
      <c r="CZ41" s="115" t="e">
        <f t="shared" si="57"/>
        <v>#VALUE!</v>
      </c>
      <c r="DA41" s="115" t="e">
        <f t="shared" si="57"/>
        <v>#VALUE!</v>
      </c>
      <c r="DB41" s="115" t="e">
        <f t="shared" si="58"/>
        <v>#VALUE!</v>
      </c>
      <c r="DC41" s="115" t="e">
        <f t="shared" si="58"/>
        <v>#VALUE!</v>
      </c>
      <c r="DD41" s="115" t="e">
        <f t="shared" si="58"/>
        <v>#VALUE!</v>
      </c>
      <c r="DE41" s="115" t="e">
        <f t="shared" si="58"/>
        <v>#VALUE!</v>
      </c>
      <c r="DF41" s="115" t="e">
        <f t="shared" si="58"/>
        <v>#VALUE!</v>
      </c>
      <c r="DG41" s="115" t="e">
        <f t="shared" si="58"/>
        <v>#VALUE!</v>
      </c>
      <c r="DH41" s="115" t="e">
        <f t="shared" si="58"/>
        <v>#VALUE!</v>
      </c>
      <c r="DI41" s="115" t="e">
        <f t="shared" si="58"/>
        <v>#VALUE!</v>
      </c>
      <c r="DJ41" s="115" t="e">
        <f t="shared" si="58"/>
        <v>#VALUE!</v>
      </c>
      <c r="DK41" s="115" t="e">
        <f t="shared" si="58"/>
        <v>#VALUE!</v>
      </c>
      <c r="DL41" s="115" t="e">
        <f t="shared" si="58"/>
        <v>#VALUE!</v>
      </c>
      <c r="DM41" s="115" t="e">
        <f t="shared" si="58"/>
        <v>#VALUE!</v>
      </c>
    </row>
    <row r="42" spans="1:117" ht="15" customHeight="1" thickBot="1">
      <c r="A42" s="55">
        <v>4300</v>
      </c>
      <c r="B42" s="194" t="s">
        <v>728</v>
      </c>
      <c r="C42" s="194" t="s">
        <v>776</v>
      </c>
      <c r="D42" s="194" t="s">
        <v>136</v>
      </c>
      <c r="E42" s="194"/>
      <c r="F42" s="194" t="s">
        <v>1076</v>
      </c>
      <c r="G42" s="291">
        <f t="shared" si="4"/>
        <v>0</v>
      </c>
      <c r="H42" s="292">
        <f>VLOOKUP("E6.C",Errichtungskosten,12,0)*VLOOKUP("E6Ci",Verwaltung_Technik,5,0)/100</f>
        <v>0</v>
      </c>
      <c r="I42" s="168"/>
      <c r="J42" s="194" t="s">
        <v>727</v>
      </c>
      <c r="K42" s="378" t="s">
        <v>732</v>
      </c>
      <c r="L42" s="379" t="s">
        <v>356</v>
      </c>
      <c r="M42" s="325">
        <f t="shared" si="37"/>
        <v>2.77</v>
      </c>
      <c r="N42" s="380">
        <f t="shared" si="38"/>
        <v>1.0105211406096364</v>
      </c>
      <c r="O42" s="381">
        <f t="shared" si="49"/>
        <v>0</v>
      </c>
      <c r="P42" s="169" t="s">
        <v>103</v>
      </c>
      <c r="Q42" s="114">
        <f t="shared" si="49"/>
        <v>0</v>
      </c>
      <c r="R42" s="115">
        <f t="shared" si="49"/>
        <v>0</v>
      </c>
      <c r="S42" s="115">
        <f t="shared" si="49"/>
        <v>0</v>
      </c>
      <c r="T42" s="115">
        <f t="shared" si="49"/>
        <v>0</v>
      </c>
      <c r="U42" s="115">
        <f t="shared" si="49"/>
        <v>0</v>
      </c>
      <c r="V42" s="115">
        <f t="shared" si="49"/>
        <v>0</v>
      </c>
      <c r="W42" s="115">
        <f t="shared" si="49"/>
        <v>0</v>
      </c>
      <c r="X42" s="115">
        <f t="shared" si="49"/>
        <v>0</v>
      </c>
      <c r="Y42" s="115">
        <f t="shared" si="49"/>
        <v>0</v>
      </c>
      <c r="Z42" s="115">
        <f t="shared" si="50"/>
        <v>0</v>
      </c>
      <c r="AA42" s="115">
        <f t="shared" si="50"/>
        <v>0</v>
      </c>
      <c r="AB42" s="115">
        <f t="shared" si="50"/>
        <v>0</v>
      </c>
      <c r="AC42" s="115">
        <f t="shared" si="50"/>
        <v>0</v>
      </c>
      <c r="AD42" s="115">
        <f t="shared" si="50"/>
        <v>0</v>
      </c>
      <c r="AE42" s="115">
        <f t="shared" si="50"/>
        <v>0</v>
      </c>
      <c r="AF42" s="115">
        <f t="shared" si="50"/>
        <v>0</v>
      </c>
      <c r="AG42" s="115">
        <f t="shared" si="50"/>
        <v>0</v>
      </c>
      <c r="AH42" s="115">
        <f t="shared" si="50"/>
        <v>0</v>
      </c>
      <c r="AI42" s="115">
        <f t="shared" si="50"/>
        <v>0</v>
      </c>
      <c r="AJ42" s="115">
        <f t="shared" si="51"/>
        <v>0</v>
      </c>
      <c r="AK42" s="115">
        <f t="shared" si="51"/>
        <v>0</v>
      </c>
      <c r="AL42" s="115">
        <f t="shared" si="51"/>
        <v>0</v>
      </c>
      <c r="AM42" s="115">
        <f t="shared" si="51"/>
        <v>0</v>
      </c>
      <c r="AN42" s="115">
        <f t="shared" si="51"/>
        <v>0</v>
      </c>
      <c r="AO42" s="115">
        <f t="shared" si="51"/>
        <v>0</v>
      </c>
      <c r="AP42" s="115">
        <f t="shared" si="51"/>
        <v>0</v>
      </c>
      <c r="AQ42" s="115">
        <f t="shared" si="51"/>
        <v>0</v>
      </c>
      <c r="AR42" s="115">
        <f t="shared" si="51"/>
        <v>0</v>
      </c>
      <c r="AS42" s="115">
        <f t="shared" si="51"/>
        <v>0</v>
      </c>
      <c r="AT42" s="115">
        <f t="shared" si="52"/>
        <v>0</v>
      </c>
      <c r="AU42" s="115">
        <f t="shared" si="52"/>
        <v>0</v>
      </c>
      <c r="AV42" s="115" t="e">
        <f t="shared" si="52"/>
        <v>#VALUE!</v>
      </c>
      <c r="AW42" s="115" t="e">
        <f t="shared" si="52"/>
        <v>#VALUE!</v>
      </c>
      <c r="AX42" s="115" t="e">
        <f t="shared" si="52"/>
        <v>#VALUE!</v>
      </c>
      <c r="AY42" s="115" t="e">
        <f t="shared" si="52"/>
        <v>#VALUE!</v>
      </c>
      <c r="AZ42" s="115" t="e">
        <f t="shared" si="52"/>
        <v>#VALUE!</v>
      </c>
      <c r="BA42" s="115" t="e">
        <f t="shared" si="52"/>
        <v>#VALUE!</v>
      </c>
      <c r="BB42" s="115" t="e">
        <f t="shared" si="52"/>
        <v>#VALUE!</v>
      </c>
      <c r="BC42" s="115" t="e">
        <f t="shared" si="52"/>
        <v>#VALUE!</v>
      </c>
      <c r="BD42" s="115" t="e">
        <f t="shared" si="53"/>
        <v>#VALUE!</v>
      </c>
      <c r="BE42" s="115" t="e">
        <f t="shared" si="53"/>
        <v>#VALUE!</v>
      </c>
      <c r="BF42" s="115" t="e">
        <f t="shared" si="53"/>
        <v>#VALUE!</v>
      </c>
      <c r="BG42" s="115" t="e">
        <f t="shared" si="53"/>
        <v>#VALUE!</v>
      </c>
      <c r="BH42" s="115" t="e">
        <f t="shared" si="53"/>
        <v>#VALUE!</v>
      </c>
      <c r="BI42" s="115" t="e">
        <f t="shared" si="53"/>
        <v>#VALUE!</v>
      </c>
      <c r="BJ42" s="115" t="e">
        <f t="shared" si="53"/>
        <v>#VALUE!</v>
      </c>
      <c r="BK42" s="115" t="e">
        <f t="shared" si="53"/>
        <v>#VALUE!</v>
      </c>
      <c r="BL42" s="115" t="e">
        <f t="shared" si="53"/>
        <v>#VALUE!</v>
      </c>
      <c r="BM42" s="115" t="e">
        <f t="shared" si="53"/>
        <v>#VALUE!</v>
      </c>
      <c r="BN42" s="115" t="e">
        <f t="shared" si="54"/>
        <v>#VALUE!</v>
      </c>
      <c r="BO42" s="115" t="e">
        <f t="shared" si="54"/>
        <v>#VALUE!</v>
      </c>
      <c r="BP42" s="115" t="e">
        <f t="shared" si="54"/>
        <v>#VALUE!</v>
      </c>
      <c r="BQ42" s="115" t="e">
        <f t="shared" si="54"/>
        <v>#VALUE!</v>
      </c>
      <c r="BR42" s="115" t="e">
        <f t="shared" si="54"/>
        <v>#VALUE!</v>
      </c>
      <c r="BS42" s="115" t="e">
        <f t="shared" si="54"/>
        <v>#VALUE!</v>
      </c>
      <c r="BT42" s="115" t="e">
        <f t="shared" si="54"/>
        <v>#VALUE!</v>
      </c>
      <c r="BU42" s="115" t="e">
        <f t="shared" si="54"/>
        <v>#VALUE!</v>
      </c>
      <c r="BV42" s="115" t="e">
        <f t="shared" si="54"/>
        <v>#VALUE!</v>
      </c>
      <c r="BW42" s="115" t="e">
        <f t="shared" si="54"/>
        <v>#VALUE!</v>
      </c>
      <c r="BX42" s="115" t="e">
        <f t="shared" si="55"/>
        <v>#VALUE!</v>
      </c>
      <c r="BY42" s="115" t="e">
        <f t="shared" si="55"/>
        <v>#VALUE!</v>
      </c>
      <c r="BZ42" s="115" t="e">
        <f t="shared" si="55"/>
        <v>#VALUE!</v>
      </c>
      <c r="CA42" s="115" t="e">
        <f t="shared" si="55"/>
        <v>#VALUE!</v>
      </c>
      <c r="CB42" s="115" t="e">
        <f t="shared" si="55"/>
        <v>#VALUE!</v>
      </c>
      <c r="CC42" s="115" t="e">
        <f t="shared" si="55"/>
        <v>#VALUE!</v>
      </c>
      <c r="CD42" s="115" t="e">
        <f t="shared" si="55"/>
        <v>#VALUE!</v>
      </c>
      <c r="CE42" s="115" t="e">
        <f t="shared" si="55"/>
        <v>#VALUE!</v>
      </c>
      <c r="CF42" s="115" t="e">
        <f t="shared" si="55"/>
        <v>#VALUE!</v>
      </c>
      <c r="CG42" s="115" t="e">
        <f t="shared" si="55"/>
        <v>#VALUE!</v>
      </c>
      <c r="CH42" s="115" t="e">
        <f t="shared" si="56"/>
        <v>#VALUE!</v>
      </c>
      <c r="CI42" s="115" t="e">
        <f t="shared" si="56"/>
        <v>#VALUE!</v>
      </c>
      <c r="CJ42" s="115" t="e">
        <f t="shared" si="56"/>
        <v>#VALUE!</v>
      </c>
      <c r="CK42" s="115" t="e">
        <f t="shared" si="56"/>
        <v>#VALUE!</v>
      </c>
      <c r="CL42" s="115" t="e">
        <f t="shared" si="56"/>
        <v>#VALUE!</v>
      </c>
      <c r="CM42" s="115" t="e">
        <f t="shared" si="56"/>
        <v>#VALUE!</v>
      </c>
      <c r="CN42" s="115" t="e">
        <f t="shared" si="56"/>
        <v>#VALUE!</v>
      </c>
      <c r="CO42" s="115" t="e">
        <f t="shared" si="56"/>
        <v>#VALUE!</v>
      </c>
      <c r="CP42" s="115" t="e">
        <f t="shared" si="56"/>
        <v>#VALUE!</v>
      </c>
      <c r="CQ42" s="115" t="e">
        <f t="shared" si="56"/>
        <v>#VALUE!</v>
      </c>
      <c r="CR42" s="115" t="e">
        <f t="shared" si="57"/>
        <v>#VALUE!</v>
      </c>
      <c r="CS42" s="115" t="e">
        <f t="shared" si="57"/>
        <v>#VALUE!</v>
      </c>
      <c r="CT42" s="115" t="e">
        <f t="shared" si="57"/>
        <v>#VALUE!</v>
      </c>
      <c r="CU42" s="115" t="e">
        <f t="shared" si="57"/>
        <v>#VALUE!</v>
      </c>
      <c r="CV42" s="115" t="e">
        <f t="shared" si="57"/>
        <v>#VALUE!</v>
      </c>
      <c r="CW42" s="115" t="e">
        <f t="shared" si="57"/>
        <v>#VALUE!</v>
      </c>
      <c r="CX42" s="115" t="e">
        <f t="shared" si="57"/>
        <v>#VALUE!</v>
      </c>
      <c r="CY42" s="115" t="e">
        <f t="shared" si="57"/>
        <v>#VALUE!</v>
      </c>
      <c r="CZ42" s="115" t="e">
        <f t="shared" si="57"/>
        <v>#VALUE!</v>
      </c>
      <c r="DA42" s="115" t="e">
        <f t="shared" si="57"/>
        <v>#VALUE!</v>
      </c>
      <c r="DB42" s="115" t="e">
        <f t="shared" si="58"/>
        <v>#VALUE!</v>
      </c>
      <c r="DC42" s="115" t="e">
        <f t="shared" si="58"/>
        <v>#VALUE!</v>
      </c>
      <c r="DD42" s="115" t="e">
        <f t="shared" si="58"/>
        <v>#VALUE!</v>
      </c>
      <c r="DE42" s="115" t="e">
        <f t="shared" si="58"/>
        <v>#VALUE!</v>
      </c>
      <c r="DF42" s="115" t="e">
        <f t="shared" si="58"/>
        <v>#VALUE!</v>
      </c>
      <c r="DG42" s="115" t="e">
        <f t="shared" si="58"/>
        <v>#VALUE!</v>
      </c>
      <c r="DH42" s="115" t="e">
        <f t="shared" si="58"/>
        <v>#VALUE!</v>
      </c>
      <c r="DI42" s="115" t="e">
        <f t="shared" si="58"/>
        <v>#VALUE!</v>
      </c>
      <c r="DJ42" s="115" t="e">
        <f t="shared" si="58"/>
        <v>#VALUE!</v>
      </c>
      <c r="DK42" s="115" t="e">
        <f t="shared" si="58"/>
        <v>#VALUE!</v>
      </c>
      <c r="DL42" s="115" t="e">
        <f t="shared" si="58"/>
        <v>#VALUE!</v>
      </c>
      <c r="DM42" s="115" t="e">
        <f t="shared" si="58"/>
        <v>#VALUE!</v>
      </c>
    </row>
    <row r="43" spans="1:117" ht="15" customHeight="1" thickBot="1">
      <c r="A43" s="55">
        <v>4400</v>
      </c>
      <c r="B43" s="194" t="s">
        <v>728</v>
      </c>
      <c r="C43" s="194" t="s">
        <v>777</v>
      </c>
      <c r="D43" s="194" t="s">
        <v>480</v>
      </c>
      <c r="E43" s="194"/>
      <c r="F43" s="194" t="s">
        <v>1077</v>
      </c>
      <c r="G43" s="291">
        <f t="shared" si="4"/>
        <v>0</v>
      </c>
      <c r="H43" s="292">
        <f>VLOOKUP("E6.D",Errichtungskosten,12,0)*VLOOKUP("E6Di",Verwaltung_Technik,5,0)/100</f>
        <v>0</v>
      </c>
      <c r="I43" s="168"/>
      <c r="J43" s="194" t="s">
        <v>727</v>
      </c>
      <c r="K43" s="378" t="s">
        <v>732</v>
      </c>
      <c r="L43" s="379" t="s">
        <v>356</v>
      </c>
      <c r="M43" s="325">
        <f t="shared" si="37"/>
        <v>2.77</v>
      </c>
      <c r="N43" s="380">
        <f t="shared" si="38"/>
        <v>1.0105211406096364</v>
      </c>
      <c r="O43" s="381">
        <f t="shared" si="49"/>
        <v>0</v>
      </c>
      <c r="P43" s="169" t="s">
        <v>103</v>
      </c>
      <c r="Q43" s="114">
        <f t="shared" si="49"/>
        <v>0</v>
      </c>
      <c r="R43" s="115">
        <f t="shared" si="49"/>
        <v>0</v>
      </c>
      <c r="S43" s="115">
        <f t="shared" si="49"/>
        <v>0</v>
      </c>
      <c r="T43" s="115">
        <f t="shared" si="49"/>
        <v>0</v>
      </c>
      <c r="U43" s="115">
        <f t="shared" si="49"/>
        <v>0</v>
      </c>
      <c r="V43" s="115">
        <f t="shared" si="49"/>
        <v>0</v>
      </c>
      <c r="W43" s="115">
        <f t="shared" si="49"/>
        <v>0</v>
      </c>
      <c r="X43" s="115">
        <f t="shared" si="49"/>
        <v>0</v>
      </c>
      <c r="Y43" s="115">
        <f t="shared" si="49"/>
        <v>0</v>
      </c>
      <c r="Z43" s="115">
        <f t="shared" si="50"/>
        <v>0</v>
      </c>
      <c r="AA43" s="115">
        <f t="shared" si="50"/>
        <v>0</v>
      </c>
      <c r="AB43" s="115">
        <f t="shared" si="50"/>
        <v>0</v>
      </c>
      <c r="AC43" s="115">
        <f t="shared" si="50"/>
        <v>0</v>
      </c>
      <c r="AD43" s="115">
        <f t="shared" si="50"/>
        <v>0</v>
      </c>
      <c r="AE43" s="115">
        <f t="shared" si="50"/>
        <v>0</v>
      </c>
      <c r="AF43" s="115">
        <f t="shared" si="50"/>
        <v>0</v>
      </c>
      <c r="AG43" s="115">
        <f t="shared" si="50"/>
        <v>0</v>
      </c>
      <c r="AH43" s="115">
        <f t="shared" si="50"/>
        <v>0</v>
      </c>
      <c r="AI43" s="115">
        <f t="shared" si="50"/>
        <v>0</v>
      </c>
      <c r="AJ43" s="115">
        <f t="shared" si="51"/>
        <v>0</v>
      </c>
      <c r="AK43" s="115">
        <f t="shared" si="51"/>
        <v>0</v>
      </c>
      <c r="AL43" s="115">
        <f t="shared" si="51"/>
        <v>0</v>
      </c>
      <c r="AM43" s="115">
        <f t="shared" si="51"/>
        <v>0</v>
      </c>
      <c r="AN43" s="115">
        <f t="shared" si="51"/>
        <v>0</v>
      </c>
      <c r="AO43" s="115">
        <f t="shared" si="51"/>
        <v>0</v>
      </c>
      <c r="AP43" s="115">
        <f t="shared" si="51"/>
        <v>0</v>
      </c>
      <c r="AQ43" s="115">
        <f t="shared" si="51"/>
        <v>0</v>
      </c>
      <c r="AR43" s="115">
        <f t="shared" si="51"/>
        <v>0</v>
      </c>
      <c r="AS43" s="115">
        <f t="shared" si="51"/>
        <v>0</v>
      </c>
      <c r="AT43" s="115">
        <f t="shared" si="52"/>
        <v>0</v>
      </c>
      <c r="AU43" s="115">
        <f t="shared" si="52"/>
        <v>0</v>
      </c>
      <c r="AV43" s="115" t="e">
        <f t="shared" si="52"/>
        <v>#VALUE!</v>
      </c>
      <c r="AW43" s="115" t="e">
        <f t="shared" si="52"/>
        <v>#VALUE!</v>
      </c>
      <c r="AX43" s="115" t="e">
        <f t="shared" si="52"/>
        <v>#VALUE!</v>
      </c>
      <c r="AY43" s="115" t="e">
        <f t="shared" si="52"/>
        <v>#VALUE!</v>
      </c>
      <c r="AZ43" s="115" t="e">
        <f t="shared" si="52"/>
        <v>#VALUE!</v>
      </c>
      <c r="BA43" s="115" t="e">
        <f t="shared" si="52"/>
        <v>#VALUE!</v>
      </c>
      <c r="BB43" s="115" t="e">
        <f t="shared" si="52"/>
        <v>#VALUE!</v>
      </c>
      <c r="BC43" s="115" t="e">
        <f t="shared" si="52"/>
        <v>#VALUE!</v>
      </c>
      <c r="BD43" s="115" t="e">
        <f t="shared" si="53"/>
        <v>#VALUE!</v>
      </c>
      <c r="BE43" s="115" t="e">
        <f t="shared" si="53"/>
        <v>#VALUE!</v>
      </c>
      <c r="BF43" s="115" t="e">
        <f t="shared" si="53"/>
        <v>#VALUE!</v>
      </c>
      <c r="BG43" s="115" t="e">
        <f t="shared" si="53"/>
        <v>#VALUE!</v>
      </c>
      <c r="BH43" s="115" t="e">
        <f t="shared" si="53"/>
        <v>#VALUE!</v>
      </c>
      <c r="BI43" s="115" t="e">
        <f t="shared" si="53"/>
        <v>#VALUE!</v>
      </c>
      <c r="BJ43" s="115" t="e">
        <f t="shared" si="53"/>
        <v>#VALUE!</v>
      </c>
      <c r="BK43" s="115" t="e">
        <f t="shared" si="53"/>
        <v>#VALUE!</v>
      </c>
      <c r="BL43" s="115" t="e">
        <f t="shared" si="53"/>
        <v>#VALUE!</v>
      </c>
      <c r="BM43" s="115" t="e">
        <f t="shared" si="53"/>
        <v>#VALUE!</v>
      </c>
      <c r="BN43" s="115" t="e">
        <f t="shared" si="54"/>
        <v>#VALUE!</v>
      </c>
      <c r="BO43" s="115" t="e">
        <f t="shared" si="54"/>
        <v>#VALUE!</v>
      </c>
      <c r="BP43" s="115" t="e">
        <f t="shared" si="54"/>
        <v>#VALUE!</v>
      </c>
      <c r="BQ43" s="115" t="e">
        <f t="shared" si="54"/>
        <v>#VALUE!</v>
      </c>
      <c r="BR43" s="115" t="e">
        <f t="shared" si="54"/>
        <v>#VALUE!</v>
      </c>
      <c r="BS43" s="115" t="e">
        <f t="shared" si="54"/>
        <v>#VALUE!</v>
      </c>
      <c r="BT43" s="115" t="e">
        <f t="shared" si="54"/>
        <v>#VALUE!</v>
      </c>
      <c r="BU43" s="115" t="e">
        <f t="shared" si="54"/>
        <v>#VALUE!</v>
      </c>
      <c r="BV43" s="115" t="e">
        <f t="shared" si="54"/>
        <v>#VALUE!</v>
      </c>
      <c r="BW43" s="115" t="e">
        <f t="shared" si="54"/>
        <v>#VALUE!</v>
      </c>
      <c r="BX43" s="115" t="e">
        <f t="shared" si="55"/>
        <v>#VALUE!</v>
      </c>
      <c r="BY43" s="115" t="e">
        <f t="shared" si="55"/>
        <v>#VALUE!</v>
      </c>
      <c r="BZ43" s="115" t="e">
        <f t="shared" si="55"/>
        <v>#VALUE!</v>
      </c>
      <c r="CA43" s="115" t="e">
        <f t="shared" si="55"/>
        <v>#VALUE!</v>
      </c>
      <c r="CB43" s="115" t="e">
        <f t="shared" si="55"/>
        <v>#VALUE!</v>
      </c>
      <c r="CC43" s="115" t="e">
        <f t="shared" si="55"/>
        <v>#VALUE!</v>
      </c>
      <c r="CD43" s="115" t="e">
        <f t="shared" si="55"/>
        <v>#VALUE!</v>
      </c>
      <c r="CE43" s="115" t="e">
        <f t="shared" si="55"/>
        <v>#VALUE!</v>
      </c>
      <c r="CF43" s="115" t="e">
        <f t="shared" si="55"/>
        <v>#VALUE!</v>
      </c>
      <c r="CG43" s="115" t="e">
        <f t="shared" si="55"/>
        <v>#VALUE!</v>
      </c>
      <c r="CH43" s="115" t="e">
        <f t="shared" si="56"/>
        <v>#VALUE!</v>
      </c>
      <c r="CI43" s="115" t="e">
        <f t="shared" si="56"/>
        <v>#VALUE!</v>
      </c>
      <c r="CJ43" s="115" t="e">
        <f t="shared" si="56"/>
        <v>#VALUE!</v>
      </c>
      <c r="CK43" s="115" t="e">
        <f t="shared" si="56"/>
        <v>#VALUE!</v>
      </c>
      <c r="CL43" s="115" t="e">
        <f t="shared" si="56"/>
        <v>#VALUE!</v>
      </c>
      <c r="CM43" s="115" t="e">
        <f t="shared" si="56"/>
        <v>#VALUE!</v>
      </c>
      <c r="CN43" s="115" t="e">
        <f t="shared" si="56"/>
        <v>#VALUE!</v>
      </c>
      <c r="CO43" s="115" t="e">
        <f t="shared" si="56"/>
        <v>#VALUE!</v>
      </c>
      <c r="CP43" s="115" t="e">
        <f t="shared" si="56"/>
        <v>#VALUE!</v>
      </c>
      <c r="CQ43" s="115" t="e">
        <f t="shared" si="56"/>
        <v>#VALUE!</v>
      </c>
      <c r="CR43" s="115" t="e">
        <f t="shared" si="57"/>
        <v>#VALUE!</v>
      </c>
      <c r="CS43" s="115" t="e">
        <f t="shared" si="57"/>
        <v>#VALUE!</v>
      </c>
      <c r="CT43" s="115" t="e">
        <f t="shared" si="57"/>
        <v>#VALUE!</v>
      </c>
      <c r="CU43" s="115" t="e">
        <f t="shared" si="57"/>
        <v>#VALUE!</v>
      </c>
      <c r="CV43" s="115" t="e">
        <f t="shared" si="57"/>
        <v>#VALUE!</v>
      </c>
      <c r="CW43" s="115" t="e">
        <f t="shared" si="57"/>
        <v>#VALUE!</v>
      </c>
      <c r="CX43" s="115" t="e">
        <f t="shared" si="57"/>
        <v>#VALUE!</v>
      </c>
      <c r="CY43" s="115" t="e">
        <f t="shared" si="57"/>
        <v>#VALUE!</v>
      </c>
      <c r="CZ43" s="115" t="e">
        <f t="shared" si="57"/>
        <v>#VALUE!</v>
      </c>
      <c r="DA43" s="115" t="e">
        <f t="shared" si="57"/>
        <v>#VALUE!</v>
      </c>
      <c r="DB43" s="115" t="e">
        <f t="shared" si="58"/>
        <v>#VALUE!</v>
      </c>
      <c r="DC43" s="115" t="e">
        <f t="shared" si="58"/>
        <v>#VALUE!</v>
      </c>
      <c r="DD43" s="115" t="e">
        <f t="shared" si="58"/>
        <v>#VALUE!</v>
      </c>
      <c r="DE43" s="115" t="e">
        <f t="shared" si="58"/>
        <v>#VALUE!</v>
      </c>
      <c r="DF43" s="115" t="e">
        <f t="shared" si="58"/>
        <v>#VALUE!</v>
      </c>
      <c r="DG43" s="115" t="e">
        <f t="shared" si="58"/>
        <v>#VALUE!</v>
      </c>
      <c r="DH43" s="115" t="e">
        <f t="shared" si="58"/>
        <v>#VALUE!</v>
      </c>
      <c r="DI43" s="115" t="e">
        <f t="shared" si="58"/>
        <v>#VALUE!</v>
      </c>
      <c r="DJ43" s="115" t="e">
        <f t="shared" si="58"/>
        <v>#VALUE!</v>
      </c>
      <c r="DK43" s="115" t="e">
        <f t="shared" si="58"/>
        <v>#VALUE!</v>
      </c>
      <c r="DL43" s="115" t="e">
        <f t="shared" si="58"/>
        <v>#VALUE!</v>
      </c>
      <c r="DM43" s="115" t="e">
        <f t="shared" si="58"/>
        <v>#VALUE!</v>
      </c>
    </row>
    <row r="44" spans="1:117" ht="15" customHeight="1" thickBot="1">
      <c r="A44" s="55">
        <v>4600</v>
      </c>
      <c r="B44" s="194" t="s">
        <v>728</v>
      </c>
      <c r="C44" s="194" t="s">
        <v>778</v>
      </c>
      <c r="D44" s="194" t="s">
        <v>198</v>
      </c>
      <c r="E44" s="194"/>
      <c r="F44" s="194"/>
      <c r="G44" s="291">
        <f t="shared" si="4"/>
        <v>0</v>
      </c>
      <c r="H44" s="292"/>
      <c r="I44" s="306"/>
      <c r="J44" s="194" t="s">
        <v>727</v>
      </c>
      <c r="K44" s="378" t="s">
        <v>732</v>
      </c>
      <c r="L44" s="379" t="s">
        <v>356</v>
      </c>
      <c r="M44" s="325">
        <f t="shared" si="37"/>
        <v>2.77</v>
      </c>
      <c r="N44" s="380">
        <f t="shared" si="38"/>
        <v>1.0105211406096364</v>
      </c>
      <c r="O44" s="381">
        <f t="shared" si="49"/>
        <v>0</v>
      </c>
      <c r="P44" s="169" t="s">
        <v>103</v>
      </c>
      <c r="Q44" s="114">
        <f t="shared" si="49"/>
        <v>0</v>
      </c>
      <c r="R44" s="115">
        <f t="shared" si="49"/>
        <v>0</v>
      </c>
      <c r="S44" s="115">
        <f t="shared" si="49"/>
        <v>0</v>
      </c>
      <c r="T44" s="115">
        <f t="shared" si="49"/>
        <v>0</v>
      </c>
      <c r="U44" s="115">
        <f t="shared" si="49"/>
        <v>0</v>
      </c>
      <c r="V44" s="115">
        <f t="shared" si="49"/>
        <v>0</v>
      </c>
      <c r="W44" s="115">
        <f t="shared" si="49"/>
        <v>0</v>
      </c>
      <c r="X44" s="115">
        <f t="shared" si="49"/>
        <v>0</v>
      </c>
      <c r="Y44" s="115">
        <f t="shared" si="49"/>
        <v>0</v>
      </c>
      <c r="Z44" s="115">
        <f t="shared" si="50"/>
        <v>0</v>
      </c>
      <c r="AA44" s="115">
        <f t="shared" si="50"/>
        <v>0</v>
      </c>
      <c r="AB44" s="115">
        <f t="shared" si="50"/>
        <v>0</v>
      </c>
      <c r="AC44" s="115">
        <f t="shared" si="50"/>
        <v>0</v>
      </c>
      <c r="AD44" s="115">
        <f t="shared" si="50"/>
        <v>0</v>
      </c>
      <c r="AE44" s="115">
        <f t="shared" si="50"/>
        <v>0</v>
      </c>
      <c r="AF44" s="115">
        <f t="shared" si="50"/>
        <v>0</v>
      </c>
      <c r="AG44" s="115">
        <f t="shared" si="50"/>
        <v>0</v>
      </c>
      <c r="AH44" s="115">
        <f t="shared" si="50"/>
        <v>0</v>
      </c>
      <c r="AI44" s="115">
        <f t="shared" si="50"/>
        <v>0</v>
      </c>
      <c r="AJ44" s="115">
        <f t="shared" si="51"/>
        <v>0</v>
      </c>
      <c r="AK44" s="115">
        <f t="shared" si="51"/>
        <v>0</v>
      </c>
      <c r="AL44" s="115">
        <f t="shared" si="51"/>
        <v>0</v>
      </c>
      <c r="AM44" s="115">
        <f t="shared" si="51"/>
        <v>0</v>
      </c>
      <c r="AN44" s="115">
        <f t="shared" si="51"/>
        <v>0</v>
      </c>
      <c r="AO44" s="115">
        <f t="shared" si="51"/>
        <v>0</v>
      </c>
      <c r="AP44" s="115">
        <f t="shared" si="51"/>
        <v>0</v>
      </c>
      <c r="AQ44" s="115">
        <f t="shared" si="51"/>
        <v>0</v>
      </c>
      <c r="AR44" s="115">
        <f t="shared" si="51"/>
        <v>0</v>
      </c>
      <c r="AS44" s="115">
        <f t="shared" si="51"/>
        <v>0</v>
      </c>
      <c r="AT44" s="115">
        <f t="shared" si="52"/>
        <v>0</v>
      </c>
      <c r="AU44" s="115">
        <f t="shared" si="52"/>
        <v>0</v>
      </c>
      <c r="AV44" s="115" t="e">
        <f t="shared" si="52"/>
        <v>#VALUE!</v>
      </c>
      <c r="AW44" s="115" t="e">
        <f t="shared" si="52"/>
        <v>#VALUE!</v>
      </c>
      <c r="AX44" s="115" t="e">
        <f t="shared" si="52"/>
        <v>#VALUE!</v>
      </c>
      <c r="AY44" s="115" t="e">
        <f t="shared" si="52"/>
        <v>#VALUE!</v>
      </c>
      <c r="AZ44" s="115" t="e">
        <f t="shared" si="52"/>
        <v>#VALUE!</v>
      </c>
      <c r="BA44" s="115" t="e">
        <f t="shared" si="52"/>
        <v>#VALUE!</v>
      </c>
      <c r="BB44" s="115" t="e">
        <f t="shared" si="52"/>
        <v>#VALUE!</v>
      </c>
      <c r="BC44" s="115" t="e">
        <f t="shared" si="52"/>
        <v>#VALUE!</v>
      </c>
      <c r="BD44" s="115" t="e">
        <f t="shared" si="53"/>
        <v>#VALUE!</v>
      </c>
      <c r="BE44" s="115" t="e">
        <f t="shared" si="53"/>
        <v>#VALUE!</v>
      </c>
      <c r="BF44" s="115" t="e">
        <f t="shared" si="53"/>
        <v>#VALUE!</v>
      </c>
      <c r="BG44" s="115" t="e">
        <f t="shared" si="53"/>
        <v>#VALUE!</v>
      </c>
      <c r="BH44" s="115" t="e">
        <f t="shared" si="53"/>
        <v>#VALUE!</v>
      </c>
      <c r="BI44" s="115" t="e">
        <f t="shared" si="53"/>
        <v>#VALUE!</v>
      </c>
      <c r="BJ44" s="115" t="e">
        <f t="shared" si="53"/>
        <v>#VALUE!</v>
      </c>
      <c r="BK44" s="115" t="e">
        <f t="shared" si="53"/>
        <v>#VALUE!</v>
      </c>
      <c r="BL44" s="115" t="e">
        <f t="shared" si="53"/>
        <v>#VALUE!</v>
      </c>
      <c r="BM44" s="115" t="e">
        <f t="shared" si="53"/>
        <v>#VALUE!</v>
      </c>
      <c r="BN44" s="115" t="e">
        <f t="shared" si="54"/>
        <v>#VALUE!</v>
      </c>
      <c r="BO44" s="115" t="e">
        <f t="shared" si="54"/>
        <v>#VALUE!</v>
      </c>
      <c r="BP44" s="115" t="e">
        <f t="shared" si="54"/>
        <v>#VALUE!</v>
      </c>
      <c r="BQ44" s="115" t="e">
        <f t="shared" si="54"/>
        <v>#VALUE!</v>
      </c>
      <c r="BR44" s="115" t="e">
        <f t="shared" si="54"/>
        <v>#VALUE!</v>
      </c>
      <c r="BS44" s="115" t="e">
        <f t="shared" si="54"/>
        <v>#VALUE!</v>
      </c>
      <c r="BT44" s="115" t="e">
        <f t="shared" si="54"/>
        <v>#VALUE!</v>
      </c>
      <c r="BU44" s="115" t="e">
        <f t="shared" si="54"/>
        <v>#VALUE!</v>
      </c>
      <c r="BV44" s="115" t="e">
        <f t="shared" si="54"/>
        <v>#VALUE!</v>
      </c>
      <c r="BW44" s="115" t="e">
        <f t="shared" si="54"/>
        <v>#VALUE!</v>
      </c>
      <c r="BX44" s="115" t="e">
        <f t="shared" si="55"/>
        <v>#VALUE!</v>
      </c>
      <c r="BY44" s="115" t="e">
        <f t="shared" si="55"/>
        <v>#VALUE!</v>
      </c>
      <c r="BZ44" s="115" t="e">
        <f t="shared" si="55"/>
        <v>#VALUE!</v>
      </c>
      <c r="CA44" s="115" t="e">
        <f t="shared" si="55"/>
        <v>#VALUE!</v>
      </c>
      <c r="CB44" s="115" t="e">
        <f t="shared" si="55"/>
        <v>#VALUE!</v>
      </c>
      <c r="CC44" s="115" t="e">
        <f t="shared" si="55"/>
        <v>#VALUE!</v>
      </c>
      <c r="CD44" s="115" t="e">
        <f t="shared" si="55"/>
        <v>#VALUE!</v>
      </c>
      <c r="CE44" s="115" t="e">
        <f t="shared" si="55"/>
        <v>#VALUE!</v>
      </c>
      <c r="CF44" s="115" t="e">
        <f t="shared" si="55"/>
        <v>#VALUE!</v>
      </c>
      <c r="CG44" s="115" t="e">
        <f t="shared" si="55"/>
        <v>#VALUE!</v>
      </c>
      <c r="CH44" s="115" t="e">
        <f t="shared" si="56"/>
        <v>#VALUE!</v>
      </c>
      <c r="CI44" s="115" t="e">
        <f t="shared" si="56"/>
        <v>#VALUE!</v>
      </c>
      <c r="CJ44" s="115" t="e">
        <f t="shared" si="56"/>
        <v>#VALUE!</v>
      </c>
      <c r="CK44" s="115" t="e">
        <f t="shared" si="56"/>
        <v>#VALUE!</v>
      </c>
      <c r="CL44" s="115" t="e">
        <f t="shared" si="56"/>
        <v>#VALUE!</v>
      </c>
      <c r="CM44" s="115" t="e">
        <f t="shared" si="56"/>
        <v>#VALUE!</v>
      </c>
      <c r="CN44" s="115" t="e">
        <f t="shared" si="56"/>
        <v>#VALUE!</v>
      </c>
      <c r="CO44" s="115" t="e">
        <f t="shared" si="56"/>
        <v>#VALUE!</v>
      </c>
      <c r="CP44" s="115" t="e">
        <f t="shared" si="56"/>
        <v>#VALUE!</v>
      </c>
      <c r="CQ44" s="115" t="e">
        <f t="shared" si="56"/>
        <v>#VALUE!</v>
      </c>
      <c r="CR44" s="115" t="e">
        <f t="shared" si="57"/>
        <v>#VALUE!</v>
      </c>
      <c r="CS44" s="115" t="e">
        <f t="shared" si="57"/>
        <v>#VALUE!</v>
      </c>
      <c r="CT44" s="115" t="e">
        <f t="shared" si="57"/>
        <v>#VALUE!</v>
      </c>
      <c r="CU44" s="115" t="e">
        <f t="shared" si="57"/>
        <v>#VALUE!</v>
      </c>
      <c r="CV44" s="115" t="e">
        <f t="shared" si="57"/>
        <v>#VALUE!</v>
      </c>
      <c r="CW44" s="115" t="e">
        <f t="shared" si="57"/>
        <v>#VALUE!</v>
      </c>
      <c r="CX44" s="115" t="e">
        <f t="shared" si="57"/>
        <v>#VALUE!</v>
      </c>
      <c r="CY44" s="115" t="e">
        <f t="shared" si="57"/>
        <v>#VALUE!</v>
      </c>
      <c r="CZ44" s="115" t="e">
        <f t="shared" si="57"/>
        <v>#VALUE!</v>
      </c>
      <c r="DA44" s="115" t="e">
        <f t="shared" si="57"/>
        <v>#VALUE!</v>
      </c>
      <c r="DB44" s="115" t="e">
        <f t="shared" si="58"/>
        <v>#VALUE!</v>
      </c>
      <c r="DC44" s="115" t="e">
        <f t="shared" si="58"/>
        <v>#VALUE!</v>
      </c>
      <c r="DD44" s="115" t="e">
        <f t="shared" si="58"/>
        <v>#VALUE!</v>
      </c>
      <c r="DE44" s="115" t="e">
        <f t="shared" si="58"/>
        <v>#VALUE!</v>
      </c>
      <c r="DF44" s="115" t="e">
        <f t="shared" si="58"/>
        <v>#VALUE!</v>
      </c>
      <c r="DG44" s="115" t="e">
        <f t="shared" si="58"/>
        <v>#VALUE!</v>
      </c>
      <c r="DH44" s="115" t="e">
        <f t="shared" si="58"/>
        <v>#VALUE!</v>
      </c>
      <c r="DI44" s="115" t="e">
        <f t="shared" si="58"/>
        <v>#VALUE!</v>
      </c>
      <c r="DJ44" s="115" t="e">
        <f t="shared" si="58"/>
        <v>#VALUE!</v>
      </c>
      <c r="DK44" s="115" t="e">
        <f t="shared" si="58"/>
        <v>#VALUE!</v>
      </c>
      <c r="DL44" s="115" t="e">
        <f t="shared" si="58"/>
        <v>#VALUE!</v>
      </c>
      <c r="DM44" s="115" t="e">
        <f t="shared" si="58"/>
        <v>#VALUE!</v>
      </c>
    </row>
    <row r="45" spans="1:117" ht="15" customHeight="1">
      <c r="A45" s="293">
        <v>4800</v>
      </c>
      <c r="B45" s="172" t="s">
        <v>724</v>
      </c>
      <c r="C45" s="172" t="s">
        <v>779</v>
      </c>
      <c r="D45" s="172" t="s">
        <v>780</v>
      </c>
      <c r="E45" s="172"/>
      <c r="F45" s="172" t="s">
        <v>117</v>
      </c>
      <c r="G45" s="171" t="e">
        <f>SUM(G46,G65,G68,G69)</f>
        <v>#N/A</v>
      </c>
      <c r="H45" s="171"/>
      <c r="I45" s="171"/>
      <c r="J45" s="172" t="s">
        <v>727</v>
      </c>
      <c r="K45" s="373"/>
      <c r="L45" s="172"/>
      <c r="M45" s="293"/>
      <c r="N45" s="293"/>
      <c r="O45" s="376" t="e">
        <f>SUM(O46,O65,O68,O69)</f>
        <v>#N/A</v>
      </c>
      <c r="P45" s="377" t="s">
        <v>103</v>
      </c>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116"/>
      <c r="BD45" s="116"/>
      <c r="BE45" s="116"/>
      <c r="BF45" s="116"/>
      <c r="BG45" s="116"/>
      <c r="BH45" s="116"/>
      <c r="BI45" s="116"/>
      <c r="BJ45" s="116"/>
      <c r="BK45" s="116"/>
      <c r="BL45" s="116"/>
      <c r="BM45" s="116"/>
      <c r="BN45" s="116"/>
      <c r="BO45" s="116"/>
      <c r="BP45" s="116"/>
      <c r="BQ45" s="116"/>
      <c r="BR45" s="116"/>
      <c r="BS45" s="116"/>
      <c r="BT45" s="116"/>
      <c r="BU45" s="116"/>
      <c r="BV45" s="116"/>
      <c r="BW45" s="116"/>
      <c r="BX45" s="116"/>
      <c r="BY45" s="116"/>
      <c r="BZ45" s="116"/>
      <c r="CA45" s="116"/>
      <c r="CB45" s="116"/>
      <c r="CC45" s="116"/>
      <c r="CD45" s="116"/>
      <c r="CE45" s="116"/>
      <c r="CF45" s="116"/>
      <c r="CG45" s="116"/>
      <c r="CH45" s="116"/>
      <c r="CI45" s="116"/>
      <c r="CJ45" s="116"/>
      <c r="CK45" s="116"/>
      <c r="CL45" s="116"/>
      <c r="CM45" s="116"/>
      <c r="CN45" s="116"/>
      <c r="CO45" s="116"/>
      <c r="CP45" s="116"/>
      <c r="CQ45" s="116"/>
      <c r="CR45" s="116"/>
      <c r="CS45" s="116"/>
      <c r="CT45" s="116"/>
      <c r="CU45" s="116"/>
      <c r="CV45" s="116"/>
      <c r="CW45" s="116"/>
      <c r="CX45" s="116"/>
      <c r="CY45" s="116"/>
      <c r="CZ45" s="116"/>
      <c r="DA45" s="116"/>
      <c r="DB45" s="116"/>
      <c r="DC45" s="116"/>
      <c r="DD45" s="116"/>
      <c r="DE45" s="116"/>
      <c r="DF45" s="116"/>
      <c r="DG45" s="116"/>
      <c r="DH45" s="116"/>
      <c r="DI45" s="116"/>
      <c r="DJ45" s="116"/>
      <c r="DK45" s="116"/>
      <c r="DL45" s="116"/>
      <c r="DM45" s="116"/>
    </row>
    <row r="46" spans="1:117" ht="15" customHeight="1">
      <c r="A46" s="293">
        <v>4900</v>
      </c>
      <c r="B46" s="172" t="s">
        <v>743</v>
      </c>
      <c r="C46" s="172" t="s">
        <v>781</v>
      </c>
      <c r="D46" s="172" t="s">
        <v>782</v>
      </c>
      <c r="E46" s="172"/>
      <c r="F46" s="172" t="s">
        <v>117</v>
      </c>
      <c r="G46" s="171" t="e">
        <f>SUM(G47,G53,G54,G55,G58,G61,G64)</f>
        <v>#N/A</v>
      </c>
      <c r="H46" s="171"/>
      <c r="I46" s="171"/>
      <c r="J46" s="172" t="s">
        <v>727</v>
      </c>
      <c r="K46" s="373"/>
      <c r="L46" s="172"/>
      <c r="M46" s="293"/>
      <c r="N46" s="293"/>
      <c r="O46" s="376" t="e">
        <f>SUM(O47,O53,O54,O55,O58,O61,O64)</f>
        <v>#N/A</v>
      </c>
      <c r="P46" s="377" t="s">
        <v>103</v>
      </c>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c r="AU46" s="116"/>
      <c r="AV46" s="116"/>
      <c r="AW46" s="116"/>
      <c r="AX46" s="116"/>
      <c r="AY46" s="116"/>
      <c r="AZ46" s="116"/>
      <c r="BA46" s="116"/>
      <c r="BB46" s="116"/>
      <c r="BC46" s="116"/>
      <c r="BD46" s="116"/>
      <c r="BE46" s="116"/>
      <c r="BF46" s="116"/>
      <c r="BG46" s="116"/>
      <c r="BH46" s="116"/>
      <c r="BI46" s="116"/>
      <c r="BJ46" s="116"/>
      <c r="BK46" s="116"/>
      <c r="BL46" s="116"/>
      <c r="BM46" s="116"/>
      <c r="BN46" s="116"/>
      <c r="BO46" s="116"/>
      <c r="BP46" s="116"/>
      <c r="BQ46" s="116"/>
      <c r="BR46" s="116"/>
      <c r="BS46" s="116"/>
      <c r="BT46" s="116"/>
      <c r="BU46" s="116"/>
      <c r="BV46" s="116"/>
      <c r="BW46" s="116"/>
      <c r="BX46" s="116"/>
      <c r="BY46" s="116"/>
      <c r="BZ46" s="116"/>
      <c r="CA46" s="116"/>
      <c r="CB46" s="116"/>
      <c r="CC46" s="116"/>
      <c r="CD46" s="116"/>
      <c r="CE46" s="116"/>
      <c r="CF46" s="116"/>
      <c r="CG46" s="116"/>
      <c r="CH46" s="116"/>
      <c r="CI46" s="116"/>
      <c r="CJ46" s="116"/>
      <c r="CK46" s="116"/>
      <c r="CL46" s="116"/>
      <c r="CM46" s="116"/>
      <c r="CN46" s="116"/>
      <c r="CO46" s="116"/>
      <c r="CP46" s="116"/>
      <c r="CQ46" s="116"/>
      <c r="CR46" s="116"/>
      <c r="CS46" s="116"/>
      <c r="CT46" s="116"/>
      <c r="CU46" s="116"/>
      <c r="CV46" s="116"/>
      <c r="CW46" s="116"/>
      <c r="CX46" s="116"/>
      <c r="CY46" s="116"/>
      <c r="CZ46" s="116"/>
      <c r="DA46" s="116"/>
      <c r="DB46" s="116"/>
      <c r="DC46" s="116"/>
      <c r="DD46" s="116"/>
      <c r="DE46" s="116"/>
      <c r="DF46" s="116"/>
      <c r="DG46" s="116"/>
      <c r="DH46" s="116"/>
      <c r="DI46" s="116"/>
      <c r="DJ46" s="116"/>
      <c r="DK46" s="116"/>
      <c r="DL46" s="116"/>
      <c r="DM46" s="116"/>
    </row>
    <row r="47" spans="1:117" ht="15" customHeight="1" thickBot="1">
      <c r="A47" s="293">
        <v>5000</v>
      </c>
      <c r="B47" s="172" t="s">
        <v>743</v>
      </c>
      <c r="C47" s="172" t="s">
        <v>783</v>
      </c>
      <c r="D47" s="172" t="s">
        <v>489</v>
      </c>
      <c r="E47" s="172"/>
      <c r="F47" s="172" t="s">
        <v>117</v>
      </c>
      <c r="G47" s="171" t="e">
        <f>SUM(G48:G52)</f>
        <v>#N/A</v>
      </c>
      <c r="H47" s="171"/>
      <c r="I47" s="171"/>
      <c r="J47" s="172" t="s">
        <v>727</v>
      </c>
      <c r="K47" s="373"/>
      <c r="L47" s="172"/>
      <c r="M47" s="293"/>
      <c r="N47" s="293"/>
      <c r="O47" s="376" t="e">
        <f>SUM(O48:O52)</f>
        <v>#N/A</v>
      </c>
      <c r="P47" s="377" t="s">
        <v>103</v>
      </c>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c r="AS47" s="116"/>
      <c r="AT47" s="116"/>
      <c r="AU47" s="116"/>
      <c r="AV47" s="116"/>
      <c r="AW47" s="116"/>
      <c r="AX47" s="116"/>
      <c r="AY47" s="116"/>
      <c r="AZ47" s="116"/>
      <c r="BA47" s="116"/>
      <c r="BB47" s="116"/>
      <c r="BC47" s="116"/>
      <c r="BD47" s="116"/>
      <c r="BE47" s="116"/>
      <c r="BF47" s="116"/>
      <c r="BG47" s="116"/>
      <c r="BH47" s="116"/>
      <c r="BI47" s="116"/>
      <c r="BJ47" s="116"/>
      <c r="BK47" s="116"/>
      <c r="BL47" s="116"/>
      <c r="BM47" s="116"/>
      <c r="BN47" s="116"/>
      <c r="BO47" s="116"/>
      <c r="BP47" s="116"/>
      <c r="BQ47" s="116"/>
      <c r="BR47" s="116"/>
      <c r="BS47" s="116"/>
      <c r="BT47" s="116"/>
      <c r="BU47" s="116"/>
      <c r="BV47" s="116"/>
      <c r="BW47" s="116"/>
      <c r="BX47" s="116"/>
      <c r="BY47" s="116"/>
      <c r="BZ47" s="116"/>
      <c r="CA47" s="116"/>
      <c r="CB47" s="116"/>
      <c r="CC47" s="116"/>
      <c r="CD47" s="116"/>
      <c r="CE47" s="116"/>
      <c r="CF47" s="116"/>
      <c r="CG47" s="116"/>
      <c r="CH47" s="116"/>
      <c r="CI47" s="116"/>
      <c r="CJ47" s="116"/>
      <c r="CK47" s="116"/>
      <c r="CL47" s="116"/>
      <c r="CM47" s="116"/>
      <c r="CN47" s="116"/>
      <c r="CO47" s="116"/>
      <c r="CP47" s="116"/>
      <c r="CQ47" s="116"/>
      <c r="CR47" s="116"/>
      <c r="CS47" s="116"/>
      <c r="CT47" s="116"/>
      <c r="CU47" s="116"/>
      <c r="CV47" s="116"/>
      <c r="CW47" s="116"/>
      <c r="CX47" s="116"/>
      <c r="CY47" s="116"/>
      <c r="CZ47" s="116"/>
      <c r="DA47" s="116"/>
      <c r="DB47" s="116"/>
      <c r="DC47" s="116"/>
      <c r="DD47" s="116"/>
      <c r="DE47" s="116"/>
      <c r="DF47" s="116"/>
      <c r="DG47" s="116"/>
      <c r="DH47" s="116"/>
      <c r="DI47" s="116"/>
      <c r="DJ47" s="116"/>
      <c r="DK47" s="116"/>
      <c r="DL47" s="116"/>
      <c r="DM47" s="116"/>
    </row>
    <row r="48" spans="1:117" ht="15" customHeight="1" thickBot="1">
      <c r="A48" s="55"/>
      <c r="B48" s="194" t="s">
        <v>728</v>
      </c>
      <c r="C48" s="194" t="s">
        <v>1195</v>
      </c>
      <c r="D48" s="194" t="s">
        <v>1200</v>
      </c>
      <c r="E48" s="194"/>
      <c r="F48" s="194" t="s">
        <v>1644</v>
      </c>
      <c r="G48" s="291" t="e">
        <f t="shared" ref="G48:G69" si="59">IF(I48="",H48,I48)</f>
        <v>#N/A</v>
      </c>
      <c r="H48" s="382" t="e">
        <f>VLOOKUP("IKtkWh",Energie,8,0)*VLOOKUP("BGFbeheizt",Objektkenndaten,5,0)*VLOOKUP("KOSTROM",Energie,8,0)</f>
        <v>#N/A</v>
      </c>
      <c r="I48" s="168"/>
      <c r="J48" s="194" t="s">
        <v>727</v>
      </c>
      <c r="K48" s="378" t="s">
        <v>732</v>
      </c>
      <c r="L48" s="379" t="s">
        <v>2586</v>
      </c>
      <c r="M48" s="325">
        <f t="shared" ref="M48:M69" si="60">VLOOKUP(L48,Finanzielle_Parameter,5,0)</f>
        <v>2.0299999999999998</v>
      </c>
      <c r="N48" s="380">
        <f t="shared" ref="N48:N69" si="61">(1+VLOOKUP(L48,Finanzielle_Parameter,5,0)/100)/(1+VLOOKUP("R",Finanzielle_Parameter,5,0)/100)</f>
        <v>1.0032448377581122</v>
      </c>
      <c r="O48" s="381" t="e">
        <f t="shared" ref="O48:CA50" si="62">IF($N48&lt;&gt;1,$G48*($N48^$K48)*(($N48^($K48*INT(O$2/$K48))-1)/($N48^$K48-1)),$G48*INT(O$2/$K48))</f>
        <v>#N/A</v>
      </c>
      <c r="P48" s="169" t="s">
        <v>103</v>
      </c>
      <c r="Q48" s="114" t="e">
        <f t="shared" si="62"/>
        <v>#N/A</v>
      </c>
      <c r="R48" s="115" t="e">
        <f t="shared" si="62"/>
        <v>#N/A</v>
      </c>
      <c r="S48" s="115" t="e">
        <f t="shared" si="62"/>
        <v>#N/A</v>
      </c>
      <c r="T48" s="115" t="e">
        <f t="shared" si="62"/>
        <v>#N/A</v>
      </c>
      <c r="U48" s="115" t="e">
        <f t="shared" si="62"/>
        <v>#N/A</v>
      </c>
      <c r="V48" s="115" t="e">
        <f t="shared" si="62"/>
        <v>#N/A</v>
      </c>
      <c r="W48" s="115" t="e">
        <f t="shared" si="62"/>
        <v>#N/A</v>
      </c>
      <c r="X48" s="115" t="e">
        <f t="shared" si="62"/>
        <v>#N/A</v>
      </c>
      <c r="Y48" s="115" t="e">
        <f t="shared" si="62"/>
        <v>#N/A</v>
      </c>
      <c r="Z48" s="115" t="e">
        <f t="shared" si="62"/>
        <v>#N/A</v>
      </c>
      <c r="AA48" s="115" t="e">
        <f t="shared" si="62"/>
        <v>#N/A</v>
      </c>
      <c r="AB48" s="115" t="e">
        <f t="shared" si="62"/>
        <v>#N/A</v>
      </c>
      <c r="AC48" s="115" t="e">
        <f t="shared" si="62"/>
        <v>#N/A</v>
      </c>
      <c r="AD48" s="115" t="e">
        <f t="shared" si="62"/>
        <v>#N/A</v>
      </c>
      <c r="AE48" s="115" t="e">
        <f t="shared" si="62"/>
        <v>#N/A</v>
      </c>
      <c r="AF48" s="115" t="e">
        <f t="shared" si="62"/>
        <v>#N/A</v>
      </c>
      <c r="AG48" s="115" t="e">
        <f t="shared" si="62"/>
        <v>#N/A</v>
      </c>
      <c r="AH48" s="115" t="e">
        <f t="shared" si="62"/>
        <v>#N/A</v>
      </c>
      <c r="AI48" s="115" t="e">
        <f t="shared" si="62"/>
        <v>#N/A</v>
      </c>
      <c r="AJ48" s="115" t="e">
        <f t="shared" si="62"/>
        <v>#N/A</v>
      </c>
      <c r="AK48" s="115" t="e">
        <f t="shared" si="62"/>
        <v>#N/A</v>
      </c>
      <c r="AL48" s="115" t="e">
        <f t="shared" si="62"/>
        <v>#N/A</v>
      </c>
      <c r="AM48" s="115" t="e">
        <f t="shared" si="62"/>
        <v>#N/A</v>
      </c>
      <c r="AN48" s="115" t="e">
        <f t="shared" si="62"/>
        <v>#N/A</v>
      </c>
      <c r="AO48" s="115" t="e">
        <f t="shared" si="62"/>
        <v>#N/A</v>
      </c>
      <c r="AP48" s="115" t="e">
        <f t="shared" si="62"/>
        <v>#N/A</v>
      </c>
      <c r="AQ48" s="115" t="e">
        <f t="shared" si="62"/>
        <v>#N/A</v>
      </c>
      <c r="AR48" s="115" t="e">
        <f t="shared" si="62"/>
        <v>#N/A</v>
      </c>
      <c r="AS48" s="115" t="e">
        <f t="shared" si="62"/>
        <v>#N/A</v>
      </c>
      <c r="AT48" s="115" t="e">
        <f t="shared" si="62"/>
        <v>#N/A</v>
      </c>
      <c r="AU48" s="115" t="e">
        <f t="shared" si="62"/>
        <v>#N/A</v>
      </c>
      <c r="AV48" s="115" t="e">
        <f t="shared" si="62"/>
        <v>#N/A</v>
      </c>
      <c r="AW48" s="115" t="e">
        <f t="shared" si="62"/>
        <v>#N/A</v>
      </c>
      <c r="AX48" s="115" t="e">
        <f t="shared" si="62"/>
        <v>#N/A</v>
      </c>
      <c r="AY48" s="115" t="e">
        <f t="shared" si="62"/>
        <v>#N/A</v>
      </c>
      <c r="AZ48" s="115" t="e">
        <f t="shared" si="62"/>
        <v>#N/A</v>
      </c>
      <c r="BA48" s="115" t="e">
        <f t="shared" si="62"/>
        <v>#N/A</v>
      </c>
      <c r="BB48" s="115" t="e">
        <f t="shared" si="62"/>
        <v>#N/A</v>
      </c>
      <c r="BC48" s="115" t="e">
        <f t="shared" si="62"/>
        <v>#N/A</v>
      </c>
      <c r="BD48" s="115" t="e">
        <f t="shared" si="62"/>
        <v>#N/A</v>
      </c>
      <c r="BE48" s="115" t="e">
        <f t="shared" si="62"/>
        <v>#N/A</v>
      </c>
      <c r="BF48" s="115" t="e">
        <f t="shared" si="62"/>
        <v>#N/A</v>
      </c>
      <c r="BG48" s="115" t="e">
        <f t="shared" si="62"/>
        <v>#N/A</v>
      </c>
      <c r="BH48" s="115" t="e">
        <f t="shared" si="62"/>
        <v>#N/A</v>
      </c>
      <c r="BI48" s="115" t="e">
        <f t="shared" si="62"/>
        <v>#N/A</v>
      </c>
      <c r="BJ48" s="115" t="e">
        <f t="shared" si="62"/>
        <v>#N/A</v>
      </c>
      <c r="BK48" s="115" t="e">
        <f t="shared" si="62"/>
        <v>#N/A</v>
      </c>
      <c r="BL48" s="115" t="e">
        <f t="shared" si="62"/>
        <v>#N/A</v>
      </c>
      <c r="BM48" s="115" t="e">
        <f t="shared" si="62"/>
        <v>#N/A</v>
      </c>
      <c r="BN48" s="115" t="e">
        <f t="shared" si="62"/>
        <v>#N/A</v>
      </c>
      <c r="BO48" s="115" t="e">
        <f t="shared" si="62"/>
        <v>#N/A</v>
      </c>
      <c r="BP48" s="115" t="e">
        <f t="shared" si="62"/>
        <v>#N/A</v>
      </c>
      <c r="BQ48" s="115" t="e">
        <f t="shared" si="62"/>
        <v>#N/A</v>
      </c>
      <c r="BR48" s="115" t="e">
        <f t="shared" si="62"/>
        <v>#N/A</v>
      </c>
      <c r="BS48" s="115" t="e">
        <f t="shared" si="62"/>
        <v>#N/A</v>
      </c>
      <c r="BT48" s="115" t="e">
        <f t="shared" si="62"/>
        <v>#N/A</v>
      </c>
      <c r="BU48" s="115" t="e">
        <f t="shared" si="62"/>
        <v>#N/A</v>
      </c>
      <c r="BV48" s="115" t="e">
        <f t="shared" si="62"/>
        <v>#N/A</v>
      </c>
      <c r="BW48" s="115" t="e">
        <f t="shared" si="62"/>
        <v>#N/A</v>
      </c>
      <c r="BX48" s="115" t="e">
        <f t="shared" si="62"/>
        <v>#N/A</v>
      </c>
      <c r="BY48" s="115" t="e">
        <f t="shared" si="62"/>
        <v>#N/A</v>
      </c>
      <c r="BZ48" s="115" t="e">
        <f t="shared" si="62"/>
        <v>#N/A</v>
      </c>
      <c r="CA48" s="115" t="e">
        <f t="shared" si="62"/>
        <v>#N/A</v>
      </c>
      <c r="CB48" s="115" t="e">
        <f t="shared" ref="CB48:DM50" si="63">IF($N48&lt;&gt;1,$G48*($N48^$K48)*(($N48^($K48*INT(CB$2/$K48))-1)/($N48^$K48-1)),$G48*INT(CB$2/$K48))</f>
        <v>#N/A</v>
      </c>
      <c r="CC48" s="115" t="e">
        <f t="shared" si="63"/>
        <v>#N/A</v>
      </c>
      <c r="CD48" s="115" t="e">
        <f t="shared" si="63"/>
        <v>#N/A</v>
      </c>
      <c r="CE48" s="115" t="e">
        <f t="shared" si="63"/>
        <v>#N/A</v>
      </c>
      <c r="CF48" s="115" t="e">
        <f t="shared" si="63"/>
        <v>#N/A</v>
      </c>
      <c r="CG48" s="115" t="e">
        <f t="shared" si="63"/>
        <v>#N/A</v>
      </c>
      <c r="CH48" s="115" t="e">
        <f t="shared" si="63"/>
        <v>#N/A</v>
      </c>
      <c r="CI48" s="115" t="e">
        <f t="shared" si="63"/>
        <v>#N/A</v>
      </c>
      <c r="CJ48" s="115" t="e">
        <f t="shared" si="63"/>
        <v>#N/A</v>
      </c>
      <c r="CK48" s="115" t="e">
        <f t="shared" si="63"/>
        <v>#N/A</v>
      </c>
      <c r="CL48" s="115" t="e">
        <f t="shared" si="63"/>
        <v>#N/A</v>
      </c>
      <c r="CM48" s="115" t="e">
        <f t="shared" si="63"/>
        <v>#N/A</v>
      </c>
      <c r="CN48" s="115" t="e">
        <f t="shared" si="63"/>
        <v>#N/A</v>
      </c>
      <c r="CO48" s="115" t="e">
        <f t="shared" si="63"/>
        <v>#N/A</v>
      </c>
      <c r="CP48" s="115" t="e">
        <f t="shared" si="63"/>
        <v>#N/A</v>
      </c>
      <c r="CQ48" s="115" t="e">
        <f t="shared" si="63"/>
        <v>#N/A</v>
      </c>
      <c r="CR48" s="115" t="e">
        <f t="shared" si="63"/>
        <v>#N/A</v>
      </c>
      <c r="CS48" s="115" t="e">
        <f t="shared" si="63"/>
        <v>#N/A</v>
      </c>
      <c r="CT48" s="115" t="e">
        <f t="shared" si="63"/>
        <v>#N/A</v>
      </c>
      <c r="CU48" s="115" t="e">
        <f t="shared" si="63"/>
        <v>#N/A</v>
      </c>
      <c r="CV48" s="115" t="e">
        <f t="shared" si="63"/>
        <v>#N/A</v>
      </c>
      <c r="CW48" s="115" t="e">
        <f t="shared" si="63"/>
        <v>#N/A</v>
      </c>
      <c r="CX48" s="115" t="e">
        <f t="shared" si="63"/>
        <v>#N/A</v>
      </c>
      <c r="CY48" s="115" t="e">
        <f t="shared" si="63"/>
        <v>#N/A</v>
      </c>
      <c r="CZ48" s="115" t="e">
        <f t="shared" si="63"/>
        <v>#N/A</v>
      </c>
      <c r="DA48" s="115" t="e">
        <f t="shared" si="63"/>
        <v>#N/A</v>
      </c>
      <c r="DB48" s="115" t="e">
        <f t="shared" si="63"/>
        <v>#N/A</v>
      </c>
      <c r="DC48" s="115" t="e">
        <f t="shared" si="63"/>
        <v>#N/A</v>
      </c>
      <c r="DD48" s="115" t="e">
        <f t="shared" si="63"/>
        <v>#N/A</v>
      </c>
      <c r="DE48" s="115" t="e">
        <f t="shared" si="63"/>
        <v>#N/A</v>
      </c>
      <c r="DF48" s="115" t="e">
        <f t="shared" si="63"/>
        <v>#N/A</v>
      </c>
      <c r="DG48" s="115" t="e">
        <f t="shared" si="63"/>
        <v>#N/A</v>
      </c>
      <c r="DH48" s="115" t="e">
        <f t="shared" si="63"/>
        <v>#N/A</v>
      </c>
      <c r="DI48" s="115" t="e">
        <f t="shared" si="63"/>
        <v>#N/A</v>
      </c>
      <c r="DJ48" s="115" t="e">
        <f t="shared" si="63"/>
        <v>#N/A</v>
      </c>
      <c r="DK48" s="115" t="e">
        <f t="shared" si="63"/>
        <v>#N/A</v>
      </c>
      <c r="DL48" s="115" t="e">
        <f t="shared" si="63"/>
        <v>#N/A</v>
      </c>
      <c r="DM48" s="115" t="e">
        <f t="shared" si="63"/>
        <v>#N/A</v>
      </c>
    </row>
    <row r="49" spans="1:117" ht="15" customHeight="1" thickBot="1">
      <c r="A49" s="55"/>
      <c r="B49" s="194" t="s">
        <v>728</v>
      </c>
      <c r="C49" s="194" t="s">
        <v>1196</v>
      </c>
      <c r="D49" s="194" t="s">
        <v>1198</v>
      </c>
      <c r="E49" s="194"/>
      <c r="F49" s="194" t="s">
        <v>1645</v>
      </c>
      <c r="G49" s="291" t="e">
        <f t="shared" si="59"/>
        <v>#N/A</v>
      </c>
      <c r="H49" s="382" t="e">
        <f>VLOOKUP("BELkWh",Energie,8,0)*VLOOKUP("BGFbeheizt",Objektkenndaten,5,0)*VLOOKUP("KOSTROM",Energie,8,0)</f>
        <v>#N/A</v>
      </c>
      <c r="I49" s="168"/>
      <c r="J49" s="194" t="s">
        <v>727</v>
      </c>
      <c r="K49" s="378" t="s">
        <v>732</v>
      </c>
      <c r="L49" s="379" t="s">
        <v>2586</v>
      </c>
      <c r="M49" s="325">
        <f t="shared" si="60"/>
        <v>2.0299999999999998</v>
      </c>
      <c r="N49" s="380">
        <f t="shared" si="61"/>
        <v>1.0032448377581122</v>
      </c>
      <c r="O49" s="381" t="e">
        <f t="shared" si="62"/>
        <v>#N/A</v>
      </c>
      <c r="P49" s="169" t="s">
        <v>103</v>
      </c>
      <c r="Q49" s="114" t="e">
        <f t="shared" si="62"/>
        <v>#N/A</v>
      </c>
      <c r="R49" s="115" t="e">
        <f t="shared" si="62"/>
        <v>#N/A</v>
      </c>
      <c r="S49" s="115" t="e">
        <f t="shared" si="62"/>
        <v>#N/A</v>
      </c>
      <c r="T49" s="115" t="e">
        <f t="shared" si="62"/>
        <v>#N/A</v>
      </c>
      <c r="U49" s="115" t="e">
        <f t="shared" si="62"/>
        <v>#N/A</v>
      </c>
      <c r="V49" s="115" t="e">
        <f t="shared" si="62"/>
        <v>#N/A</v>
      </c>
      <c r="W49" s="115" t="e">
        <f t="shared" si="62"/>
        <v>#N/A</v>
      </c>
      <c r="X49" s="115" t="e">
        <f t="shared" si="62"/>
        <v>#N/A</v>
      </c>
      <c r="Y49" s="115" t="e">
        <f t="shared" si="62"/>
        <v>#N/A</v>
      </c>
      <c r="Z49" s="115" t="e">
        <f t="shared" si="62"/>
        <v>#N/A</v>
      </c>
      <c r="AA49" s="115" t="e">
        <f t="shared" si="62"/>
        <v>#N/A</v>
      </c>
      <c r="AB49" s="115" t="e">
        <f t="shared" si="62"/>
        <v>#N/A</v>
      </c>
      <c r="AC49" s="115" t="e">
        <f t="shared" si="62"/>
        <v>#N/A</v>
      </c>
      <c r="AD49" s="115" t="e">
        <f t="shared" si="62"/>
        <v>#N/A</v>
      </c>
      <c r="AE49" s="115" t="e">
        <f t="shared" si="62"/>
        <v>#N/A</v>
      </c>
      <c r="AF49" s="115" t="e">
        <f t="shared" si="62"/>
        <v>#N/A</v>
      </c>
      <c r="AG49" s="115" t="e">
        <f t="shared" si="62"/>
        <v>#N/A</v>
      </c>
      <c r="AH49" s="115" t="e">
        <f t="shared" si="62"/>
        <v>#N/A</v>
      </c>
      <c r="AI49" s="115" t="e">
        <f t="shared" si="62"/>
        <v>#N/A</v>
      </c>
      <c r="AJ49" s="115" t="e">
        <f t="shared" si="62"/>
        <v>#N/A</v>
      </c>
      <c r="AK49" s="115" t="e">
        <f t="shared" si="62"/>
        <v>#N/A</v>
      </c>
      <c r="AL49" s="115" t="e">
        <f t="shared" si="62"/>
        <v>#N/A</v>
      </c>
      <c r="AM49" s="115" t="e">
        <f t="shared" si="62"/>
        <v>#N/A</v>
      </c>
      <c r="AN49" s="115" t="e">
        <f t="shared" si="62"/>
        <v>#N/A</v>
      </c>
      <c r="AO49" s="115" t="e">
        <f t="shared" si="62"/>
        <v>#N/A</v>
      </c>
      <c r="AP49" s="115" t="e">
        <f t="shared" si="62"/>
        <v>#N/A</v>
      </c>
      <c r="AQ49" s="115" t="e">
        <f t="shared" si="62"/>
        <v>#N/A</v>
      </c>
      <c r="AR49" s="115" t="e">
        <f t="shared" si="62"/>
        <v>#N/A</v>
      </c>
      <c r="AS49" s="115" t="e">
        <f t="shared" si="62"/>
        <v>#N/A</v>
      </c>
      <c r="AT49" s="115" t="e">
        <f t="shared" si="62"/>
        <v>#N/A</v>
      </c>
      <c r="AU49" s="115" t="e">
        <f t="shared" si="62"/>
        <v>#N/A</v>
      </c>
      <c r="AV49" s="115" t="e">
        <f t="shared" si="62"/>
        <v>#N/A</v>
      </c>
      <c r="AW49" s="115" t="e">
        <f t="shared" si="62"/>
        <v>#N/A</v>
      </c>
      <c r="AX49" s="115" t="e">
        <f t="shared" si="62"/>
        <v>#N/A</v>
      </c>
      <c r="AY49" s="115" t="e">
        <f t="shared" si="62"/>
        <v>#N/A</v>
      </c>
      <c r="AZ49" s="115" t="e">
        <f t="shared" si="62"/>
        <v>#N/A</v>
      </c>
      <c r="BA49" s="115" t="e">
        <f t="shared" si="62"/>
        <v>#N/A</v>
      </c>
      <c r="BB49" s="115" t="e">
        <f t="shared" si="62"/>
        <v>#N/A</v>
      </c>
      <c r="BC49" s="115" t="e">
        <f t="shared" si="62"/>
        <v>#N/A</v>
      </c>
      <c r="BD49" s="115" t="e">
        <f t="shared" si="62"/>
        <v>#N/A</v>
      </c>
      <c r="BE49" s="115" t="e">
        <f t="shared" si="62"/>
        <v>#N/A</v>
      </c>
      <c r="BF49" s="115" t="e">
        <f t="shared" si="62"/>
        <v>#N/A</v>
      </c>
      <c r="BG49" s="115" t="e">
        <f t="shared" si="62"/>
        <v>#N/A</v>
      </c>
      <c r="BH49" s="115" t="e">
        <f t="shared" si="62"/>
        <v>#N/A</v>
      </c>
      <c r="BI49" s="115" t="e">
        <f t="shared" si="62"/>
        <v>#N/A</v>
      </c>
      <c r="BJ49" s="115" t="e">
        <f t="shared" si="62"/>
        <v>#N/A</v>
      </c>
      <c r="BK49" s="115" t="e">
        <f t="shared" si="62"/>
        <v>#N/A</v>
      </c>
      <c r="BL49" s="115" t="e">
        <f t="shared" si="62"/>
        <v>#N/A</v>
      </c>
      <c r="BM49" s="115" t="e">
        <f t="shared" si="62"/>
        <v>#N/A</v>
      </c>
      <c r="BN49" s="115" t="e">
        <f t="shared" si="62"/>
        <v>#N/A</v>
      </c>
      <c r="BO49" s="115" t="e">
        <f t="shared" si="62"/>
        <v>#N/A</v>
      </c>
      <c r="BP49" s="115" t="e">
        <f t="shared" si="62"/>
        <v>#N/A</v>
      </c>
      <c r="BQ49" s="115" t="e">
        <f t="shared" si="62"/>
        <v>#N/A</v>
      </c>
      <c r="BR49" s="115" t="e">
        <f t="shared" si="62"/>
        <v>#N/A</v>
      </c>
      <c r="BS49" s="115" t="e">
        <f t="shared" si="62"/>
        <v>#N/A</v>
      </c>
      <c r="BT49" s="115" t="e">
        <f t="shared" si="62"/>
        <v>#N/A</v>
      </c>
      <c r="BU49" s="115" t="e">
        <f t="shared" si="62"/>
        <v>#N/A</v>
      </c>
      <c r="BV49" s="115" t="e">
        <f t="shared" si="62"/>
        <v>#N/A</v>
      </c>
      <c r="BW49" s="115" t="e">
        <f t="shared" si="62"/>
        <v>#N/A</v>
      </c>
      <c r="BX49" s="115" t="e">
        <f t="shared" si="62"/>
        <v>#N/A</v>
      </c>
      <c r="BY49" s="115" t="e">
        <f t="shared" si="62"/>
        <v>#N/A</v>
      </c>
      <c r="BZ49" s="115" t="e">
        <f t="shared" si="62"/>
        <v>#N/A</v>
      </c>
      <c r="CA49" s="115" t="e">
        <f t="shared" si="62"/>
        <v>#N/A</v>
      </c>
      <c r="CB49" s="115" t="e">
        <f t="shared" si="63"/>
        <v>#N/A</v>
      </c>
      <c r="CC49" s="115" t="e">
        <f t="shared" si="63"/>
        <v>#N/A</v>
      </c>
      <c r="CD49" s="115" t="e">
        <f t="shared" si="63"/>
        <v>#N/A</v>
      </c>
      <c r="CE49" s="115" t="e">
        <f t="shared" si="63"/>
        <v>#N/A</v>
      </c>
      <c r="CF49" s="115" t="e">
        <f t="shared" si="63"/>
        <v>#N/A</v>
      </c>
      <c r="CG49" s="115" t="e">
        <f t="shared" si="63"/>
        <v>#N/A</v>
      </c>
      <c r="CH49" s="115" t="e">
        <f t="shared" si="63"/>
        <v>#N/A</v>
      </c>
      <c r="CI49" s="115" t="e">
        <f t="shared" si="63"/>
        <v>#N/A</v>
      </c>
      <c r="CJ49" s="115" t="e">
        <f t="shared" si="63"/>
        <v>#N/A</v>
      </c>
      <c r="CK49" s="115" t="e">
        <f t="shared" si="63"/>
        <v>#N/A</v>
      </c>
      <c r="CL49" s="115" t="e">
        <f t="shared" si="63"/>
        <v>#N/A</v>
      </c>
      <c r="CM49" s="115" t="e">
        <f t="shared" si="63"/>
        <v>#N/A</v>
      </c>
      <c r="CN49" s="115" t="e">
        <f t="shared" si="63"/>
        <v>#N/A</v>
      </c>
      <c r="CO49" s="115" t="e">
        <f t="shared" si="63"/>
        <v>#N/A</v>
      </c>
      <c r="CP49" s="115" t="e">
        <f t="shared" si="63"/>
        <v>#N/A</v>
      </c>
      <c r="CQ49" s="115" t="e">
        <f t="shared" si="63"/>
        <v>#N/A</v>
      </c>
      <c r="CR49" s="115" t="e">
        <f t="shared" si="63"/>
        <v>#N/A</v>
      </c>
      <c r="CS49" s="115" t="e">
        <f t="shared" si="63"/>
        <v>#N/A</v>
      </c>
      <c r="CT49" s="115" t="e">
        <f t="shared" si="63"/>
        <v>#N/A</v>
      </c>
      <c r="CU49" s="115" t="e">
        <f t="shared" si="63"/>
        <v>#N/A</v>
      </c>
      <c r="CV49" s="115" t="e">
        <f t="shared" si="63"/>
        <v>#N/A</v>
      </c>
      <c r="CW49" s="115" t="e">
        <f t="shared" si="63"/>
        <v>#N/A</v>
      </c>
      <c r="CX49" s="115" t="e">
        <f t="shared" si="63"/>
        <v>#N/A</v>
      </c>
      <c r="CY49" s="115" t="e">
        <f t="shared" si="63"/>
        <v>#N/A</v>
      </c>
      <c r="CZ49" s="115" t="e">
        <f t="shared" si="63"/>
        <v>#N/A</v>
      </c>
      <c r="DA49" s="115" t="e">
        <f t="shared" si="63"/>
        <v>#N/A</v>
      </c>
      <c r="DB49" s="115" t="e">
        <f t="shared" si="63"/>
        <v>#N/A</v>
      </c>
      <c r="DC49" s="115" t="e">
        <f t="shared" si="63"/>
        <v>#N/A</v>
      </c>
      <c r="DD49" s="115" t="e">
        <f t="shared" si="63"/>
        <v>#N/A</v>
      </c>
      <c r="DE49" s="115" t="e">
        <f t="shared" si="63"/>
        <v>#N/A</v>
      </c>
      <c r="DF49" s="115" t="e">
        <f t="shared" si="63"/>
        <v>#N/A</v>
      </c>
      <c r="DG49" s="115" t="e">
        <f t="shared" si="63"/>
        <v>#N/A</v>
      </c>
      <c r="DH49" s="115" t="e">
        <f t="shared" si="63"/>
        <v>#N/A</v>
      </c>
      <c r="DI49" s="115" t="e">
        <f t="shared" si="63"/>
        <v>#N/A</v>
      </c>
      <c r="DJ49" s="115" t="e">
        <f t="shared" si="63"/>
        <v>#N/A</v>
      </c>
      <c r="DK49" s="115" t="e">
        <f t="shared" si="63"/>
        <v>#N/A</v>
      </c>
      <c r="DL49" s="115" t="e">
        <f t="shared" si="63"/>
        <v>#N/A</v>
      </c>
      <c r="DM49" s="115" t="e">
        <f t="shared" si="63"/>
        <v>#N/A</v>
      </c>
    </row>
    <row r="50" spans="1:117" ht="15" customHeight="1" thickBot="1">
      <c r="A50" s="55"/>
      <c r="B50" s="194" t="s">
        <v>728</v>
      </c>
      <c r="C50" s="194" t="s">
        <v>1197</v>
      </c>
      <c r="D50" s="194" t="s">
        <v>1199</v>
      </c>
      <c r="E50" s="194"/>
      <c r="F50" s="194" t="s">
        <v>1646</v>
      </c>
      <c r="G50" s="291" t="e">
        <f t="shared" si="59"/>
        <v>#N/A</v>
      </c>
      <c r="H50" s="382" t="e">
        <f>VLOOKUP("LUFTkWh",Energie,8,0)*VLOOKUP("BGFbelüftet",Objektkenndaten,5,0)*VLOOKUP("KOSTROM",Energie,8,0)</f>
        <v>#N/A</v>
      </c>
      <c r="I50" s="168"/>
      <c r="J50" s="194" t="s">
        <v>727</v>
      </c>
      <c r="K50" s="378" t="s">
        <v>732</v>
      </c>
      <c r="L50" s="379" t="s">
        <v>2586</v>
      </c>
      <c r="M50" s="325">
        <f t="shared" si="60"/>
        <v>2.0299999999999998</v>
      </c>
      <c r="N50" s="380">
        <f t="shared" si="61"/>
        <v>1.0032448377581122</v>
      </c>
      <c r="O50" s="381" t="e">
        <f t="shared" si="62"/>
        <v>#N/A</v>
      </c>
      <c r="P50" s="169" t="s">
        <v>103</v>
      </c>
      <c r="Q50" s="114" t="e">
        <f t="shared" si="62"/>
        <v>#N/A</v>
      </c>
      <c r="R50" s="115" t="e">
        <f t="shared" si="62"/>
        <v>#N/A</v>
      </c>
      <c r="S50" s="115" t="e">
        <f t="shared" si="62"/>
        <v>#N/A</v>
      </c>
      <c r="T50" s="115" t="e">
        <f t="shared" si="62"/>
        <v>#N/A</v>
      </c>
      <c r="U50" s="115" t="e">
        <f t="shared" si="62"/>
        <v>#N/A</v>
      </c>
      <c r="V50" s="115" t="e">
        <f t="shared" si="62"/>
        <v>#N/A</v>
      </c>
      <c r="W50" s="115" t="e">
        <f t="shared" si="62"/>
        <v>#N/A</v>
      </c>
      <c r="X50" s="115" t="e">
        <f t="shared" si="62"/>
        <v>#N/A</v>
      </c>
      <c r="Y50" s="115" t="e">
        <f t="shared" si="62"/>
        <v>#N/A</v>
      </c>
      <c r="Z50" s="115" t="e">
        <f t="shared" si="62"/>
        <v>#N/A</v>
      </c>
      <c r="AA50" s="115" t="e">
        <f t="shared" si="62"/>
        <v>#N/A</v>
      </c>
      <c r="AB50" s="115" t="e">
        <f t="shared" si="62"/>
        <v>#N/A</v>
      </c>
      <c r="AC50" s="115" t="e">
        <f t="shared" si="62"/>
        <v>#N/A</v>
      </c>
      <c r="AD50" s="115" t="e">
        <f t="shared" si="62"/>
        <v>#N/A</v>
      </c>
      <c r="AE50" s="115" t="e">
        <f t="shared" si="62"/>
        <v>#N/A</v>
      </c>
      <c r="AF50" s="115" t="e">
        <f t="shared" si="62"/>
        <v>#N/A</v>
      </c>
      <c r="AG50" s="115" t="e">
        <f t="shared" si="62"/>
        <v>#N/A</v>
      </c>
      <c r="AH50" s="115" t="e">
        <f t="shared" si="62"/>
        <v>#N/A</v>
      </c>
      <c r="AI50" s="115" t="e">
        <f t="shared" si="62"/>
        <v>#N/A</v>
      </c>
      <c r="AJ50" s="115" t="e">
        <f t="shared" si="62"/>
        <v>#N/A</v>
      </c>
      <c r="AK50" s="115" t="e">
        <f t="shared" si="62"/>
        <v>#N/A</v>
      </c>
      <c r="AL50" s="115" t="e">
        <f t="shared" si="62"/>
        <v>#N/A</v>
      </c>
      <c r="AM50" s="115" t="e">
        <f t="shared" si="62"/>
        <v>#N/A</v>
      </c>
      <c r="AN50" s="115" t="e">
        <f t="shared" si="62"/>
        <v>#N/A</v>
      </c>
      <c r="AO50" s="115" t="e">
        <f t="shared" si="62"/>
        <v>#N/A</v>
      </c>
      <c r="AP50" s="115" t="e">
        <f t="shared" si="62"/>
        <v>#N/A</v>
      </c>
      <c r="AQ50" s="115" t="e">
        <f t="shared" si="62"/>
        <v>#N/A</v>
      </c>
      <c r="AR50" s="115" t="e">
        <f t="shared" si="62"/>
        <v>#N/A</v>
      </c>
      <c r="AS50" s="115" t="e">
        <f t="shared" si="62"/>
        <v>#N/A</v>
      </c>
      <c r="AT50" s="115" t="e">
        <f t="shared" si="62"/>
        <v>#N/A</v>
      </c>
      <c r="AU50" s="115" t="e">
        <f t="shared" si="62"/>
        <v>#N/A</v>
      </c>
      <c r="AV50" s="115" t="e">
        <f t="shared" si="62"/>
        <v>#N/A</v>
      </c>
      <c r="AW50" s="115" t="e">
        <f t="shared" si="62"/>
        <v>#N/A</v>
      </c>
      <c r="AX50" s="115" t="e">
        <f t="shared" si="62"/>
        <v>#N/A</v>
      </c>
      <c r="AY50" s="115" t="e">
        <f t="shared" si="62"/>
        <v>#N/A</v>
      </c>
      <c r="AZ50" s="115" t="e">
        <f t="shared" si="62"/>
        <v>#N/A</v>
      </c>
      <c r="BA50" s="115" t="e">
        <f t="shared" si="62"/>
        <v>#N/A</v>
      </c>
      <c r="BB50" s="115" t="e">
        <f t="shared" si="62"/>
        <v>#N/A</v>
      </c>
      <c r="BC50" s="115" t="e">
        <f t="shared" si="62"/>
        <v>#N/A</v>
      </c>
      <c r="BD50" s="115" t="e">
        <f t="shared" si="62"/>
        <v>#N/A</v>
      </c>
      <c r="BE50" s="115" t="e">
        <f t="shared" si="62"/>
        <v>#N/A</v>
      </c>
      <c r="BF50" s="115" t="e">
        <f t="shared" si="62"/>
        <v>#N/A</v>
      </c>
      <c r="BG50" s="115" t="e">
        <f t="shared" si="62"/>
        <v>#N/A</v>
      </c>
      <c r="BH50" s="115" t="e">
        <f t="shared" si="62"/>
        <v>#N/A</v>
      </c>
      <c r="BI50" s="115" t="e">
        <f t="shared" si="62"/>
        <v>#N/A</v>
      </c>
      <c r="BJ50" s="115" t="e">
        <f t="shared" si="62"/>
        <v>#N/A</v>
      </c>
      <c r="BK50" s="115" t="e">
        <f t="shared" si="62"/>
        <v>#N/A</v>
      </c>
      <c r="BL50" s="115" t="e">
        <f t="shared" si="62"/>
        <v>#N/A</v>
      </c>
      <c r="BM50" s="115" t="e">
        <f t="shared" si="62"/>
        <v>#N/A</v>
      </c>
      <c r="BN50" s="115" t="e">
        <f t="shared" si="62"/>
        <v>#N/A</v>
      </c>
      <c r="BO50" s="115" t="e">
        <f t="shared" si="62"/>
        <v>#N/A</v>
      </c>
      <c r="BP50" s="115" t="e">
        <f t="shared" si="62"/>
        <v>#N/A</v>
      </c>
      <c r="BQ50" s="115" t="e">
        <f t="shared" si="62"/>
        <v>#N/A</v>
      </c>
      <c r="BR50" s="115" t="e">
        <f t="shared" si="62"/>
        <v>#N/A</v>
      </c>
      <c r="BS50" s="115" t="e">
        <f t="shared" si="62"/>
        <v>#N/A</v>
      </c>
      <c r="BT50" s="115" t="e">
        <f t="shared" si="62"/>
        <v>#N/A</v>
      </c>
      <c r="BU50" s="115" t="e">
        <f t="shared" si="62"/>
        <v>#N/A</v>
      </c>
      <c r="BV50" s="115" t="e">
        <f t="shared" si="62"/>
        <v>#N/A</v>
      </c>
      <c r="BW50" s="115" t="e">
        <f t="shared" si="62"/>
        <v>#N/A</v>
      </c>
      <c r="BX50" s="115" t="e">
        <f t="shared" si="62"/>
        <v>#N/A</v>
      </c>
      <c r="BY50" s="115" t="e">
        <f t="shared" si="62"/>
        <v>#N/A</v>
      </c>
      <c r="BZ50" s="115" t="e">
        <f t="shared" si="62"/>
        <v>#N/A</v>
      </c>
      <c r="CA50" s="115" t="e">
        <f t="shared" si="62"/>
        <v>#N/A</v>
      </c>
      <c r="CB50" s="115" t="e">
        <f t="shared" si="63"/>
        <v>#N/A</v>
      </c>
      <c r="CC50" s="115" t="e">
        <f t="shared" si="63"/>
        <v>#N/A</v>
      </c>
      <c r="CD50" s="115" t="e">
        <f t="shared" si="63"/>
        <v>#N/A</v>
      </c>
      <c r="CE50" s="115" t="e">
        <f t="shared" si="63"/>
        <v>#N/A</v>
      </c>
      <c r="CF50" s="115" t="e">
        <f t="shared" si="63"/>
        <v>#N/A</v>
      </c>
      <c r="CG50" s="115" t="e">
        <f t="shared" si="63"/>
        <v>#N/A</v>
      </c>
      <c r="CH50" s="115" t="e">
        <f t="shared" si="63"/>
        <v>#N/A</v>
      </c>
      <c r="CI50" s="115" t="e">
        <f t="shared" si="63"/>
        <v>#N/A</v>
      </c>
      <c r="CJ50" s="115" t="e">
        <f t="shared" si="63"/>
        <v>#N/A</v>
      </c>
      <c r="CK50" s="115" t="e">
        <f t="shared" si="63"/>
        <v>#N/A</v>
      </c>
      <c r="CL50" s="115" t="e">
        <f t="shared" si="63"/>
        <v>#N/A</v>
      </c>
      <c r="CM50" s="115" t="e">
        <f t="shared" si="63"/>
        <v>#N/A</v>
      </c>
      <c r="CN50" s="115" t="e">
        <f t="shared" si="63"/>
        <v>#N/A</v>
      </c>
      <c r="CO50" s="115" t="e">
        <f t="shared" si="63"/>
        <v>#N/A</v>
      </c>
      <c r="CP50" s="115" t="e">
        <f t="shared" si="63"/>
        <v>#N/A</v>
      </c>
      <c r="CQ50" s="115" t="e">
        <f t="shared" si="63"/>
        <v>#N/A</v>
      </c>
      <c r="CR50" s="115" t="e">
        <f t="shared" si="63"/>
        <v>#N/A</v>
      </c>
      <c r="CS50" s="115" t="e">
        <f t="shared" si="63"/>
        <v>#N/A</v>
      </c>
      <c r="CT50" s="115" t="e">
        <f t="shared" si="63"/>
        <v>#N/A</v>
      </c>
      <c r="CU50" s="115" t="e">
        <f t="shared" si="63"/>
        <v>#N/A</v>
      </c>
      <c r="CV50" s="115" t="e">
        <f t="shared" si="63"/>
        <v>#N/A</v>
      </c>
      <c r="CW50" s="115" t="e">
        <f t="shared" si="63"/>
        <v>#N/A</v>
      </c>
      <c r="CX50" s="115" t="e">
        <f t="shared" si="63"/>
        <v>#N/A</v>
      </c>
      <c r="CY50" s="115" t="e">
        <f t="shared" si="63"/>
        <v>#N/A</v>
      </c>
      <c r="CZ50" s="115" t="e">
        <f t="shared" si="63"/>
        <v>#N/A</v>
      </c>
      <c r="DA50" s="115" t="e">
        <f t="shared" si="63"/>
        <v>#N/A</v>
      </c>
      <c r="DB50" s="115" t="e">
        <f t="shared" si="63"/>
        <v>#N/A</v>
      </c>
      <c r="DC50" s="115" t="e">
        <f t="shared" si="63"/>
        <v>#N/A</v>
      </c>
      <c r="DD50" s="115" t="e">
        <f t="shared" si="63"/>
        <v>#N/A</v>
      </c>
      <c r="DE50" s="115" t="e">
        <f t="shared" si="63"/>
        <v>#N/A</v>
      </c>
      <c r="DF50" s="115" t="e">
        <f t="shared" si="63"/>
        <v>#N/A</v>
      </c>
      <c r="DG50" s="115" t="e">
        <f t="shared" si="63"/>
        <v>#N/A</v>
      </c>
      <c r="DH50" s="115" t="e">
        <f t="shared" si="63"/>
        <v>#N/A</v>
      </c>
      <c r="DI50" s="115" t="e">
        <f t="shared" si="63"/>
        <v>#N/A</v>
      </c>
      <c r="DJ50" s="115" t="e">
        <f t="shared" si="63"/>
        <v>#N/A</v>
      </c>
      <c r="DK50" s="115" t="e">
        <f t="shared" si="63"/>
        <v>#N/A</v>
      </c>
      <c r="DL50" s="115" t="e">
        <f t="shared" si="63"/>
        <v>#N/A</v>
      </c>
      <c r="DM50" s="115" t="e">
        <f t="shared" si="63"/>
        <v>#N/A</v>
      </c>
    </row>
    <row r="51" spans="1:117" ht="15" customHeight="1" thickBot="1">
      <c r="A51" s="55"/>
      <c r="B51" s="194" t="s">
        <v>728</v>
      </c>
      <c r="C51" s="194" t="s">
        <v>1542</v>
      </c>
      <c r="D51" s="194" t="s">
        <v>1545</v>
      </c>
      <c r="E51" s="194"/>
      <c r="F51" s="194" t="s">
        <v>2329</v>
      </c>
      <c r="G51" s="291" t="e">
        <f t="shared" si="59"/>
        <v>#N/A</v>
      </c>
      <c r="H51" s="382" t="e">
        <f>(VLOOKUP("BEFkWH",Energie,8,0)+VLOOKUP("ENTFkWh",Energie,8,0))*VLOOKUP("BGFbelüftet",Objektkenndaten,5,0)*VLOOKUP("KOSTROM",Energie,8,0)</f>
        <v>#N/A</v>
      </c>
      <c r="I51" s="168"/>
      <c r="J51" s="194" t="s">
        <v>727</v>
      </c>
      <c r="K51" s="378" t="s">
        <v>732</v>
      </c>
      <c r="L51" s="379" t="s">
        <v>2586</v>
      </c>
      <c r="M51" s="325">
        <f t="shared" si="60"/>
        <v>2.0299999999999998</v>
      </c>
      <c r="N51" s="380">
        <f t="shared" si="61"/>
        <v>1.0032448377581122</v>
      </c>
      <c r="O51" s="381" t="e">
        <f t="shared" ref="O51:Y64" si="64">IF($N51&lt;&gt;1,$G51*($N51^$K51)*(($N51^($K51*INT(O$2/$K51))-1)/($N51^$K51-1)),$G51*INT(O$2/$K51))</f>
        <v>#N/A</v>
      </c>
      <c r="P51" s="169" t="s">
        <v>103</v>
      </c>
      <c r="Q51" s="114" t="e">
        <f t="shared" si="64"/>
        <v>#N/A</v>
      </c>
      <c r="R51" s="115" t="e">
        <f t="shared" si="64"/>
        <v>#N/A</v>
      </c>
      <c r="S51" s="115" t="e">
        <f t="shared" si="64"/>
        <v>#N/A</v>
      </c>
      <c r="T51" s="115" t="e">
        <f t="shared" si="64"/>
        <v>#N/A</v>
      </c>
      <c r="U51" s="115" t="e">
        <f t="shared" si="64"/>
        <v>#N/A</v>
      </c>
      <c r="V51" s="115" t="e">
        <f t="shared" si="64"/>
        <v>#N/A</v>
      </c>
      <c r="W51" s="115" t="e">
        <f t="shared" si="64"/>
        <v>#N/A</v>
      </c>
      <c r="X51" s="115" t="e">
        <f t="shared" si="64"/>
        <v>#N/A</v>
      </c>
      <c r="Y51" s="115" t="e">
        <f t="shared" si="64"/>
        <v>#N/A</v>
      </c>
      <c r="Z51" s="115" t="e">
        <f t="shared" ref="Z51:AI64" si="65">IF($N51&lt;&gt;1,$G51*($N51^$K51)*(($N51^($K51*INT(Z$2/$K51))-1)/($N51^$K51-1)),$G51*INT(Z$2/$K51))</f>
        <v>#N/A</v>
      </c>
      <c r="AA51" s="115" t="e">
        <f t="shared" si="65"/>
        <v>#N/A</v>
      </c>
      <c r="AB51" s="115" t="e">
        <f t="shared" si="65"/>
        <v>#N/A</v>
      </c>
      <c r="AC51" s="115" t="e">
        <f t="shared" si="65"/>
        <v>#N/A</v>
      </c>
      <c r="AD51" s="115" t="e">
        <f t="shared" si="65"/>
        <v>#N/A</v>
      </c>
      <c r="AE51" s="115" t="e">
        <f t="shared" si="65"/>
        <v>#N/A</v>
      </c>
      <c r="AF51" s="115" t="e">
        <f t="shared" si="65"/>
        <v>#N/A</v>
      </c>
      <c r="AG51" s="115" t="e">
        <f t="shared" si="65"/>
        <v>#N/A</v>
      </c>
      <c r="AH51" s="115" t="e">
        <f t="shared" si="65"/>
        <v>#N/A</v>
      </c>
      <c r="AI51" s="115" t="e">
        <f t="shared" si="65"/>
        <v>#N/A</v>
      </c>
      <c r="AJ51" s="115" t="e">
        <f t="shared" ref="AJ51:AS64" si="66">IF($N51&lt;&gt;1,$G51*($N51^$K51)*(($N51^($K51*INT(AJ$2/$K51))-1)/($N51^$K51-1)),$G51*INT(AJ$2/$K51))</f>
        <v>#N/A</v>
      </c>
      <c r="AK51" s="115" t="e">
        <f t="shared" si="66"/>
        <v>#N/A</v>
      </c>
      <c r="AL51" s="115" t="e">
        <f t="shared" si="66"/>
        <v>#N/A</v>
      </c>
      <c r="AM51" s="115" t="e">
        <f t="shared" si="66"/>
        <v>#N/A</v>
      </c>
      <c r="AN51" s="115" t="e">
        <f t="shared" si="66"/>
        <v>#N/A</v>
      </c>
      <c r="AO51" s="115" t="e">
        <f t="shared" si="66"/>
        <v>#N/A</v>
      </c>
      <c r="AP51" s="115" t="e">
        <f t="shared" si="66"/>
        <v>#N/A</v>
      </c>
      <c r="AQ51" s="115" t="e">
        <f t="shared" si="66"/>
        <v>#N/A</v>
      </c>
      <c r="AR51" s="115" t="e">
        <f t="shared" si="66"/>
        <v>#N/A</v>
      </c>
      <c r="AS51" s="115" t="e">
        <f t="shared" si="66"/>
        <v>#N/A</v>
      </c>
      <c r="AT51" s="115" t="e">
        <f t="shared" ref="AT51:BC64" si="67">IF($N51&lt;&gt;1,$G51*($N51^$K51)*(($N51^($K51*INT(AT$2/$K51))-1)/($N51^$K51-1)),$G51*INT(AT$2/$K51))</f>
        <v>#N/A</v>
      </c>
      <c r="AU51" s="115" t="e">
        <f t="shared" si="67"/>
        <v>#N/A</v>
      </c>
      <c r="AV51" s="115" t="e">
        <f t="shared" si="67"/>
        <v>#N/A</v>
      </c>
      <c r="AW51" s="115" t="e">
        <f t="shared" si="67"/>
        <v>#N/A</v>
      </c>
      <c r="AX51" s="115" t="e">
        <f t="shared" si="67"/>
        <v>#N/A</v>
      </c>
      <c r="AY51" s="115" t="e">
        <f t="shared" si="67"/>
        <v>#N/A</v>
      </c>
      <c r="AZ51" s="115" t="e">
        <f t="shared" si="67"/>
        <v>#N/A</v>
      </c>
      <c r="BA51" s="115" t="e">
        <f t="shared" si="67"/>
        <v>#N/A</v>
      </c>
      <c r="BB51" s="115" t="e">
        <f t="shared" si="67"/>
        <v>#N/A</v>
      </c>
      <c r="BC51" s="115" t="e">
        <f t="shared" si="67"/>
        <v>#N/A</v>
      </c>
      <c r="BD51" s="115" t="e">
        <f t="shared" ref="BD51:BM64" si="68">IF($N51&lt;&gt;1,$G51*($N51^$K51)*(($N51^($K51*INT(BD$2/$K51))-1)/($N51^$K51-1)),$G51*INT(BD$2/$K51))</f>
        <v>#N/A</v>
      </c>
      <c r="BE51" s="115" t="e">
        <f t="shared" si="68"/>
        <v>#N/A</v>
      </c>
      <c r="BF51" s="115" t="e">
        <f t="shared" si="68"/>
        <v>#N/A</v>
      </c>
      <c r="BG51" s="115" t="e">
        <f t="shared" si="68"/>
        <v>#N/A</v>
      </c>
      <c r="BH51" s="115" t="e">
        <f t="shared" si="68"/>
        <v>#N/A</v>
      </c>
      <c r="BI51" s="115" t="e">
        <f t="shared" si="68"/>
        <v>#N/A</v>
      </c>
      <c r="BJ51" s="115" t="e">
        <f t="shared" si="68"/>
        <v>#N/A</v>
      </c>
      <c r="BK51" s="115" t="e">
        <f t="shared" si="68"/>
        <v>#N/A</v>
      </c>
      <c r="BL51" s="115" t="e">
        <f t="shared" si="68"/>
        <v>#N/A</v>
      </c>
      <c r="BM51" s="115" t="e">
        <f t="shared" si="68"/>
        <v>#N/A</v>
      </c>
      <c r="BN51" s="115" t="e">
        <f t="shared" ref="BN51:BW64" si="69">IF($N51&lt;&gt;1,$G51*($N51^$K51)*(($N51^($K51*INT(BN$2/$K51))-1)/($N51^$K51-1)),$G51*INT(BN$2/$K51))</f>
        <v>#N/A</v>
      </c>
      <c r="BO51" s="115" t="e">
        <f t="shared" si="69"/>
        <v>#N/A</v>
      </c>
      <c r="BP51" s="115" t="e">
        <f t="shared" si="69"/>
        <v>#N/A</v>
      </c>
      <c r="BQ51" s="115" t="e">
        <f t="shared" si="69"/>
        <v>#N/A</v>
      </c>
      <c r="BR51" s="115" t="e">
        <f t="shared" si="69"/>
        <v>#N/A</v>
      </c>
      <c r="BS51" s="115" t="e">
        <f t="shared" si="69"/>
        <v>#N/A</v>
      </c>
      <c r="BT51" s="115" t="e">
        <f t="shared" si="69"/>
        <v>#N/A</v>
      </c>
      <c r="BU51" s="115" t="e">
        <f t="shared" si="69"/>
        <v>#N/A</v>
      </c>
      <c r="BV51" s="115" t="e">
        <f t="shared" si="69"/>
        <v>#N/A</v>
      </c>
      <c r="BW51" s="115" t="e">
        <f t="shared" si="69"/>
        <v>#N/A</v>
      </c>
      <c r="BX51" s="115" t="e">
        <f t="shared" ref="BX51:CG64" si="70">IF($N51&lt;&gt;1,$G51*($N51^$K51)*(($N51^($K51*INT(BX$2/$K51))-1)/($N51^$K51-1)),$G51*INT(BX$2/$K51))</f>
        <v>#N/A</v>
      </c>
      <c r="BY51" s="115" t="e">
        <f t="shared" si="70"/>
        <v>#N/A</v>
      </c>
      <c r="BZ51" s="115" t="e">
        <f t="shared" si="70"/>
        <v>#N/A</v>
      </c>
      <c r="CA51" s="115" t="e">
        <f t="shared" si="70"/>
        <v>#N/A</v>
      </c>
      <c r="CB51" s="115" t="e">
        <f t="shared" si="70"/>
        <v>#N/A</v>
      </c>
      <c r="CC51" s="115" t="e">
        <f t="shared" si="70"/>
        <v>#N/A</v>
      </c>
      <c r="CD51" s="115" t="e">
        <f t="shared" si="70"/>
        <v>#N/A</v>
      </c>
      <c r="CE51" s="115" t="e">
        <f t="shared" si="70"/>
        <v>#N/A</v>
      </c>
      <c r="CF51" s="115" t="e">
        <f t="shared" si="70"/>
        <v>#N/A</v>
      </c>
      <c r="CG51" s="115" t="e">
        <f t="shared" si="70"/>
        <v>#N/A</v>
      </c>
      <c r="CH51" s="115" t="e">
        <f t="shared" ref="CH51:CQ64" si="71">IF($N51&lt;&gt;1,$G51*($N51^$K51)*(($N51^($K51*INT(CH$2/$K51))-1)/($N51^$K51-1)),$G51*INT(CH$2/$K51))</f>
        <v>#N/A</v>
      </c>
      <c r="CI51" s="115" t="e">
        <f t="shared" si="71"/>
        <v>#N/A</v>
      </c>
      <c r="CJ51" s="115" t="e">
        <f t="shared" si="71"/>
        <v>#N/A</v>
      </c>
      <c r="CK51" s="115" t="e">
        <f t="shared" si="71"/>
        <v>#N/A</v>
      </c>
      <c r="CL51" s="115" t="e">
        <f t="shared" si="71"/>
        <v>#N/A</v>
      </c>
      <c r="CM51" s="115" t="e">
        <f t="shared" si="71"/>
        <v>#N/A</v>
      </c>
      <c r="CN51" s="115" t="e">
        <f t="shared" si="71"/>
        <v>#N/A</v>
      </c>
      <c r="CO51" s="115" t="e">
        <f t="shared" si="71"/>
        <v>#N/A</v>
      </c>
      <c r="CP51" s="115" t="e">
        <f t="shared" si="71"/>
        <v>#N/A</v>
      </c>
      <c r="CQ51" s="115" t="e">
        <f t="shared" si="71"/>
        <v>#N/A</v>
      </c>
      <c r="CR51" s="115" t="e">
        <f t="shared" ref="CR51:DA64" si="72">IF($N51&lt;&gt;1,$G51*($N51^$K51)*(($N51^($K51*INT(CR$2/$K51))-1)/($N51^$K51-1)),$G51*INT(CR$2/$K51))</f>
        <v>#N/A</v>
      </c>
      <c r="CS51" s="115" t="e">
        <f t="shared" si="72"/>
        <v>#N/A</v>
      </c>
      <c r="CT51" s="115" t="e">
        <f t="shared" si="72"/>
        <v>#N/A</v>
      </c>
      <c r="CU51" s="115" t="e">
        <f t="shared" si="72"/>
        <v>#N/A</v>
      </c>
      <c r="CV51" s="115" t="e">
        <f t="shared" si="72"/>
        <v>#N/A</v>
      </c>
      <c r="CW51" s="115" t="e">
        <f t="shared" si="72"/>
        <v>#N/A</v>
      </c>
      <c r="CX51" s="115" t="e">
        <f t="shared" si="72"/>
        <v>#N/A</v>
      </c>
      <c r="CY51" s="115" t="e">
        <f t="shared" si="72"/>
        <v>#N/A</v>
      </c>
      <c r="CZ51" s="115" t="e">
        <f t="shared" si="72"/>
        <v>#N/A</v>
      </c>
      <c r="DA51" s="115" t="e">
        <f t="shared" si="72"/>
        <v>#N/A</v>
      </c>
      <c r="DB51" s="115" t="e">
        <f t="shared" ref="DB51:DM64" si="73">IF($N51&lt;&gt;1,$G51*($N51^$K51)*(($N51^($K51*INT(DB$2/$K51))-1)/($N51^$K51-1)),$G51*INT(DB$2/$K51))</f>
        <v>#N/A</v>
      </c>
      <c r="DC51" s="115" t="e">
        <f t="shared" si="73"/>
        <v>#N/A</v>
      </c>
      <c r="DD51" s="115" t="e">
        <f t="shared" si="73"/>
        <v>#N/A</v>
      </c>
      <c r="DE51" s="115" t="e">
        <f t="shared" si="73"/>
        <v>#N/A</v>
      </c>
      <c r="DF51" s="115" t="e">
        <f t="shared" si="73"/>
        <v>#N/A</v>
      </c>
      <c r="DG51" s="115" t="e">
        <f t="shared" si="73"/>
        <v>#N/A</v>
      </c>
      <c r="DH51" s="115" t="e">
        <f t="shared" si="73"/>
        <v>#N/A</v>
      </c>
      <c r="DI51" s="115" t="e">
        <f t="shared" si="73"/>
        <v>#N/A</v>
      </c>
      <c r="DJ51" s="115" t="e">
        <f t="shared" si="73"/>
        <v>#N/A</v>
      </c>
      <c r="DK51" s="115" t="e">
        <f t="shared" si="73"/>
        <v>#N/A</v>
      </c>
      <c r="DL51" s="115" t="e">
        <f t="shared" si="73"/>
        <v>#N/A</v>
      </c>
      <c r="DM51" s="115" t="e">
        <f t="shared" si="73"/>
        <v>#N/A</v>
      </c>
    </row>
    <row r="52" spans="1:117" ht="15" customHeight="1" thickBot="1">
      <c r="A52" s="55"/>
      <c r="B52" s="194" t="s">
        <v>728</v>
      </c>
      <c r="C52" s="194" t="s">
        <v>1544</v>
      </c>
      <c r="D52" s="194" t="s">
        <v>2616</v>
      </c>
      <c r="E52" s="194"/>
      <c r="F52" s="194" t="s">
        <v>1647</v>
      </c>
      <c r="G52" s="291" t="e">
        <f t="shared" si="59"/>
        <v>#N/A</v>
      </c>
      <c r="H52" s="382" t="e">
        <f>VLOOKUP("HAUSHkWh",Energie,8,0)*VLOOKUP("BGFbeheizt",Objektkenndaten,5,0)*VLOOKUP("KOSTROM",Energie,8,0)</f>
        <v>#N/A</v>
      </c>
      <c r="I52" s="168"/>
      <c r="J52" s="194" t="s">
        <v>727</v>
      </c>
      <c r="K52" s="378" t="s">
        <v>732</v>
      </c>
      <c r="L52" s="379" t="s">
        <v>2586</v>
      </c>
      <c r="M52" s="325">
        <f t="shared" si="60"/>
        <v>2.0299999999999998</v>
      </c>
      <c r="N52" s="380">
        <f t="shared" si="61"/>
        <v>1.0032448377581122</v>
      </c>
      <c r="O52" s="381" t="e">
        <f t="shared" si="64"/>
        <v>#N/A</v>
      </c>
      <c r="P52" s="169" t="s">
        <v>103</v>
      </c>
      <c r="Q52" s="114" t="e">
        <f t="shared" si="64"/>
        <v>#N/A</v>
      </c>
      <c r="R52" s="115" t="e">
        <f t="shared" si="64"/>
        <v>#N/A</v>
      </c>
      <c r="S52" s="115" t="e">
        <f t="shared" si="64"/>
        <v>#N/A</v>
      </c>
      <c r="T52" s="115" t="e">
        <f t="shared" si="64"/>
        <v>#N/A</v>
      </c>
      <c r="U52" s="115" t="e">
        <f t="shared" si="64"/>
        <v>#N/A</v>
      </c>
      <c r="V52" s="115" t="e">
        <f t="shared" si="64"/>
        <v>#N/A</v>
      </c>
      <c r="W52" s="115" t="e">
        <f t="shared" si="64"/>
        <v>#N/A</v>
      </c>
      <c r="X52" s="115" t="e">
        <f t="shared" si="64"/>
        <v>#N/A</v>
      </c>
      <c r="Y52" s="115" t="e">
        <f t="shared" si="64"/>
        <v>#N/A</v>
      </c>
      <c r="Z52" s="115" t="e">
        <f t="shared" si="65"/>
        <v>#N/A</v>
      </c>
      <c r="AA52" s="115" t="e">
        <f t="shared" si="65"/>
        <v>#N/A</v>
      </c>
      <c r="AB52" s="115" t="e">
        <f t="shared" si="65"/>
        <v>#N/A</v>
      </c>
      <c r="AC52" s="115" t="e">
        <f t="shared" si="65"/>
        <v>#N/A</v>
      </c>
      <c r="AD52" s="115" t="e">
        <f t="shared" si="65"/>
        <v>#N/A</v>
      </c>
      <c r="AE52" s="115" t="e">
        <f t="shared" si="65"/>
        <v>#N/A</v>
      </c>
      <c r="AF52" s="115" t="e">
        <f t="shared" si="65"/>
        <v>#N/A</v>
      </c>
      <c r="AG52" s="115" t="e">
        <f t="shared" si="65"/>
        <v>#N/A</v>
      </c>
      <c r="AH52" s="115" t="e">
        <f t="shared" si="65"/>
        <v>#N/A</v>
      </c>
      <c r="AI52" s="115" t="e">
        <f t="shared" si="65"/>
        <v>#N/A</v>
      </c>
      <c r="AJ52" s="115" t="e">
        <f t="shared" si="66"/>
        <v>#N/A</v>
      </c>
      <c r="AK52" s="115" t="e">
        <f t="shared" si="66"/>
        <v>#N/A</v>
      </c>
      <c r="AL52" s="115" t="e">
        <f t="shared" si="66"/>
        <v>#N/A</v>
      </c>
      <c r="AM52" s="115" t="e">
        <f t="shared" si="66"/>
        <v>#N/A</v>
      </c>
      <c r="AN52" s="115" t="e">
        <f t="shared" si="66"/>
        <v>#N/A</v>
      </c>
      <c r="AO52" s="115" t="e">
        <f t="shared" si="66"/>
        <v>#N/A</v>
      </c>
      <c r="AP52" s="115" t="e">
        <f t="shared" si="66"/>
        <v>#N/A</v>
      </c>
      <c r="AQ52" s="115" t="e">
        <f t="shared" si="66"/>
        <v>#N/A</v>
      </c>
      <c r="AR52" s="115" t="e">
        <f t="shared" si="66"/>
        <v>#N/A</v>
      </c>
      <c r="AS52" s="115" t="e">
        <f t="shared" si="66"/>
        <v>#N/A</v>
      </c>
      <c r="AT52" s="115" t="e">
        <f t="shared" si="67"/>
        <v>#N/A</v>
      </c>
      <c r="AU52" s="115" t="e">
        <f t="shared" si="67"/>
        <v>#N/A</v>
      </c>
      <c r="AV52" s="115" t="e">
        <f t="shared" si="67"/>
        <v>#N/A</v>
      </c>
      <c r="AW52" s="115" t="e">
        <f t="shared" si="67"/>
        <v>#N/A</v>
      </c>
      <c r="AX52" s="115" t="e">
        <f t="shared" si="67"/>
        <v>#N/A</v>
      </c>
      <c r="AY52" s="115" t="e">
        <f t="shared" si="67"/>
        <v>#N/A</v>
      </c>
      <c r="AZ52" s="115" t="e">
        <f t="shared" si="67"/>
        <v>#N/A</v>
      </c>
      <c r="BA52" s="115" t="e">
        <f t="shared" si="67"/>
        <v>#N/A</v>
      </c>
      <c r="BB52" s="115" t="e">
        <f t="shared" si="67"/>
        <v>#N/A</v>
      </c>
      <c r="BC52" s="115" t="e">
        <f t="shared" si="67"/>
        <v>#N/A</v>
      </c>
      <c r="BD52" s="115" t="e">
        <f t="shared" si="68"/>
        <v>#N/A</v>
      </c>
      <c r="BE52" s="115" t="e">
        <f t="shared" si="68"/>
        <v>#N/A</v>
      </c>
      <c r="BF52" s="115" t="e">
        <f t="shared" si="68"/>
        <v>#N/A</v>
      </c>
      <c r="BG52" s="115" t="e">
        <f t="shared" si="68"/>
        <v>#N/A</v>
      </c>
      <c r="BH52" s="115" t="e">
        <f t="shared" si="68"/>
        <v>#N/A</v>
      </c>
      <c r="BI52" s="115" t="e">
        <f t="shared" si="68"/>
        <v>#N/A</v>
      </c>
      <c r="BJ52" s="115" t="e">
        <f t="shared" si="68"/>
        <v>#N/A</v>
      </c>
      <c r="BK52" s="115" t="e">
        <f t="shared" si="68"/>
        <v>#N/A</v>
      </c>
      <c r="BL52" s="115" t="e">
        <f t="shared" si="68"/>
        <v>#N/A</v>
      </c>
      <c r="BM52" s="115" t="e">
        <f t="shared" si="68"/>
        <v>#N/A</v>
      </c>
      <c r="BN52" s="115" t="e">
        <f t="shared" si="69"/>
        <v>#N/A</v>
      </c>
      <c r="BO52" s="115" t="e">
        <f t="shared" si="69"/>
        <v>#N/A</v>
      </c>
      <c r="BP52" s="115" t="e">
        <f t="shared" si="69"/>
        <v>#N/A</v>
      </c>
      <c r="BQ52" s="115" t="e">
        <f t="shared" si="69"/>
        <v>#N/A</v>
      </c>
      <c r="BR52" s="115" t="e">
        <f t="shared" si="69"/>
        <v>#N/A</v>
      </c>
      <c r="BS52" s="115" t="e">
        <f t="shared" si="69"/>
        <v>#N/A</v>
      </c>
      <c r="BT52" s="115" t="e">
        <f t="shared" si="69"/>
        <v>#N/A</v>
      </c>
      <c r="BU52" s="115" t="e">
        <f t="shared" si="69"/>
        <v>#N/A</v>
      </c>
      <c r="BV52" s="115" t="e">
        <f t="shared" si="69"/>
        <v>#N/A</v>
      </c>
      <c r="BW52" s="115" t="e">
        <f t="shared" si="69"/>
        <v>#N/A</v>
      </c>
      <c r="BX52" s="115" t="e">
        <f t="shared" si="70"/>
        <v>#N/A</v>
      </c>
      <c r="BY52" s="115" t="e">
        <f t="shared" si="70"/>
        <v>#N/A</v>
      </c>
      <c r="BZ52" s="115" t="e">
        <f t="shared" si="70"/>
        <v>#N/A</v>
      </c>
      <c r="CA52" s="115" t="e">
        <f t="shared" si="70"/>
        <v>#N/A</v>
      </c>
      <c r="CB52" s="115" t="e">
        <f t="shared" si="70"/>
        <v>#N/A</v>
      </c>
      <c r="CC52" s="115" t="e">
        <f t="shared" si="70"/>
        <v>#N/A</v>
      </c>
      <c r="CD52" s="115" t="e">
        <f t="shared" si="70"/>
        <v>#N/A</v>
      </c>
      <c r="CE52" s="115" t="e">
        <f t="shared" si="70"/>
        <v>#N/A</v>
      </c>
      <c r="CF52" s="115" t="e">
        <f t="shared" si="70"/>
        <v>#N/A</v>
      </c>
      <c r="CG52" s="115" t="e">
        <f t="shared" si="70"/>
        <v>#N/A</v>
      </c>
      <c r="CH52" s="115" t="e">
        <f t="shared" si="71"/>
        <v>#N/A</v>
      </c>
      <c r="CI52" s="115" t="e">
        <f t="shared" si="71"/>
        <v>#N/A</v>
      </c>
      <c r="CJ52" s="115" t="e">
        <f t="shared" si="71"/>
        <v>#N/A</v>
      </c>
      <c r="CK52" s="115" t="e">
        <f t="shared" si="71"/>
        <v>#N/A</v>
      </c>
      <c r="CL52" s="115" t="e">
        <f t="shared" si="71"/>
        <v>#N/A</v>
      </c>
      <c r="CM52" s="115" t="e">
        <f t="shared" si="71"/>
        <v>#N/A</v>
      </c>
      <c r="CN52" s="115" t="e">
        <f t="shared" si="71"/>
        <v>#N/A</v>
      </c>
      <c r="CO52" s="115" t="e">
        <f t="shared" si="71"/>
        <v>#N/A</v>
      </c>
      <c r="CP52" s="115" t="e">
        <f t="shared" si="71"/>
        <v>#N/A</v>
      </c>
      <c r="CQ52" s="115" t="e">
        <f t="shared" si="71"/>
        <v>#N/A</v>
      </c>
      <c r="CR52" s="115" t="e">
        <f t="shared" si="72"/>
        <v>#N/A</v>
      </c>
      <c r="CS52" s="115" t="e">
        <f t="shared" si="72"/>
        <v>#N/A</v>
      </c>
      <c r="CT52" s="115" t="e">
        <f t="shared" si="72"/>
        <v>#N/A</v>
      </c>
      <c r="CU52" s="115" t="e">
        <f t="shared" si="72"/>
        <v>#N/A</v>
      </c>
      <c r="CV52" s="115" t="e">
        <f t="shared" si="72"/>
        <v>#N/A</v>
      </c>
      <c r="CW52" s="115" t="e">
        <f t="shared" si="72"/>
        <v>#N/A</v>
      </c>
      <c r="CX52" s="115" t="e">
        <f t="shared" si="72"/>
        <v>#N/A</v>
      </c>
      <c r="CY52" s="115" t="e">
        <f t="shared" si="72"/>
        <v>#N/A</v>
      </c>
      <c r="CZ52" s="115" t="e">
        <f t="shared" si="72"/>
        <v>#N/A</v>
      </c>
      <c r="DA52" s="115" t="e">
        <f t="shared" si="72"/>
        <v>#N/A</v>
      </c>
      <c r="DB52" s="115" t="e">
        <f t="shared" si="73"/>
        <v>#N/A</v>
      </c>
      <c r="DC52" s="115" t="e">
        <f t="shared" si="73"/>
        <v>#N/A</v>
      </c>
      <c r="DD52" s="115" t="e">
        <f t="shared" si="73"/>
        <v>#N/A</v>
      </c>
      <c r="DE52" s="115" t="e">
        <f t="shared" si="73"/>
        <v>#N/A</v>
      </c>
      <c r="DF52" s="115" t="e">
        <f t="shared" si="73"/>
        <v>#N/A</v>
      </c>
      <c r="DG52" s="115" t="e">
        <f t="shared" si="73"/>
        <v>#N/A</v>
      </c>
      <c r="DH52" s="115" t="e">
        <f t="shared" si="73"/>
        <v>#N/A</v>
      </c>
      <c r="DI52" s="115" t="e">
        <f t="shared" si="73"/>
        <v>#N/A</v>
      </c>
      <c r="DJ52" s="115" t="e">
        <f t="shared" si="73"/>
        <v>#N/A</v>
      </c>
      <c r="DK52" s="115" t="e">
        <f t="shared" si="73"/>
        <v>#N/A</v>
      </c>
      <c r="DL52" s="115" t="e">
        <f t="shared" si="73"/>
        <v>#N/A</v>
      </c>
      <c r="DM52" s="115" t="e">
        <f t="shared" si="73"/>
        <v>#N/A</v>
      </c>
    </row>
    <row r="53" spans="1:117" ht="15" customHeight="1" thickBot="1">
      <c r="A53" s="55">
        <v>5100</v>
      </c>
      <c r="B53" s="194" t="s">
        <v>728</v>
      </c>
      <c r="C53" s="194" t="s">
        <v>784</v>
      </c>
      <c r="D53" s="194" t="s">
        <v>1541</v>
      </c>
      <c r="E53" s="194"/>
      <c r="F53" s="194" t="s">
        <v>1648</v>
      </c>
      <c r="G53" s="291" t="e">
        <f t="shared" si="59"/>
        <v>#N/A</v>
      </c>
      <c r="H53" s="382" t="e">
        <f>VLOOKUP("STTkWh",Energie,8,0)*VLOOKUP("BGFbeheizt",Objektkenndaten,5,0)*VLOOKUP("KOSTROM",Energie,8,0)</f>
        <v>#N/A</v>
      </c>
      <c r="I53" s="168"/>
      <c r="J53" s="194" t="s">
        <v>727</v>
      </c>
      <c r="K53" s="378" t="s">
        <v>732</v>
      </c>
      <c r="L53" s="379" t="s">
        <v>2586</v>
      </c>
      <c r="M53" s="325">
        <f t="shared" si="60"/>
        <v>2.0299999999999998</v>
      </c>
      <c r="N53" s="380">
        <f t="shared" si="61"/>
        <v>1.0032448377581122</v>
      </c>
      <c r="O53" s="381" t="e">
        <f t="shared" si="64"/>
        <v>#N/A</v>
      </c>
      <c r="P53" s="169" t="s">
        <v>103</v>
      </c>
      <c r="Q53" s="114" t="e">
        <f t="shared" si="64"/>
        <v>#N/A</v>
      </c>
      <c r="R53" s="115" t="e">
        <f t="shared" si="64"/>
        <v>#N/A</v>
      </c>
      <c r="S53" s="115" t="e">
        <f t="shared" si="64"/>
        <v>#N/A</v>
      </c>
      <c r="T53" s="115" t="e">
        <f t="shared" si="64"/>
        <v>#N/A</v>
      </c>
      <c r="U53" s="115" t="e">
        <f t="shared" si="64"/>
        <v>#N/A</v>
      </c>
      <c r="V53" s="115" t="e">
        <f t="shared" si="64"/>
        <v>#N/A</v>
      </c>
      <c r="W53" s="115" t="e">
        <f t="shared" si="64"/>
        <v>#N/A</v>
      </c>
      <c r="X53" s="115" t="e">
        <f t="shared" si="64"/>
        <v>#N/A</v>
      </c>
      <c r="Y53" s="115" t="e">
        <f t="shared" si="64"/>
        <v>#N/A</v>
      </c>
      <c r="Z53" s="115" t="e">
        <f t="shared" si="65"/>
        <v>#N/A</v>
      </c>
      <c r="AA53" s="115" t="e">
        <f t="shared" si="65"/>
        <v>#N/A</v>
      </c>
      <c r="AB53" s="115" t="e">
        <f t="shared" si="65"/>
        <v>#N/A</v>
      </c>
      <c r="AC53" s="115" t="e">
        <f t="shared" si="65"/>
        <v>#N/A</v>
      </c>
      <c r="AD53" s="115" t="e">
        <f t="shared" si="65"/>
        <v>#N/A</v>
      </c>
      <c r="AE53" s="115" t="e">
        <f t="shared" si="65"/>
        <v>#N/A</v>
      </c>
      <c r="AF53" s="115" t="e">
        <f t="shared" si="65"/>
        <v>#N/A</v>
      </c>
      <c r="AG53" s="115" t="e">
        <f t="shared" si="65"/>
        <v>#N/A</v>
      </c>
      <c r="AH53" s="115" t="e">
        <f t="shared" si="65"/>
        <v>#N/A</v>
      </c>
      <c r="AI53" s="115" t="e">
        <f t="shared" si="65"/>
        <v>#N/A</v>
      </c>
      <c r="AJ53" s="115" t="e">
        <f t="shared" si="66"/>
        <v>#N/A</v>
      </c>
      <c r="AK53" s="115" t="e">
        <f t="shared" si="66"/>
        <v>#N/A</v>
      </c>
      <c r="AL53" s="115" t="e">
        <f t="shared" si="66"/>
        <v>#N/A</v>
      </c>
      <c r="AM53" s="115" t="e">
        <f t="shared" si="66"/>
        <v>#N/A</v>
      </c>
      <c r="AN53" s="115" t="e">
        <f t="shared" si="66"/>
        <v>#N/A</v>
      </c>
      <c r="AO53" s="115" t="e">
        <f t="shared" si="66"/>
        <v>#N/A</v>
      </c>
      <c r="AP53" s="115" t="e">
        <f t="shared" si="66"/>
        <v>#N/A</v>
      </c>
      <c r="AQ53" s="115" t="e">
        <f t="shared" si="66"/>
        <v>#N/A</v>
      </c>
      <c r="AR53" s="115" t="e">
        <f t="shared" si="66"/>
        <v>#N/A</v>
      </c>
      <c r="AS53" s="115" t="e">
        <f t="shared" si="66"/>
        <v>#N/A</v>
      </c>
      <c r="AT53" s="115" t="e">
        <f t="shared" si="67"/>
        <v>#N/A</v>
      </c>
      <c r="AU53" s="115" t="e">
        <f t="shared" si="67"/>
        <v>#N/A</v>
      </c>
      <c r="AV53" s="115" t="e">
        <f t="shared" si="67"/>
        <v>#N/A</v>
      </c>
      <c r="AW53" s="115" t="e">
        <f t="shared" si="67"/>
        <v>#N/A</v>
      </c>
      <c r="AX53" s="115" t="e">
        <f t="shared" si="67"/>
        <v>#N/A</v>
      </c>
      <c r="AY53" s="115" t="e">
        <f t="shared" si="67"/>
        <v>#N/A</v>
      </c>
      <c r="AZ53" s="115" t="e">
        <f t="shared" si="67"/>
        <v>#N/A</v>
      </c>
      <c r="BA53" s="115" t="e">
        <f t="shared" si="67"/>
        <v>#N/A</v>
      </c>
      <c r="BB53" s="115" t="e">
        <f t="shared" si="67"/>
        <v>#N/A</v>
      </c>
      <c r="BC53" s="115" t="e">
        <f t="shared" si="67"/>
        <v>#N/A</v>
      </c>
      <c r="BD53" s="115" t="e">
        <f t="shared" si="68"/>
        <v>#N/A</v>
      </c>
      <c r="BE53" s="115" t="e">
        <f t="shared" si="68"/>
        <v>#N/A</v>
      </c>
      <c r="BF53" s="115" t="e">
        <f t="shared" si="68"/>
        <v>#N/A</v>
      </c>
      <c r="BG53" s="115" t="e">
        <f t="shared" si="68"/>
        <v>#N/A</v>
      </c>
      <c r="BH53" s="115" t="e">
        <f t="shared" si="68"/>
        <v>#N/A</v>
      </c>
      <c r="BI53" s="115" t="e">
        <f t="shared" si="68"/>
        <v>#N/A</v>
      </c>
      <c r="BJ53" s="115" t="e">
        <f t="shared" si="68"/>
        <v>#N/A</v>
      </c>
      <c r="BK53" s="115" t="e">
        <f t="shared" si="68"/>
        <v>#N/A</v>
      </c>
      <c r="BL53" s="115" t="e">
        <f t="shared" si="68"/>
        <v>#N/A</v>
      </c>
      <c r="BM53" s="115" t="e">
        <f t="shared" si="68"/>
        <v>#N/A</v>
      </c>
      <c r="BN53" s="115" t="e">
        <f t="shared" si="69"/>
        <v>#N/A</v>
      </c>
      <c r="BO53" s="115" t="e">
        <f t="shared" si="69"/>
        <v>#N/A</v>
      </c>
      <c r="BP53" s="115" t="e">
        <f t="shared" si="69"/>
        <v>#N/A</v>
      </c>
      <c r="BQ53" s="115" t="e">
        <f t="shared" si="69"/>
        <v>#N/A</v>
      </c>
      <c r="BR53" s="115" t="e">
        <f t="shared" si="69"/>
        <v>#N/A</v>
      </c>
      <c r="BS53" s="115" t="e">
        <f t="shared" si="69"/>
        <v>#N/A</v>
      </c>
      <c r="BT53" s="115" t="e">
        <f t="shared" si="69"/>
        <v>#N/A</v>
      </c>
      <c r="BU53" s="115" t="e">
        <f t="shared" si="69"/>
        <v>#N/A</v>
      </c>
      <c r="BV53" s="115" t="e">
        <f t="shared" si="69"/>
        <v>#N/A</v>
      </c>
      <c r="BW53" s="115" t="e">
        <f t="shared" si="69"/>
        <v>#N/A</v>
      </c>
      <c r="BX53" s="115" t="e">
        <f t="shared" si="70"/>
        <v>#N/A</v>
      </c>
      <c r="BY53" s="115" t="e">
        <f t="shared" si="70"/>
        <v>#N/A</v>
      </c>
      <c r="BZ53" s="115" t="e">
        <f t="shared" si="70"/>
        <v>#N/A</v>
      </c>
      <c r="CA53" s="115" t="e">
        <f t="shared" si="70"/>
        <v>#N/A</v>
      </c>
      <c r="CB53" s="115" t="e">
        <f t="shared" si="70"/>
        <v>#N/A</v>
      </c>
      <c r="CC53" s="115" t="e">
        <f t="shared" si="70"/>
        <v>#N/A</v>
      </c>
      <c r="CD53" s="115" t="e">
        <f t="shared" si="70"/>
        <v>#N/A</v>
      </c>
      <c r="CE53" s="115" t="e">
        <f t="shared" si="70"/>
        <v>#N/A</v>
      </c>
      <c r="CF53" s="115" t="e">
        <f t="shared" si="70"/>
        <v>#N/A</v>
      </c>
      <c r="CG53" s="115" t="e">
        <f t="shared" si="70"/>
        <v>#N/A</v>
      </c>
      <c r="CH53" s="115" t="e">
        <f t="shared" si="71"/>
        <v>#N/A</v>
      </c>
      <c r="CI53" s="115" t="e">
        <f t="shared" si="71"/>
        <v>#N/A</v>
      </c>
      <c r="CJ53" s="115" t="e">
        <f t="shared" si="71"/>
        <v>#N/A</v>
      </c>
      <c r="CK53" s="115" t="e">
        <f t="shared" si="71"/>
        <v>#N/A</v>
      </c>
      <c r="CL53" s="115" t="e">
        <f t="shared" si="71"/>
        <v>#N/A</v>
      </c>
      <c r="CM53" s="115" t="e">
        <f t="shared" si="71"/>
        <v>#N/A</v>
      </c>
      <c r="CN53" s="115" t="e">
        <f t="shared" si="71"/>
        <v>#N/A</v>
      </c>
      <c r="CO53" s="115" t="e">
        <f t="shared" si="71"/>
        <v>#N/A</v>
      </c>
      <c r="CP53" s="115" t="e">
        <f t="shared" si="71"/>
        <v>#N/A</v>
      </c>
      <c r="CQ53" s="115" t="e">
        <f t="shared" si="71"/>
        <v>#N/A</v>
      </c>
      <c r="CR53" s="115" t="e">
        <f t="shared" si="72"/>
        <v>#N/A</v>
      </c>
      <c r="CS53" s="115" t="e">
        <f t="shared" si="72"/>
        <v>#N/A</v>
      </c>
      <c r="CT53" s="115" t="e">
        <f t="shared" si="72"/>
        <v>#N/A</v>
      </c>
      <c r="CU53" s="115" t="e">
        <f t="shared" si="72"/>
        <v>#N/A</v>
      </c>
      <c r="CV53" s="115" t="e">
        <f t="shared" si="72"/>
        <v>#N/A</v>
      </c>
      <c r="CW53" s="115" t="e">
        <f t="shared" si="72"/>
        <v>#N/A</v>
      </c>
      <c r="CX53" s="115" t="e">
        <f t="shared" si="72"/>
        <v>#N/A</v>
      </c>
      <c r="CY53" s="115" t="e">
        <f t="shared" si="72"/>
        <v>#N/A</v>
      </c>
      <c r="CZ53" s="115" t="e">
        <f t="shared" si="72"/>
        <v>#N/A</v>
      </c>
      <c r="DA53" s="115" t="e">
        <f t="shared" si="72"/>
        <v>#N/A</v>
      </c>
      <c r="DB53" s="115" t="e">
        <f t="shared" si="73"/>
        <v>#N/A</v>
      </c>
      <c r="DC53" s="115" t="e">
        <f t="shared" si="73"/>
        <v>#N/A</v>
      </c>
      <c r="DD53" s="115" t="e">
        <f t="shared" si="73"/>
        <v>#N/A</v>
      </c>
      <c r="DE53" s="115" t="e">
        <f t="shared" si="73"/>
        <v>#N/A</v>
      </c>
      <c r="DF53" s="115" t="e">
        <f t="shared" si="73"/>
        <v>#N/A</v>
      </c>
      <c r="DG53" s="115" t="e">
        <f t="shared" si="73"/>
        <v>#N/A</v>
      </c>
      <c r="DH53" s="115" t="e">
        <f t="shared" si="73"/>
        <v>#N/A</v>
      </c>
      <c r="DI53" s="115" t="e">
        <f t="shared" si="73"/>
        <v>#N/A</v>
      </c>
      <c r="DJ53" s="115" t="e">
        <f t="shared" si="73"/>
        <v>#N/A</v>
      </c>
      <c r="DK53" s="115" t="e">
        <f t="shared" si="73"/>
        <v>#N/A</v>
      </c>
      <c r="DL53" s="115" t="e">
        <f t="shared" si="73"/>
        <v>#N/A</v>
      </c>
      <c r="DM53" s="115" t="e">
        <f t="shared" si="73"/>
        <v>#N/A</v>
      </c>
    </row>
    <row r="54" spans="1:117" ht="15" customHeight="1" thickBot="1">
      <c r="A54" s="55">
        <v>5200</v>
      </c>
      <c r="B54" s="194" t="s">
        <v>728</v>
      </c>
      <c r="C54" s="194" t="s">
        <v>785</v>
      </c>
      <c r="D54" s="194" t="s">
        <v>492</v>
      </c>
      <c r="E54" s="194"/>
      <c r="F54" s="194" t="s">
        <v>1649</v>
      </c>
      <c r="G54" s="291" t="e">
        <f t="shared" si="59"/>
        <v>#N/A</v>
      </c>
      <c r="H54" s="382" t="e">
        <f>VLOOKUP("AUFZkWh",Energie,8,0)*VLOOKUP("BGFbeheizt",Objektkenndaten,5,0)*VLOOKUP("KOSTROM",Energie,8,0)</f>
        <v>#N/A</v>
      </c>
      <c r="I54" s="168"/>
      <c r="J54" s="194" t="s">
        <v>727</v>
      </c>
      <c r="K54" s="378" t="s">
        <v>732</v>
      </c>
      <c r="L54" s="379" t="s">
        <v>2586</v>
      </c>
      <c r="M54" s="325">
        <f t="shared" si="60"/>
        <v>2.0299999999999998</v>
      </c>
      <c r="N54" s="380">
        <f t="shared" si="61"/>
        <v>1.0032448377581122</v>
      </c>
      <c r="O54" s="381" t="e">
        <f t="shared" si="64"/>
        <v>#N/A</v>
      </c>
      <c r="P54" s="169" t="s">
        <v>103</v>
      </c>
      <c r="Q54" s="114" t="e">
        <f t="shared" si="64"/>
        <v>#N/A</v>
      </c>
      <c r="R54" s="115" t="e">
        <f t="shared" si="64"/>
        <v>#N/A</v>
      </c>
      <c r="S54" s="115" t="e">
        <f t="shared" si="64"/>
        <v>#N/A</v>
      </c>
      <c r="T54" s="115" t="e">
        <f t="shared" si="64"/>
        <v>#N/A</v>
      </c>
      <c r="U54" s="115" t="e">
        <f t="shared" si="64"/>
        <v>#N/A</v>
      </c>
      <c r="V54" s="115" t="e">
        <f t="shared" si="64"/>
        <v>#N/A</v>
      </c>
      <c r="W54" s="115" t="e">
        <f t="shared" si="64"/>
        <v>#N/A</v>
      </c>
      <c r="X54" s="115" t="e">
        <f t="shared" si="64"/>
        <v>#N/A</v>
      </c>
      <c r="Y54" s="115" t="e">
        <f t="shared" si="64"/>
        <v>#N/A</v>
      </c>
      <c r="Z54" s="115" t="e">
        <f t="shared" si="65"/>
        <v>#N/A</v>
      </c>
      <c r="AA54" s="115" t="e">
        <f t="shared" si="65"/>
        <v>#N/A</v>
      </c>
      <c r="AB54" s="115" t="e">
        <f t="shared" si="65"/>
        <v>#N/A</v>
      </c>
      <c r="AC54" s="115" t="e">
        <f t="shared" si="65"/>
        <v>#N/A</v>
      </c>
      <c r="AD54" s="115" t="e">
        <f t="shared" si="65"/>
        <v>#N/A</v>
      </c>
      <c r="AE54" s="115" t="e">
        <f t="shared" si="65"/>
        <v>#N/A</v>
      </c>
      <c r="AF54" s="115" t="e">
        <f t="shared" si="65"/>
        <v>#N/A</v>
      </c>
      <c r="AG54" s="115" t="e">
        <f t="shared" si="65"/>
        <v>#N/A</v>
      </c>
      <c r="AH54" s="115" t="e">
        <f t="shared" si="65"/>
        <v>#N/A</v>
      </c>
      <c r="AI54" s="115" t="e">
        <f t="shared" si="65"/>
        <v>#N/A</v>
      </c>
      <c r="AJ54" s="115" t="e">
        <f t="shared" si="66"/>
        <v>#N/A</v>
      </c>
      <c r="AK54" s="115" t="e">
        <f t="shared" si="66"/>
        <v>#N/A</v>
      </c>
      <c r="AL54" s="115" t="e">
        <f t="shared" si="66"/>
        <v>#N/A</v>
      </c>
      <c r="AM54" s="115" t="e">
        <f t="shared" si="66"/>
        <v>#N/A</v>
      </c>
      <c r="AN54" s="115" t="e">
        <f t="shared" si="66"/>
        <v>#N/A</v>
      </c>
      <c r="AO54" s="115" t="e">
        <f t="shared" si="66"/>
        <v>#N/A</v>
      </c>
      <c r="AP54" s="115" t="e">
        <f t="shared" si="66"/>
        <v>#N/A</v>
      </c>
      <c r="AQ54" s="115" t="e">
        <f t="shared" si="66"/>
        <v>#N/A</v>
      </c>
      <c r="AR54" s="115" t="e">
        <f t="shared" si="66"/>
        <v>#N/A</v>
      </c>
      <c r="AS54" s="115" t="e">
        <f t="shared" si="66"/>
        <v>#N/A</v>
      </c>
      <c r="AT54" s="115" t="e">
        <f t="shared" si="67"/>
        <v>#N/A</v>
      </c>
      <c r="AU54" s="115" t="e">
        <f t="shared" si="67"/>
        <v>#N/A</v>
      </c>
      <c r="AV54" s="115" t="e">
        <f t="shared" si="67"/>
        <v>#N/A</v>
      </c>
      <c r="AW54" s="115" t="e">
        <f t="shared" si="67"/>
        <v>#N/A</v>
      </c>
      <c r="AX54" s="115" t="e">
        <f t="shared" si="67"/>
        <v>#N/A</v>
      </c>
      <c r="AY54" s="115" t="e">
        <f t="shared" si="67"/>
        <v>#N/A</v>
      </c>
      <c r="AZ54" s="115" t="e">
        <f t="shared" si="67"/>
        <v>#N/A</v>
      </c>
      <c r="BA54" s="115" t="e">
        <f t="shared" si="67"/>
        <v>#N/A</v>
      </c>
      <c r="BB54" s="115" t="e">
        <f t="shared" si="67"/>
        <v>#N/A</v>
      </c>
      <c r="BC54" s="115" t="e">
        <f t="shared" si="67"/>
        <v>#N/A</v>
      </c>
      <c r="BD54" s="115" t="e">
        <f t="shared" si="68"/>
        <v>#N/A</v>
      </c>
      <c r="BE54" s="115" t="e">
        <f t="shared" si="68"/>
        <v>#N/A</v>
      </c>
      <c r="BF54" s="115" t="e">
        <f t="shared" si="68"/>
        <v>#N/A</v>
      </c>
      <c r="BG54" s="115" t="e">
        <f t="shared" si="68"/>
        <v>#N/A</v>
      </c>
      <c r="BH54" s="115" t="e">
        <f t="shared" si="68"/>
        <v>#N/A</v>
      </c>
      <c r="BI54" s="115" t="e">
        <f t="shared" si="68"/>
        <v>#N/A</v>
      </c>
      <c r="BJ54" s="115" t="e">
        <f t="shared" si="68"/>
        <v>#N/A</v>
      </c>
      <c r="BK54" s="115" t="e">
        <f t="shared" si="68"/>
        <v>#N/A</v>
      </c>
      <c r="BL54" s="115" t="e">
        <f t="shared" si="68"/>
        <v>#N/A</v>
      </c>
      <c r="BM54" s="115" t="e">
        <f t="shared" si="68"/>
        <v>#N/A</v>
      </c>
      <c r="BN54" s="115" t="e">
        <f t="shared" si="69"/>
        <v>#N/A</v>
      </c>
      <c r="BO54" s="115" t="e">
        <f t="shared" si="69"/>
        <v>#N/A</v>
      </c>
      <c r="BP54" s="115" t="e">
        <f t="shared" si="69"/>
        <v>#N/A</v>
      </c>
      <c r="BQ54" s="115" t="e">
        <f t="shared" si="69"/>
        <v>#N/A</v>
      </c>
      <c r="BR54" s="115" t="e">
        <f t="shared" si="69"/>
        <v>#N/A</v>
      </c>
      <c r="BS54" s="115" t="e">
        <f t="shared" si="69"/>
        <v>#N/A</v>
      </c>
      <c r="BT54" s="115" t="e">
        <f t="shared" si="69"/>
        <v>#N/A</v>
      </c>
      <c r="BU54" s="115" t="e">
        <f t="shared" si="69"/>
        <v>#N/A</v>
      </c>
      <c r="BV54" s="115" t="e">
        <f t="shared" si="69"/>
        <v>#N/A</v>
      </c>
      <c r="BW54" s="115" t="e">
        <f t="shared" si="69"/>
        <v>#N/A</v>
      </c>
      <c r="BX54" s="115" t="e">
        <f t="shared" si="70"/>
        <v>#N/A</v>
      </c>
      <c r="BY54" s="115" t="e">
        <f t="shared" si="70"/>
        <v>#N/A</v>
      </c>
      <c r="BZ54" s="115" t="e">
        <f t="shared" si="70"/>
        <v>#N/A</v>
      </c>
      <c r="CA54" s="115" t="e">
        <f t="shared" si="70"/>
        <v>#N/A</v>
      </c>
      <c r="CB54" s="115" t="e">
        <f t="shared" si="70"/>
        <v>#N/A</v>
      </c>
      <c r="CC54" s="115" t="e">
        <f t="shared" si="70"/>
        <v>#N/A</v>
      </c>
      <c r="CD54" s="115" t="e">
        <f t="shared" si="70"/>
        <v>#N/A</v>
      </c>
      <c r="CE54" s="115" t="e">
        <f t="shared" si="70"/>
        <v>#N/A</v>
      </c>
      <c r="CF54" s="115" t="e">
        <f t="shared" si="70"/>
        <v>#N/A</v>
      </c>
      <c r="CG54" s="115" t="e">
        <f t="shared" si="70"/>
        <v>#N/A</v>
      </c>
      <c r="CH54" s="115" t="e">
        <f t="shared" si="71"/>
        <v>#N/A</v>
      </c>
      <c r="CI54" s="115" t="e">
        <f t="shared" si="71"/>
        <v>#N/A</v>
      </c>
      <c r="CJ54" s="115" t="e">
        <f t="shared" si="71"/>
        <v>#N/A</v>
      </c>
      <c r="CK54" s="115" t="e">
        <f t="shared" si="71"/>
        <v>#N/A</v>
      </c>
      <c r="CL54" s="115" t="e">
        <f t="shared" si="71"/>
        <v>#N/A</v>
      </c>
      <c r="CM54" s="115" t="e">
        <f t="shared" si="71"/>
        <v>#N/A</v>
      </c>
      <c r="CN54" s="115" t="e">
        <f t="shared" si="71"/>
        <v>#N/A</v>
      </c>
      <c r="CO54" s="115" t="e">
        <f t="shared" si="71"/>
        <v>#N/A</v>
      </c>
      <c r="CP54" s="115" t="e">
        <f t="shared" si="71"/>
        <v>#N/A</v>
      </c>
      <c r="CQ54" s="115" t="e">
        <f t="shared" si="71"/>
        <v>#N/A</v>
      </c>
      <c r="CR54" s="115" t="e">
        <f t="shared" si="72"/>
        <v>#N/A</v>
      </c>
      <c r="CS54" s="115" t="e">
        <f t="shared" si="72"/>
        <v>#N/A</v>
      </c>
      <c r="CT54" s="115" t="e">
        <f t="shared" si="72"/>
        <v>#N/A</v>
      </c>
      <c r="CU54" s="115" t="e">
        <f t="shared" si="72"/>
        <v>#N/A</v>
      </c>
      <c r="CV54" s="115" t="e">
        <f t="shared" si="72"/>
        <v>#N/A</v>
      </c>
      <c r="CW54" s="115" t="e">
        <f t="shared" si="72"/>
        <v>#N/A</v>
      </c>
      <c r="CX54" s="115" t="e">
        <f t="shared" si="72"/>
        <v>#N/A</v>
      </c>
      <c r="CY54" s="115" t="e">
        <f t="shared" si="72"/>
        <v>#N/A</v>
      </c>
      <c r="CZ54" s="115" t="e">
        <f t="shared" si="72"/>
        <v>#N/A</v>
      </c>
      <c r="DA54" s="115" t="e">
        <f t="shared" si="72"/>
        <v>#N/A</v>
      </c>
      <c r="DB54" s="115" t="e">
        <f t="shared" si="73"/>
        <v>#N/A</v>
      </c>
      <c r="DC54" s="115" t="e">
        <f t="shared" si="73"/>
        <v>#N/A</v>
      </c>
      <c r="DD54" s="115" t="e">
        <f t="shared" si="73"/>
        <v>#N/A</v>
      </c>
      <c r="DE54" s="115" t="e">
        <f t="shared" si="73"/>
        <v>#N/A</v>
      </c>
      <c r="DF54" s="115" t="e">
        <f t="shared" si="73"/>
        <v>#N/A</v>
      </c>
      <c r="DG54" s="115" t="e">
        <f t="shared" si="73"/>
        <v>#N/A</v>
      </c>
      <c r="DH54" s="115" t="e">
        <f t="shared" si="73"/>
        <v>#N/A</v>
      </c>
      <c r="DI54" s="115" t="e">
        <f t="shared" si="73"/>
        <v>#N/A</v>
      </c>
      <c r="DJ54" s="115" t="e">
        <f t="shared" si="73"/>
        <v>#N/A</v>
      </c>
      <c r="DK54" s="115" t="e">
        <f t="shared" si="73"/>
        <v>#N/A</v>
      </c>
      <c r="DL54" s="115" t="e">
        <f t="shared" si="73"/>
        <v>#N/A</v>
      </c>
      <c r="DM54" s="115" t="e">
        <f t="shared" si="73"/>
        <v>#N/A</v>
      </c>
    </row>
    <row r="55" spans="1:117" ht="15" customHeight="1" thickBot="1">
      <c r="A55" s="293">
        <v>5300</v>
      </c>
      <c r="B55" s="172" t="s">
        <v>728</v>
      </c>
      <c r="C55" s="172" t="s">
        <v>786</v>
      </c>
      <c r="D55" s="172" t="s">
        <v>1650</v>
      </c>
      <c r="E55" s="172"/>
      <c r="F55" s="172" t="s">
        <v>117</v>
      </c>
      <c r="G55" s="171" t="e">
        <f>SUM(G56:G57)</f>
        <v>#N/A</v>
      </c>
      <c r="H55" s="171"/>
      <c r="I55" s="171"/>
      <c r="J55" s="172" t="s">
        <v>727</v>
      </c>
      <c r="K55" s="373"/>
      <c r="L55" s="172"/>
      <c r="M55" s="293"/>
      <c r="N55" s="293"/>
      <c r="O55" s="376" t="e">
        <f>SUM(O56:O57)</f>
        <v>#N/A</v>
      </c>
      <c r="P55" s="377" t="s">
        <v>103</v>
      </c>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6"/>
      <c r="AR55" s="116"/>
      <c r="AS55" s="116"/>
      <c r="AT55" s="116"/>
      <c r="AU55" s="116"/>
      <c r="AV55" s="116"/>
      <c r="AW55" s="116"/>
      <c r="AX55" s="116"/>
      <c r="AY55" s="116"/>
      <c r="AZ55" s="116"/>
      <c r="BA55" s="116"/>
      <c r="BB55" s="116"/>
      <c r="BC55" s="116"/>
      <c r="BD55" s="116"/>
      <c r="BE55" s="116"/>
      <c r="BF55" s="116"/>
      <c r="BG55" s="116"/>
      <c r="BH55" s="116"/>
      <c r="BI55" s="116"/>
      <c r="BJ55" s="116"/>
      <c r="BK55" s="116"/>
      <c r="BL55" s="116"/>
      <c r="BM55" s="116"/>
      <c r="BN55" s="116"/>
      <c r="BO55" s="116"/>
      <c r="BP55" s="116"/>
      <c r="BQ55" s="116"/>
      <c r="BR55" s="116"/>
      <c r="BS55" s="116"/>
      <c r="BT55" s="116"/>
      <c r="BU55" s="116"/>
      <c r="BV55" s="116"/>
      <c r="BW55" s="116"/>
      <c r="BX55" s="116"/>
      <c r="BY55" s="116"/>
      <c r="BZ55" s="116"/>
      <c r="CA55" s="116"/>
      <c r="CB55" s="116"/>
      <c r="CC55" s="116"/>
      <c r="CD55" s="116"/>
      <c r="CE55" s="116"/>
      <c r="CF55" s="116"/>
      <c r="CG55" s="116"/>
      <c r="CH55" s="116"/>
      <c r="CI55" s="116"/>
      <c r="CJ55" s="116"/>
      <c r="CK55" s="116"/>
      <c r="CL55" s="116"/>
      <c r="CM55" s="116"/>
      <c r="CN55" s="116"/>
      <c r="CO55" s="116"/>
      <c r="CP55" s="116"/>
      <c r="CQ55" s="116"/>
      <c r="CR55" s="116"/>
      <c r="CS55" s="116"/>
      <c r="CT55" s="116"/>
      <c r="CU55" s="116"/>
      <c r="CV55" s="116"/>
      <c r="CW55" s="116"/>
      <c r="CX55" s="116"/>
      <c r="CY55" s="116"/>
      <c r="CZ55" s="116"/>
      <c r="DA55" s="116"/>
      <c r="DB55" s="116"/>
      <c r="DC55" s="116"/>
      <c r="DD55" s="116"/>
      <c r="DE55" s="116"/>
      <c r="DF55" s="116"/>
      <c r="DG55" s="116"/>
      <c r="DH55" s="116"/>
      <c r="DI55" s="116"/>
      <c r="DJ55" s="116"/>
      <c r="DK55" s="116"/>
      <c r="DL55" s="116"/>
      <c r="DM55" s="116"/>
    </row>
    <row r="56" spans="1:117" ht="15" customHeight="1" thickBot="1">
      <c r="A56" s="55"/>
      <c r="B56" s="194"/>
      <c r="C56" s="194" t="s">
        <v>2601</v>
      </c>
      <c r="D56" s="194" t="s">
        <v>2617</v>
      </c>
      <c r="E56" s="194"/>
      <c r="F56" s="194" t="s">
        <v>2607</v>
      </c>
      <c r="G56" s="291" t="e">
        <f t="shared" si="59"/>
        <v>#N/A</v>
      </c>
      <c r="H56" s="382" t="e">
        <f>VLOOKUP("HEIZkWh",Energie,8,0)*VLOOKUP("BGFbeheizt",Objektkenndaten,5,0)*VLOOKUP("KOHEIZ",Energie,8,0)</f>
        <v>#N/A</v>
      </c>
      <c r="I56" s="168"/>
      <c r="J56" s="194" t="s">
        <v>727</v>
      </c>
      <c r="K56" s="378" t="s">
        <v>732</v>
      </c>
      <c r="L56" s="477" t="s">
        <v>360</v>
      </c>
      <c r="M56" s="325">
        <f t="shared" ref="M56:M57" si="74">VLOOKUP(L56,Finanzielle_Parameter,5,0)</f>
        <v>3.69</v>
      </c>
      <c r="N56" s="380">
        <f t="shared" ref="N56:N57" si="75">(1+VLOOKUP(L56,Finanzielle_Parameter,5,0)/100)/(1+VLOOKUP("R",Finanzielle_Parameter,5,0)/100)</f>
        <v>1.019567354965585</v>
      </c>
      <c r="O56" s="381" t="e">
        <f t="shared" si="64"/>
        <v>#N/A</v>
      </c>
      <c r="P56" s="169"/>
      <c r="Q56" s="114" t="e">
        <f t="shared" si="64"/>
        <v>#N/A</v>
      </c>
      <c r="R56" s="115" t="e">
        <f t="shared" si="64"/>
        <v>#N/A</v>
      </c>
      <c r="S56" s="115" t="e">
        <f t="shared" si="64"/>
        <v>#N/A</v>
      </c>
      <c r="T56" s="115" t="e">
        <f t="shared" si="64"/>
        <v>#N/A</v>
      </c>
      <c r="U56" s="115" t="e">
        <f t="shared" si="64"/>
        <v>#N/A</v>
      </c>
      <c r="V56" s="115" t="e">
        <f t="shared" si="64"/>
        <v>#N/A</v>
      </c>
      <c r="W56" s="115" t="e">
        <f t="shared" si="64"/>
        <v>#N/A</v>
      </c>
      <c r="X56" s="115" t="e">
        <f t="shared" si="64"/>
        <v>#N/A</v>
      </c>
      <c r="Y56" s="115" t="e">
        <f t="shared" si="64"/>
        <v>#N/A</v>
      </c>
      <c r="Z56" s="115" t="e">
        <f t="shared" si="65"/>
        <v>#N/A</v>
      </c>
      <c r="AA56" s="115" t="e">
        <f t="shared" si="65"/>
        <v>#N/A</v>
      </c>
      <c r="AB56" s="115" t="e">
        <f t="shared" si="65"/>
        <v>#N/A</v>
      </c>
      <c r="AC56" s="115" t="e">
        <f t="shared" si="65"/>
        <v>#N/A</v>
      </c>
      <c r="AD56" s="115" t="e">
        <f t="shared" si="65"/>
        <v>#N/A</v>
      </c>
      <c r="AE56" s="115" t="e">
        <f t="shared" si="65"/>
        <v>#N/A</v>
      </c>
      <c r="AF56" s="115" t="e">
        <f t="shared" si="65"/>
        <v>#N/A</v>
      </c>
      <c r="AG56" s="115" t="e">
        <f t="shared" si="65"/>
        <v>#N/A</v>
      </c>
      <c r="AH56" s="115" t="e">
        <f t="shared" si="65"/>
        <v>#N/A</v>
      </c>
      <c r="AI56" s="115" t="e">
        <f t="shared" si="65"/>
        <v>#N/A</v>
      </c>
      <c r="AJ56" s="115" t="e">
        <f t="shared" si="66"/>
        <v>#N/A</v>
      </c>
      <c r="AK56" s="115" t="e">
        <f t="shared" si="66"/>
        <v>#N/A</v>
      </c>
      <c r="AL56" s="115" t="e">
        <f t="shared" si="66"/>
        <v>#N/A</v>
      </c>
      <c r="AM56" s="115" t="e">
        <f t="shared" si="66"/>
        <v>#N/A</v>
      </c>
      <c r="AN56" s="115" t="e">
        <f t="shared" si="66"/>
        <v>#N/A</v>
      </c>
      <c r="AO56" s="115" t="e">
        <f t="shared" si="66"/>
        <v>#N/A</v>
      </c>
      <c r="AP56" s="115" t="e">
        <f t="shared" si="66"/>
        <v>#N/A</v>
      </c>
      <c r="AQ56" s="115" t="e">
        <f t="shared" si="66"/>
        <v>#N/A</v>
      </c>
      <c r="AR56" s="115" t="e">
        <f t="shared" si="66"/>
        <v>#N/A</v>
      </c>
      <c r="AS56" s="115" t="e">
        <f t="shared" si="66"/>
        <v>#N/A</v>
      </c>
      <c r="AT56" s="115" t="e">
        <f t="shared" si="67"/>
        <v>#N/A</v>
      </c>
      <c r="AU56" s="115" t="e">
        <f t="shared" si="67"/>
        <v>#N/A</v>
      </c>
      <c r="AV56" s="115" t="e">
        <f t="shared" si="67"/>
        <v>#N/A</v>
      </c>
      <c r="AW56" s="115" t="e">
        <f t="shared" si="67"/>
        <v>#N/A</v>
      </c>
      <c r="AX56" s="115" t="e">
        <f t="shared" si="67"/>
        <v>#N/A</v>
      </c>
      <c r="AY56" s="115" t="e">
        <f t="shared" si="67"/>
        <v>#N/A</v>
      </c>
      <c r="AZ56" s="115" t="e">
        <f t="shared" si="67"/>
        <v>#N/A</v>
      </c>
      <c r="BA56" s="115" t="e">
        <f t="shared" si="67"/>
        <v>#N/A</v>
      </c>
      <c r="BB56" s="115" t="e">
        <f t="shared" si="67"/>
        <v>#N/A</v>
      </c>
      <c r="BC56" s="115" t="e">
        <f t="shared" si="67"/>
        <v>#N/A</v>
      </c>
      <c r="BD56" s="115" t="e">
        <f t="shared" si="68"/>
        <v>#N/A</v>
      </c>
      <c r="BE56" s="115" t="e">
        <f t="shared" si="68"/>
        <v>#N/A</v>
      </c>
      <c r="BF56" s="115" t="e">
        <f t="shared" si="68"/>
        <v>#N/A</v>
      </c>
      <c r="BG56" s="115" t="e">
        <f t="shared" si="68"/>
        <v>#N/A</v>
      </c>
      <c r="BH56" s="115" t="e">
        <f t="shared" si="68"/>
        <v>#N/A</v>
      </c>
      <c r="BI56" s="115" t="e">
        <f t="shared" si="68"/>
        <v>#N/A</v>
      </c>
      <c r="BJ56" s="115" t="e">
        <f t="shared" si="68"/>
        <v>#N/A</v>
      </c>
      <c r="BK56" s="115" t="e">
        <f t="shared" si="68"/>
        <v>#N/A</v>
      </c>
      <c r="BL56" s="115" t="e">
        <f t="shared" si="68"/>
        <v>#N/A</v>
      </c>
      <c r="BM56" s="115" t="e">
        <f t="shared" si="68"/>
        <v>#N/A</v>
      </c>
      <c r="BN56" s="115" t="e">
        <f t="shared" si="69"/>
        <v>#N/A</v>
      </c>
      <c r="BO56" s="115" t="e">
        <f t="shared" si="69"/>
        <v>#N/A</v>
      </c>
      <c r="BP56" s="115" t="e">
        <f t="shared" si="69"/>
        <v>#N/A</v>
      </c>
      <c r="BQ56" s="115" t="e">
        <f t="shared" si="69"/>
        <v>#N/A</v>
      </c>
      <c r="BR56" s="115" t="e">
        <f t="shared" si="69"/>
        <v>#N/A</v>
      </c>
      <c r="BS56" s="115" t="e">
        <f t="shared" si="69"/>
        <v>#N/A</v>
      </c>
      <c r="BT56" s="115" t="e">
        <f t="shared" si="69"/>
        <v>#N/A</v>
      </c>
      <c r="BU56" s="115" t="e">
        <f t="shared" si="69"/>
        <v>#N/A</v>
      </c>
      <c r="BV56" s="115" t="e">
        <f t="shared" si="69"/>
        <v>#N/A</v>
      </c>
      <c r="BW56" s="115" t="e">
        <f t="shared" si="69"/>
        <v>#N/A</v>
      </c>
      <c r="BX56" s="115" t="e">
        <f t="shared" si="70"/>
        <v>#N/A</v>
      </c>
      <c r="BY56" s="115" t="e">
        <f t="shared" si="70"/>
        <v>#N/A</v>
      </c>
      <c r="BZ56" s="115" t="e">
        <f t="shared" si="70"/>
        <v>#N/A</v>
      </c>
      <c r="CA56" s="115" t="e">
        <f t="shared" si="70"/>
        <v>#N/A</v>
      </c>
      <c r="CB56" s="115" t="e">
        <f t="shared" si="70"/>
        <v>#N/A</v>
      </c>
      <c r="CC56" s="115" t="e">
        <f t="shared" si="70"/>
        <v>#N/A</v>
      </c>
      <c r="CD56" s="115" t="e">
        <f t="shared" si="70"/>
        <v>#N/A</v>
      </c>
      <c r="CE56" s="115" t="e">
        <f t="shared" si="70"/>
        <v>#N/A</v>
      </c>
      <c r="CF56" s="115" t="e">
        <f t="shared" si="70"/>
        <v>#N/A</v>
      </c>
      <c r="CG56" s="115" t="e">
        <f t="shared" si="70"/>
        <v>#N/A</v>
      </c>
      <c r="CH56" s="115" t="e">
        <f t="shared" si="71"/>
        <v>#N/A</v>
      </c>
      <c r="CI56" s="115" t="e">
        <f t="shared" si="71"/>
        <v>#N/A</v>
      </c>
      <c r="CJ56" s="115" t="e">
        <f t="shared" si="71"/>
        <v>#N/A</v>
      </c>
      <c r="CK56" s="115" t="e">
        <f t="shared" si="71"/>
        <v>#N/A</v>
      </c>
      <c r="CL56" s="115" t="e">
        <f t="shared" si="71"/>
        <v>#N/A</v>
      </c>
      <c r="CM56" s="115" t="e">
        <f t="shared" si="71"/>
        <v>#N/A</v>
      </c>
      <c r="CN56" s="115" t="e">
        <f t="shared" si="71"/>
        <v>#N/A</v>
      </c>
      <c r="CO56" s="115" t="e">
        <f t="shared" si="71"/>
        <v>#N/A</v>
      </c>
      <c r="CP56" s="115" t="e">
        <f t="shared" si="71"/>
        <v>#N/A</v>
      </c>
      <c r="CQ56" s="115" t="e">
        <f t="shared" si="71"/>
        <v>#N/A</v>
      </c>
      <c r="CR56" s="115" t="e">
        <f t="shared" si="72"/>
        <v>#N/A</v>
      </c>
      <c r="CS56" s="115" t="e">
        <f t="shared" si="72"/>
        <v>#N/A</v>
      </c>
      <c r="CT56" s="115" t="e">
        <f t="shared" si="72"/>
        <v>#N/A</v>
      </c>
      <c r="CU56" s="115" t="e">
        <f t="shared" si="72"/>
        <v>#N/A</v>
      </c>
      <c r="CV56" s="115" t="e">
        <f t="shared" si="72"/>
        <v>#N/A</v>
      </c>
      <c r="CW56" s="115" t="e">
        <f t="shared" si="72"/>
        <v>#N/A</v>
      </c>
      <c r="CX56" s="115" t="e">
        <f t="shared" si="72"/>
        <v>#N/A</v>
      </c>
      <c r="CY56" s="115" t="e">
        <f t="shared" si="72"/>
        <v>#N/A</v>
      </c>
      <c r="CZ56" s="115" t="e">
        <f t="shared" si="72"/>
        <v>#N/A</v>
      </c>
      <c r="DA56" s="115" t="e">
        <f t="shared" si="72"/>
        <v>#N/A</v>
      </c>
      <c r="DB56" s="115" t="e">
        <f t="shared" si="73"/>
        <v>#N/A</v>
      </c>
      <c r="DC56" s="115" t="e">
        <f t="shared" si="73"/>
        <v>#N/A</v>
      </c>
      <c r="DD56" s="115" t="e">
        <f t="shared" si="73"/>
        <v>#N/A</v>
      </c>
      <c r="DE56" s="115" t="e">
        <f t="shared" si="73"/>
        <v>#N/A</v>
      </c>
      <c r="DF56" s="115" t="e">
        <f t="shared" si="73"/>
        <v>#N/A</v>
      </c>
      <c r="DG56" s="115" t="e">
        <f t="shared" si="73"/>
        <v>#N/A</v>
      </c>
      <c r="DH56" s="115" t="e">
        <f t="shared" si="73"/>
        <v>#N/A</v>
      </c>
      <c r="DI56" s="115" t="e">
        <f t="shared" si="73"/>
        <v>#N/A</v>
      </c>
      <c r="DJ56" s="115" t="e">
        <f t="shared" si="73"/>
        <v>#N/A</v>
      </c>
      <c r="DK56" s="115" t="e">
        <f t="shared" si="73"/>
        <v>#N/A</v>
      </c>
      <c r="DL56" s="115" t="e">
        <f t="shared" si="73"/>
        <v>#N/A</v>
      </c>
      <c r="DM56" s="115" t="e">
        <f t="shared" si="73"/>
        <v>#N/A</v>
      </c>
    </row>
    <row r="57" spans="1:117" ht="15" customHeight="1" thickBot="1">
      <c r="A57" s="55"/>
      <c r="B57" s="194"/>
      <c r="C57" s="194" t="s">
        <v>2602</v>
      </c>
      <c r="D57" s="194" t="s">
        <v>2613</v>
      </c>
      <c r="E57" s="194"/>
      <c r="F57" s="194" t="s">
        <v>2608</v>
      </c>
      <c r="G57" s="291" t="e">
        <f t="shared" si="59"/>
        <v>#N/A</v>
      </c>
      <c r="H57" s="382" t="e">
        <f>VLOOKUP("HILFHEIZ",Energie,8,0)*VLOOKUP("BGFbeheizt",Objektkenndaten,5,0)*VLOOKUP("KOSTROM",Energie,8,0)</f>
        <v>#N/A</v>
      </c>
      <c r="I57" s="168"/>
      <c r="J57" s="194" t="s">
        <v>727</v>
      </c>
      <c r="K57" s="378" t="s">
        <v>732</v>
      </c>
      <c r="L57" s="379" t="s">
        <v>2586</v>
      </c>
      <c r="M57" s="325">
        <f t="shared" si="74"/>
        <v>2.0299999999999998</v>
      </c>
      <c r="N57" s="380">
        <f t="shared" si="75"/>
        <v>1.0032448377581122</v>
      </c>
      <c r="O57" s="381" t="e">
        <f t="shared" si="64"/>
        <v>#N/A</v>
      </c>
      <c r="P57" s="169"/>
      <c r="Q57" s="114" t="e">
        <f t="shared" si="64"/>
        <v>#N/A</v>
      </c>
      <c r="R57" s="115" t="e">
        <f t="shared" si="64"/>
        <v>#N/A</v>
      </c>
      <c r="S57" s="115" t="e">
        <f t="shared" si="64"/>
        <v>#N/A</v>
      </c>
      <c r="T57" s="115" t="e">
        <f t="shared" si="64"/>
        <v>#N/A</v>
      </c>
      <c r="U57" s="115" t="e">
        <f t="shared" si="64"/>
        <v>#N/A</v>
      </c>
      <c r="V57" s="115" t="e">
        <f t="shared" si="64"/>
        <v>#N/A</v>
      </c>
      <c r="W57" s="115" t="e">
        <f t="shared" si="64"/>
        <v>#N/A</v>
      </c>
      <c r="X57" s="115" t="e">
        <f t="shared" si="64"/>
        <v>#N/A</v>
      </c>
      <c r="Y57" s="115" t="e">
        <f t="shared" si="64"/>
        <v>#N/A</v>
      </c>
      <c r="Z57" s="115" t="e">
        <f t="shared" si="65"/>
        <v>#N/A</v>
      </c>
      <c r="AA57" s="115" t="e">
        <f t="shared" si="65"/>
        <v>#N/A</v>
      </c>
      <c r="AB57" s="115" t="e">
        <f t="shared" si="65"/>
        <v>#N/A</v>
      </c>
      <c r="AC57" s="115" t="e">
        <f t="shared" si="65"/>
        <v>#N/A</v>
      </c>
      <c r="AD57" s="115" t="e">
        <f t="shared" si="65"/>
        <v>#N/A</v>
      </c>
      <c r="AE57" s="115" t="e">
        <f t="shared" si="65"/>
        <v>#N/A</v>
      </c>
      <c r="AF57" s="115" t="e">
        <f t="shared" si="65"/>
        <v>#N/A</v>
      </c>
      <c r="AG57" s="115" t="e">
        <f t="shared" si="65"/>
        <v>#N/A</v>
      </c>
      <c r="AH57" s="115" t="e">
        <f t="shared" si="65"/>
        <v>#N/A</v>
      </c>
      <c r="AI57" s="115" t="e">
        <f t="shared" si="65"/>
        <v>#N/A</v>
      </c>
      <c r="AJ57" s="115" t="e">
        <f t="shared" si="66"/>
        <v>#N/A</v>
      </c>
      <c r="AK57" s="115" t="e">
        <f t="shared" si="66"/>
        <v>#N/A</v>
      </c>
      <c r="AL57" s="115" t="e">
        <f t="shared" si="66"/>
        <v>#N/A</v>
      </c>
      <c r="AM57" s="115" t="e">
        <f t="shared" si="66"/>
        <v>#N/A</v>
      </c>
      <c r="AN57" s="115" t="e">
        <f t="shared" si="66"/>
        <v>#N/A</v>
      </c>
      <c r="AO57" s="115" t="e">
        <f t="shared" si="66"/>
        <v>#N/A</v>
      </c>
      <c r="AP57" s="115" t="e">
        <f t="shared" si="66"/>
        <v>#N/A</v>
      </c>
      <c r="AQ57" s="115" t="e">
        <f t="shared" si="66"/>
        <v>#N/A</v>
      </c>
      <c r="AR57" s="115" t="e">
        <f t="shared" si="66"/>
        <v>#N/A</v>
      </c>
      <c r="AS57" s="115" t="e">
        <f t="shared" si="66"/>
        <v>#N/A</v>
      </c>
      <c r="AT57" s="115" t="e">
        <f t="shared" si="67"/>
        <v>#N/A</v>
      </c>
      <c r="AU57" s="115" t="e">
        <f t="shared" si="67"/>
        <v>#N/A</v>
      </c>
      <c r="AV57" s="115" t="e">
        <f t="shared" si="67"/>
        <v>#N/A</v>
      </c>
      <c r="AW57" s="115" t="e">
        <f t="shared" si="67"/>
        <v>#N/A</v>
      </c>
      <c r="AX57" s="115" t="e">
        <f t="shared" si="67"/>
        <v>#N/A</v>
      </c>
      <c r="AY57" s="115" t="e">
        <f t="shared" si="67"/>
        <v>#N/A</v>
      </c>
      <c r="AZ57" s="115" t="e">
        <f t="shared" si="67"/>
        <v>#N/A</v>
      </c>
      <c r="BA57" s="115" t="e">
        <f t="shared" si="67"/>
        <v>#N/A</v>
      </c>
      <c r="BB57" s="115" t="e">
        <f t="shared" si="67"/>
        <v>#N/A</v>
      </c>
      <c r="BC57" s="115" t="e">
        <f t="shared" si="67"/>
        <v>#N/A</v>
      </c>
      <c r="BD57" s="115" t="e">
        <f t="shared" si="68"/>
        <v>#N/A</v>
      </c>
      <c r="BE57" s="115" t="e">
        <f t="shared" si="68"/>
        <v>#N/A</v>
      </c>
      <c r="BF57" s="115" t="e">
        <f t="shared" si="68"/>
        <v>#N/A</v>
      </c>
      <c r="BG57" s="115" t="e">
        <f t="shared" si="68"/>
        <v>#N/A</v>
      </c>
      <c r="BH57" s="115" t="e">
        <f t="shared" si="68"/>
        <v>#N/A</v>
      </c>
      <c r="BI57" s="115" t="e">
        <f t="shared" si="68"/>
        <v>#N/A</v>
      </c>
      <c r="BJ57" s="115" t="e">
        <f t="shared" si="68"/>
        <v>#N/A</v>
      </c>
      <c r="BK57" s="115" t="e">
        <f t="shared" si="68"/>
        <v>#N/A</v>
      </c>
      <c r="BL57" s="115" t="e">
        <f t="shared" si="68"/>
        <v>#N/A</v>
      </c>
      <c r="BM57" s="115" t="e">
        <f t="shared" si="68"/>
        <v>#N/A</v>
      </c>
      <c r="BN57" s="115" t="e">
        <f t="shared" si="69"/>
        <v>#N/A</v>
      </c>
      <c r="BO57" s="115" t="e">
        <f t="shared" si="69"/>
        <v>#N/A</v>
      </c>
      <c r="BP57" s="115" t="e">
        <f t="shared" si="69"/>
        <v>#N/A</v>
      </c>
      <c r="BQ57" s="115" t="e">
        <f t="shared" si="69"/>
        <v>#N/A</v>
      </c>
      <c r="BR57" s="115" t="e">
        <f t="shared" si="69"/>
        <v>#N/A</v>
      </c>
      <c r="BS57" s="115" t="e">
        <f t="shared" si="69"/>
        <v>#N/A</v>
      </c>
      <c r="BT57" s="115" t="e">
        <f t="shared" si="69"/>
        <v>#N/A</v>
      </c>
      <c r="BU57" s="115" t="e">
        <f t="shared" si="69"/>
        <v>#N/A</v>
      </c>
      <c r="BV57" s="115" t="e">
        <f t="shared" si="69"/>
        <v>#N/A</v>
      </c>
      <c r="BW57" s="115" t="e">
        <f t="shared" si="69"/>
        <v>#N/A</v>
      </c>
      <c r="BX57" s="115" t="e">
        <f t="shared" si="70"/>
        <v>#N/A</v>
      </c>
      <c r="BY57" s="115" t="e">
        <f t="shared" si="70"/>
        <v>#N/A</v>
      </c>
      <c r="BZ57" s="115" t="e">
        <f t="shared" si="70"/>
        <v>#N/A</v>
      </c>
      <c r="CA57" s="115" t="e">
        <f t="shared" si="70"/>
        <v>#N/A</v>
      </c>
      <c r="CB57" s="115" t="e">
        <f t="shared" si="70"/>
        <v>#N/A</v>
      </c>
      <c r="CC57" s="115" t="e">
        <f t="shared" si="70"/>
        <v>#N/A</v>
      </c>
      <c r="CD57" s="115" t="e">
        <f t="shared" si="70"/>
        <v>#N/A</v>
      </c>
      <c r="CE57" s="115" t="e">
        <f t="shared" si="70"/>
        <v>#N/A</v>
      </c>
      <c r="CF57" s="115" t="e">
        <f t="shared" si="70"/>
        <v>#N/A</v>
      </c>
      <c r="CG57" s="115" t="e">
        <f t="shared" si="70"/>
        <v>#N/A</v>
      </c>
      <c r="CH57" s="115" t="e">
        <f t="shared" si="71"/>
        <v>#N/A</v>
      </c>
      <c r="CI57" s="115" t="e">
        <f t="shared" si="71"/>
        <v>#N/A</v>
      </c>
      <c r="CJ57" s="115" t="e">
        <f t="shared" si="71"/>
        <v>#N/A</v>
      </c>
      <c r="CK57" s="115" t="e">
        <f t="shared" si="71"/>
        <v>#N/A</v>
      </c>
      <c r="CL57" s="115" t="e">
        <f t="shared" si="71"/>
        <v>#N/A</v>
      </c>
      <c r="CM57" s="115" t="e">
        <f t="shared" si="71"/>
        <v>#N/A</v>
      </c>
      <c r="CN57" s="115" t="e">
        <f t="shared" si="71"/>
        <v>#N/A</v>
      </c>
      <c r="CO57" s="115" t="e">
        <f t="shared" si="71"/>
        <v>#N/A</v>
      </c>
      <c r="CP57" s="115" t="e">
        <f t="shared" si="71"/>
        <v>#N/A</v>
      </c>
      <c r="CQ57" s="115" t="e">
        <f t="shared" si="71"/>
        <v>#N/A</v>
      </c>
      <c r="CR57" s="115" t="e">
        <f t="shared" si="72"/>
        <v>#N/A</v>
      </c>
      <c r="CS57" s="115" t="e">
        <f t="shared" si="72"/>
        <v>#N/A</v>
      </c>
      <c r="CT57" s="115" t="e">
        <f t="shared" si="72"/>
        <v>#N/A</v>
      </c>
      <c r="CU57" s="115" t="e">
        <f t="shared" si="72"/>
        <v>#N/A</v>
      </c>
      <c r="CV57" s="115" t="e">
        <f t="shared" si="72"/>
        <v>#N/A</v>
      </c>
      <c r="CW57" s="115" t="e">
        <f t="shared" si="72"/>
        <v>#N/A</v>
      </c>
      <c r="CX57" s="115" t="e">
        <f t="shared" si="72"/>
        <v>#N/A</v>
      </c>
      <c r="CY57" s="115" t="e">
        <f t="shared" si="72"/>
        <v>#N/A</v>
      </c>
      <c r="CZ57" s="115" t="e">
        <f t="shared" si="72"/>
        <v>#N/A</v>
      </c>
      <c r="DA57" s="115" t="e">
        <f t="shared" si="72"/>
        <v>#N/A</v>
      </c>
      <c r="DB57" s="115" t="e">
        <f t="shared" si="73"/>
        <v>#N/A</v>
      </c>
      <c r="DC57" s="115" t="e">
        <f t="shared" si="73"/>
        <v>#N/A</v>
      </c>
      <c r="DD57" s="115" t="e">
        <f t="shared" si="73"/>
        <v>#N/A</v>
      </c>
      <c r="DE57" s="115" t="e">
        <f t="shared" si="73"/>
        <v>#N/A</v>
      </c>
      <c r="DF57" s="115" t="e">
        <f t="shared" si="73"/>
        <v>#N/A</v>
      </c>
      <c r="DG57" s="115" t="e">
        <f t="shared" si="73"/>
        <v>#N/A</v>
      </c>
      <c r="DH57" s="115" t="e">
        <f t="shared" si="73"/>
        <v>#N/A</v>
      </c>
      <c r="DI57" s="115" t="e">
        <f t="shared" si="73"/>
        <v>#N/A</v>
      </c>
      <c r="DJ57" s="115" t="e">
        <f t="shared" si="73"/>
        <v>#N/A</v>
      </c>
      <c r="DK57" s="115" t="e">
        <f t="shared" si="73"/>
        <v>#N/A</v>
      </c>
      <c r="DL57" s="115" t="e">
        <f t="shared" si="73"/>
        <v>#N/A</v>
      </c>
      <c r="DM57" s="115" t="e">
        <f t="shared" si="73"/>
        <v>#N/A</v>
      </c>
    </row>
    <row r="58" spans="1:117" ht="15" customHeight="1" thickBot="1">
      <c r="A58" s="293">
        <v>5400</v>
      </c>
      <c r="B58" s="172" t="s">
        <v>728</v>
      </c>
      <c r="C58" s="172" t="s">
        <v>787</v>
      </c>
      <c r="D58" s="172" t="s">
        <v>1651</v>
      </c>
      <c r="E58" s="172"/>
      <c r="F58" s="172" t="s">
        <v>117</v>
      </c>
      <c r="G58" s="171" t="e">
        <f>SUM(G59:G60)</f>
        <v>#N/A</v>
      </c>
      <c r="H58" s="171"/>
      <c r="I58" s="171"/>
      <c r="J58" s="172" t="s">
        <v>727</v>
      </c>
      <c r="K58" s="373"/>
      <c r="L58" s="172"/>
      <c r="M58" s="293"/>
      <c r="N58" s="293"/>
      <c r="O58" s="376" t="e">
        <f>SUM(O59:O60)</f>
        <v>#N/A</v>
      </c>
      <c r="P58" s="377" t="s">
        <v>103</v>
      </c>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c r="AS58" s="116"/>
      <c r="AT58" s="116"/>
      <c r="AU58" s="116"/>
      <c r="AV58" s="116"/>
      <c r="AW58" s="116"/>
      <c r="AX58" s="116"/>
      <c r="AY58" s="116"/>
      <c r="AZ58" s="116"/>
      <c r="BA58" s="116"/>
      <c r="BB58" s="116"/>
      <c r="BC58" s="116"/>
      <c r="BD58" s="116"/>
      <c r="BE58" s="116"/>
      <c r="BF58" s="116"/>
      <c r="BG58" s="116"/>
      <c r="BH58" s="116"/>
      <c r="BI58" s="116"/>
      <c r="BJ58" s="116"/>
      <c r="BK58" s="116"/>
      <c r="BL58" s="116"/>
      <c r="BM58" s="116"/>
      <c r="BN58" s="116"/>
      <c r="BO58" s="116"/>
      <c r="BP58" s="116"/>
      <c r="BQ58" s="116"/>
      <c r="BR58" s="116"/>
      <c r="BS58" s="116"/>
      <c r="BT58" s="116"/>
      <c r="BU58" s="116"/>
      <c r="BV58" s="116"/>
      <c r="BW58" s="116"/>
      <c r="BX58" s="116"/>
      <c r="BY58" s="116"/>
      <c r="BZ58" s="116"/>
      <c r="CA58" s="116"/>
      <c r="CB58" s="116"/>
      <c r="CC58" s="116"/>
      <c r="CD58" s="116"/>
      <c r="CE58" s="116"/>
      <c r="CF58" s="116"/>
      <c r="CG58" s="116"/>
      <c r="CH58" s="116"/>
      <c r="CI58" s="116"/>
      <c r="CJ58" s="116"/>
      <c r="CK58" s="116"/>
      <c r="CL58" s="116"/>
      <c r="CM58" s="116"/>
      <c r="CN58" s="116"/>
      <c r="CO58" s="116"/>
      <c r="CP58" s="116"/>
      <c r="CQ58" s="116"/>
      <c r="CR58" s="116"/>
      <c r="CS58" s="116"/>
      <c r="CT58" s="116"/>
      <c r="CU58" s="116"/>
      <c r="CV58" s="116"/>
      <c r="CW58" s="116"/>
      <c r="CX58" s="116"/>
      <c r="CY58" s="116"/>
      <c r="CZ58" s="116"/>
      <c r="DA58" s="116"/>
      <c r="DB58" s="116"/>
      <c r="DC58" s="116"/>
      <c r="DD58" s="116"/>
      <c r="DE58" s="116"/>
      <c r="DF58" s="116"/>
      <c r="DG58" s="116"/>
      <c r="DH58" s="116"/>
      <c r="DI58" s="116"/>
      <c r="DJ58" s="116"/>
      <c r="DK58" s="116"/>
      <c r="DL58" s="116"/>
      <c r="DM58" s="116"/>
    </row>
    <row r="59" spans="1:117" ht="15" customHeight="1" thickBot="1">
      <c r="A59" s="55"/>
      <c r="B59" s="194"/>
      <c r="C59" s="194" t="s">
        <v>2603</v>
      </c>
      <c r="D59" s="194" t="s">
        <v>2618</v>
      </c>
      <c r="E59" s="194"/>
      <c r="F59" s="194" t="s">
        <v>2609</v>
      </c>
      <c r="G59" s="291" t="e">
        <f t="shared" si="59"/>
        <v>#N/A</v>
      </c>
      <c r="H59" s="382" t="e">
        <f>VLOOKUP("KÜHLkWh",Energie,8,0)*VLOOKUP("BGFgekühlt",Objektkenndaten,5,0)*VLOOKUP("KOKÜHL",Energie,8,0)</f>
        <v>#N/A</v>
      </c>
      <c r="I59" s="168"/>
      <c r="J59" s="194" t="s">
        <v>727</v>
      </c>
      <c r="K59" s="378" t="s">
        <v>732</v>
      </c>
      <c r="L59" s="477" t="s">
        <v>360</v>
      </c>
      <c r="M59" s="325">
        <f t="shared" ref="M59:M60" si="76">VLOOKUP(L59,Finanzielle_Parameter,5,0)</f>
        <v>3.69</v>
      </c>
      <c r="N59" s="380">
        <f t="shared" ref="N59:N60" si="77">(1+VLOOKUP(L59,Finanzielle_Parameter,5,0)/100)/(1+VLOOKUP("R",Finanzielle_Parameter,5,0)/100)</f>
        <v>1.019567354965585</v>
      </c>
      <c r="O59" s="381" t="e">
        <f t="shared" si="64"/>
        <v>#N/A</v>
      </c>
      <c r="P59" s="169"/>
      <c r="Q59" s="114" t="e">
        <f t="shared" si="64"/>
        <v>#N/A</v>
      </c>
      <c r="R59" s="115" t="e">
        <f t="shared" si="64"/>
        <v>#N/A</v>
      </c>
      <c r="S59" s="115" t="e">
        <f t="shared" si="64"/>
        <v>#N/A</v>
      </c>
      <c r="T59" s="115" t="e">
        <f t="shared" si="64"/>
        <v>#N/A</v>
      </c>
      <c r="U59" s="115" t="e">
        <f t="shared" si="64"/>
        <v>#N/A</v>
      </c>
      <c r="V59" s="115" t="e">
        <f t="shared" si="64"/>
        <v>#N/A</v>
      </c>
      <c r="W59" s="115" t="e">
        <f t="shared" si="64"/>
        <v>#N/A</v>
      </c>
      <c r="X59" s="115" t="e">
        <f t="shared" si="64"/>
        <v>#N/A</v>
      </c>
      <c r="Y59" s="115" t="e">
        <f t="shared" si="64"/>
        <v>#N/A</v>
      </c>
      <c r="Z59" s="115" t="e">
        <f t="shared" si="65"/>
        <v>#N/A</v>
      </c>
      <c r="AA59" s="115" t="e">
        <f t="shared" si="65"/>
        <v>#N/A</v>
      </c>
      <c r="AB59" s="115" t="e">
        <f t="shared" si="65"/>
        <v>#N/A</v>
      </c>
      <c r="AC59" s="115" t="e">
        <f t="shared" si="65"/>
        <v>#N/A</v>
      </c>
      <c r="AD59" s="115" t="e">
        <f t="shared" si="65"/>
        <v>#N/A</v>
      </c>
      <c r="AE59" s="115" t="e">
        <f t="shared" si="65"/>
        <v>#N/A</v>
      </c>
      <c r="AF59" s="115" t="e">
        <f t="shared" si="65"/>
        <v>#N/A</v>
      </c>
      <c r="AG59" s="115" t="e">
        <f t="shared" si="65"/>
        <v>#N/A</v>
      </c>
      <c r="AH59" s="115" t="e">
        <f t="shared" si="65"/>
        <v>#N/A</v>
      </c>
      <c r="AI59" s="115" t="e">
        <f t="shared" si="65"/>
        <v>#N/A</v>
      </c>
      <c r="AJ59" s="115" t="e">
        <f t="shared" si="66"/>
        <v>#N/A</v>
      </c>
      <c r="AK59" s="115" t="e">
        <f t="shared" si="66"/>
        <v>#N/A</v>
      </c>
      <c r="AL59" s="115" t="e">
        <f t="shared" si="66"/>
        <v>#N/A</v>
      </c>
      <c r="AM59" s="115" t="e">
        <f t="shared" si="66"/>
        <v>#N/A</v>
      </c>
      <c r="AN59" s="115" t="e">
        <f t="shared" si="66"/>
        <v>#N/A</v>
      </c>
      <c r="AO59" s="115" t="e">
        <f t="shared" si="66"/>
        <v>#N/A</v>
      </c>
      <c r="AP59" s="115" t="e">
        <f t="shared" si="66"/>
        <v>#N/A</v>
      </c>
      <c r="AQ59" s="115" t="e">
        <f t="shared" si="66"/>
        <v>#N/A</v>
      </c>
      <c r="AR59" s="115" t="e">
        <f t="shared" si="66"/>
        <v>#N/A</v>
      </c>
      <c r="AS59" s="115" t="e">
        <f t="shared" si="66"/>
        <v>#N/A</v>
      </c>
      <c r="AT59" s="115" t="e">
        <f t="shared" si="67"/>
        <v>#N/A</v>
      </c>
      <c r="AU59" s="115" t="e">
        <f t="shared" si="67"/>
        <v>#N/A</v>
      </c>
      <c r="AV59" s="115" t="e">
        <f t="shared" si="67"/>
        <v>#N/A</v>
      </c>
      <c r="AW59" s="115" t="e">
        <f t="shared" si="67"/>
        <v>#N/A</v>
      </c>
      <c r="AX59" s="115" t="e">
        <f t="shared" si="67"/>
        <v>#N/A</v>
      </c>
      <c r="AY59" s="115" t="e">
        <f t="shared" si="67"/>
        <v>#N/A</v>
      </c>
      <c r="AZ59" s="115" t="e">
        <f t="shared" si="67"/>
        <v>#N/A</v>
      </c>
      <c r="BA59" s="115" t="e">
        <f t="shared" si="67"/>
        <v>#N/A</v>
      </c>
      <c r="BB59" s="115" t="e">
        <f t="shared" si="67"/>
        <v>#N/A</v>
      </c>
      <c r="BC59" s="115" t="e">
        <f t="shared" si="67"/>
        <v>#N/A</v>
      </c>
      <c r="BD59" s="115" t="e">
        <f t="shared" si="68"/>
        <v>#N/A</v>
      </c>
      <c r="BE59" s="115" t="e">
        <f t="shared" si="68"/>
        <v>#N/A</v>
      </c>
      <c r="BF59" s="115" t="e">
        <f t="shared" si="68"/>
        <v>#N/A</v>
      </c>
      <c r="BG59" s="115" t="e">
        <f t="shared" si="68"/>
        <v>#N/A</v>
      </c>
      <c r="BH59" s="115" t="e">
        <f t="shared" si="68"/>
        <v>#N/A</v>
      </c>
      <c r="BI59" s="115" t="e">
        <f t="shared" si="68"/>
        <v>#N/A</v>
      </c>
      <c r="BJ59" s="115" t="e">
        <f t="shared" si="68"/>
        <v>#N/A</v>
      </c>
      <c r="BK59" s="115" t="e">
        <f t="shared" si="68"/>
        <v>#N/A</v>
      </c>
      <c r="BL59" s="115" t="e">
        <f t="shared" si="68"/>
        <v>#N/A</v>
      </c>
      <c r="BM59" s="115" t="e">
        <f t="shared" si="68"/>
        <v>#N/A</v>
      </c>
      <c r="BN59" s="115" t="e">
        <f t="shared" si="69"/>
        <v>#N/A</v>
      </c>
      <c r="BO59" s="115" t="e">
        <f t="shared" si="69"/>
        <v>#N/A</v>
      </c>
      <c r="BP59" s="115" t="e">
        <f t="shared" si="69"/>
        <v>#N/A</v>
      </c>
      <c r="BQ59" s="115" t="e">
        <f t="shared" si="69"/>
        <v>#N/A</v>
      </c>
      <c r="BR59" s="115" t="e">
        <f t="shared" si="69"/>
        <v>#N/A</v>
      </c>
      <c r="BS59" s="115" t="e">
        <f t="shared" si="69"/>
        <v>#N/A</v>
      </c>
      <c r="BT59" s="115" t="e">
        <f t="shared" si="69"/>
        <v>#N/A</v>
      </c>
      <c r="BU59" s="115" t="e">
        <f t="shared" si="69"/>
        <v>#N/A</v>
      </c>
      <c r="BV59" s="115" t="e">
        <f t="shared" si="69"/>
        <v>#N/A</v>
      </c>
      <c r="BW59" s="115" t="e">
        <f t="shared" si="69"/>
        <v>#N/A</v>
      </c>
      <c r="BX59" s="115" t="e">
        <f t="shared" si="70"/>
        <v>#N/A</v>
      </c>
      <c r="BY59" s="115" t="e">
        <f t="shared" si="70"/>
        <v>#N/A</v>
      </c>
      <c r="BZ59" s="115" t="e">
        <f t="shared" si="70"/>
        <v>#N/A</v>
      </c>
      <c r="CA59" s="115" t="e">
        <f t="shared" si="70"/>
        <v>#N/A</v>
      </c>
      <c r="CB59" s="115" t="e">
        <f t="shared" si="70"/>
        <v>#N/A</v>
      </c>
      <c r="CC59" s="115" t="e">
        <f t="shared" si="70"/>
        <v>#N/A</v>
      </c>
      <c r="CD59" s="115" t="e">
        <f t="shared" si="70"/>
        <v>#N/A</v>
      </c>
      <c r="CE59" s="115" t="e">
        <f t="shared" si="70"/>
        <v>#N/A</v>
      </c>
      <c r="CF59" s="115" t="e">
        <f t="shared" si="70"/>
        <v>#N/A</v>
      </c>
      <c r="CG59" s="115" t="e">
        <f t="shared" si="70"/>
        <v>#N/A</v>
      </c>
      <c r="CH59" s="115" t="e">
        <f t="shared" si="71"/>
        <v>#N/A</v>
      </c>
      <c r="CI59" s="115" t="e">
        <f t="shared" si="71"/>
        <v>#N/A</v>
      </c>
      <c r="CJ59" s="115" t="e">
        <f t="shared" si="71"/>
        <v>#N/A</v>
      </c>
      <c r="CK59" s="115" t="e">
        <f t="shared" si="71"/>
        <v>#N/A</v>
      </c>
      <c r="CL59" s="115" t="e">
        <f t="shared" si="71"/>
        <v>#N/A</v>
      </c>
      <c r="CM59" s="115" t="e">
        <f t="shared" si="71"/>
        <v>#N/A</v>
      </c>
      <c r="CN59" s="115" t="e">
        <f t="shared" si="71"/>
        <v>#N/A</v>
      </c>
      <c r="CO59" s="115" t="e">
        <f t="shared" si="71"/>
        <v>#N/A</v>
      </c>
      <c r="CP59" s="115" t="e">
        <f t="shared" si="71"/>
        <v>#N/A</v>
      </c>
      <c r="CQ59" s="115" t="e">
        <f t="shared" si="71"/>
        <v>#N/A</v>
      </c>
      <c r="CR59" s="115" t="e">
        <f t="shared" si="72"/>
        <v>#N/A</v>
      </c>
      <c r="CS59" s="115" t="e">
        <f t="shared" si="72"/>
        <v>#N/A</v>
      </c>
      <c r="CT59" s="115" t="e">
        <f t="shared" si="72"/>
        <v>#N/A</v>
      </c>
      <c r="CU59" s="115" t="e">
        <f t="shared" si="72"/>
        <v>#N/A</v>
      </c>
      <c r="CV59" s="115" t="e">
        <f t="shared" si="72"/>
        <v>#N/A</v>
      </c>
      <c r="CW59" s="115" t="e">
        <f t="shared" si="72"/>
        <v>#N/A</v>
      </c>
      <c r="CX59" s="115" t="e">
        <f t="shared" si="72"/>
        <v>#N/A</v>
      </c>
      <c r="CY59" s="115" t="e">
        <f t="shared" si="72"/>
        <v>#N/A</v>
      </c>
      <c r="CZ59" s="115" t="e">
        <f t="shared" si="72"/>
        <v>#N/A</v>
      </c>
      <c r="DA59" s="115" t="e">
        <f t="shared" si="72"/>
        <v>#N/A</v>
      </c>
      <c r="DB59" s="115" t="e">
        <f t="shared" si="73"/>
        <v>#N/A</v>
      </c>
      <c r="DC59" s="115" t="e">
        <f t="shared" si="73"/>
        <v>#N/A</v>
      </c>
      <c r="DD59" s="115" t="e">
        <f t="shared" si="73"/>
        <v>#N/A</v>
      </c>
      <c r="DE59" s="115" t="e">
        <f t="shared" si="73"/>
        <v>#N/A</v>
      </c>
      <c r="DF59" s="115" t="e">
        <f t="shared" si="73"/>
        <v>#N/A</v>
      </c>
      <c r="DG59" s="115" t="e">
        <f t="shared" si="73"/>
        <v>#N/A</v>
      </c>
      <c r="DH59" s="115" t="e">
        <f t="shared" si="73"/>
        <v>#N/A</v>
      </c>
      <c r="DI59" s="115" t="e">
        <f t="shared" si="73"/>
        <v>#N/A</v>
      </c>
      <c r="DJ59" s="115" t="e">
        <f t="shared" si="73"/>
        <v>#N/A</v>
      </c>
      <c r="DK59" s="115" t="e">
        <f t="shared" si="73"/>
        <v>#N/A</v>
      </c>
      <c r="DL59" s="115" t="e">
        <f t="shared" si="73"/>
        <v>#N/A</v>
      </c>
      <c r="DM59" s="115" t="e">
        <f t="shared" si="73"/>
        <v>#N/A</v>
      </c>
    </row>
    <row r="60" spans="1:117" ht="15" customHeight="1" thickBot="1">
      <c r="A60" s="55"/>
      <c r="B60" s="194"/>
      <c r="C60" s="194" t="s">
        <v>2604</v>
      </c>
      <c r="D60" s="194" t="s">
        <v>2614</v>
      </c>
      <c r="E60" s="194"/>
      <c r="F60" s="194" t="s">
        <v>2610</v>
      </c>
      <c r="G60" s="291" t="e">
        <f t="shared" si="59"/>
        <v>#N/A</v>
      </c>
      <c r="H60" s="382" t="e">
        <f>VLOOKUP("HILFKÜHL",Energie,8,0)*VLOOKUP("BGFgekühlt",Objektkenndaten,5,0)*VLOOKUP("KOSTROM",Energie,8,0)</f>
        <v>#N/A</v>
      </c>
      <c r="I60" s="168"/>
      <c r="J60" s="194" t="s">
        <v>727</v>
      </c>
      <c r="K60" s="378" t="s">
        <v>732</v>
      </c>
      <c r="L60" s="379" t="s">
        <v>2586</v>
      </c>
      <c r="M60" s="325">
        <f t="shared" si="76"/>
        <v>2.0299999999999998</v>
      </c>
      <c r="N60" s="380">
        <f t="shared" si="77"/>
        <v>1.0032448377581122</v>
      </c>
      <c r="O60" s="381" t="e">
        <f t="shared" si="64"/>
        <v>#N/A</v>
      </c>
      <c r="P60" s="169"/>
      <c r="Q60" s="114" t="e">
        <f t="shared" si="64"/>
        <v>#N/A</v>
      </c>
      <c r="R60" s="115" t="e">
        <f t="shared" si="64"/>
        <v>#N/A</v>
      </c>
      <c r="S60" s="115" t="e">
        <f t="shared" si="64"/>
        <v>#N/A</v>
      </c>
      <c r="T60" s="115" t="e">
        <f t="shared" si="64"/>
        <v>#N/A</v>
      </c>
      <c r="U60" s="115" t="e">
        <f t="shared" si="64"/>
        <v>#N/A</v>
      </c>
      <c r="V60" s="115" t="e">
        <f t="shared" si="64"/>
        <v>#N/A</v>
      </c>
      <c r="W60" s="115" t="e">
        <f t="shared" si="64"/>
        <v>#N/A</v>
      </c>
      <c r="X60" s="115" t="e">
        <f t="shared" si="64"/>
        <v>#N/A</v>
      </c>
      <c r="Y60" s="115" t="e">
        <f t="shared" si="64"/>
        <v>#N/A</v>
      </c>
      <c r="Z60" s="115" t="e">
        <f t="shared" si="65"/>
        <v>#N/A</v>
      </c>
      <c r="AA60" s="115" t="e">
        <f t="shared" si="65"/>
        <v>#N/A</v>
      </c>
      <c r="AB60" s="115" t="e">
        <f t="shared" si="65"/>
        <v>#N/A</v>
      </c>
      <c r="AC60" s="115" t="e">
        <f t="shared" si="65"/>
        <v>#N/A</v>
      </c>
      <c r="AD60" s="115" t="e">
        <f t="shared" si="65"/>
        <v>#N/A</v>
      </c>
      <c r="AE60" s="115" t="e">
        <f t="shared" si="65"/>
        <v>#N/A</v>
      </c>
      <c r="AF60" s="115" t="e">
        <f t="shared" si="65"/>
        <v>#N/A</v>
      </c>
      <c r="AG60" s="115" t="e">
        <f t="shared" si="65"/>
        <v>#N/A</v>
      </c>
      <c r="AH60" s="115" t="e">
        <f t="shared" si="65"/>
        <v>#N/A</v>
      </c>
      <c r="AI60" s="115" t="e">
        <f t="shared" si="65"/>
        <v>#N/A</v>
      </c>
      <c r="AJ60" s="115" t="e">
        <f t="shared" si="66"/>
        <v>#N/A</v>
      </c>
      <c r="AK60" s="115" t="e">
        <f t="shared" si="66"/>
        <v>#N/A</v>
      </c>
      <c r="AL60" s="115" t="e">
        <f t="shared" si="66"/>
        <v>#N/A</v>
      </c>
      <c r="AM60" s="115" t="e">
        <f t="shared" si="66"/>
        <v>#N/A</v>
      </c>
      <c r="AN60" s="115" t="e">
        <f t="shared" si="66"/>
        <v>#N/A</v>
      </c>
      <c r="AO60" s="115" t="e">
        <f t="shared" si="66"/>
        <v>#N/A</v>
      </c>
      <c r="AP60" s="115" t="e">
        <f t="shared" si="66"/>
        <v>#N/A</v>
      </c>
      <c r="AQ60" s="115" t="e">
        <f t="shared" si="66"/>
        <v>#N/A</v>
      </c>
      <c r="AR60" s="115" t="e">
        <f t="shared" si="66"/>
        <v>#N/A</v>
      </c>
      <c r="AS60" s="115" t="e">
        <f t="shared" si="66"/>
        <v>#N/A</v>
      </c>
      <c r="AT60" s="115" t="e">
        <f t="shared" si="67"/>
        <v>#N/A</v>
      </c>
      <c r="AU60" s="115" t="e">
        <f t="shared" si="67"/>
        <v>#N/A</v>
      </c>
      <c r="AV60" s="115" t="e">
        <f t="shared" si="67"/>
        <v>#N/A</v>
      </c>
      <c r="AW60" s="115" t="e">
        <f t="shared" si="67"/>
        <v>#N/A</v>
      </c>
      <c r="AX60" s="115" t="e">
        <f t="shared" si="67"/>
        <v>#N/A</v>
      </c>
      <c r="AY60" s="115" t="e">
        <f t="shared" si="67"/>
        <v>#N/A</v>
      </c>
      <c r="AZ60" s="115" t="e">
        <f t="shared" si="67"/>
        <v>#N/A</v>
      </c>
      <c r="BA60" s="115" t="e">
        <f t="shared" si="67"/>
        <v>#N/A</v>
      </c>
      <c r="BB60" s="115" t="e">
        <f t="shared" si="67"/>
        <v>#N/A</v>
      </c>
      <c r="BC60" s="115" t="e">
        <f t="shared" si="67"/>
        <v>#N/A</v>
      </c>
      <c r="BD60" s="115" t="e">
        <f t="shared" si="68"/>
        <v>#N/A</v>
      </c>
      <c r="BE60" s="115" t="e">
        <f t="shared" si="68"/>
        <v>#N/A</v>
      </c>
      <c r="BF60" s="115" t="e">
        <f t="shared" si="68"/>
        <v>#N/A</v>
      </c>
      <c r="BG60" s="115" t="e">
        <f t="shared" si="68"/>
        <v>#N/A</v>
      </c>
      <c r="BH60" s="115" t="e">
        <f t="shared" si="68"/>
        <v>#N/A</v>
      </c>
      <c r="BI60" s="115" t="e">
        <f t="shared" si="68"/>
        <v>#N/A</v>
      </c>
      <c r="BJ60" s="115" t="e">
        <f t="shared" si="68"/>
        <v>#N/A</v>
      </c>
      <c r="BK60" s="115" t="e">
        <f t="shared" si="68"/>
        <v>#N/A</v>
      </c>
      <c r="BL60" s="115" t="e">
        <f t="shared" si="68"/>
        <v>#N/A</v>
      </c>
      <c r="BM60" s="115" t="e">
        <f t="shared" si="68"/>
        <v>#N/A</v>
      </c>
      <c r="BN60" s="115" t="e">
        <f t="shared" si="69"/>
        <v>#N/A</v>
      </c>
      <c r="BO60" s="115" t="e">
        <f t="shared" si="69"/>
        <v>#N/A</v>
      </c>
      <c r="BP60" s="115" t="e">
        <f t="shared" si="69"/>
        <v>#N/A</v>
      </c>
      <c r="BQ60" s="115" t="e">
        <f t="shared" si="69"/>
        <v>#N/A</v>
      </c>
      <c r="BR60" s="115" t="e">
        <f t="shared" si="69"/>
        <v>#N/A</v>
      </c>
      <c r="BS60" s="115" t="e">
        <f t="shared" si="69"/>
        <v>#N/A</v>
      </c>
      <c r="BT60" s="115" t="e">
        <f t="shared" si="69"/>
        <v>#N/A</v>
      </c>
      <c r="BU60" s="115" t="e">
        <f t="shared" si="69"/>
        <v>#N/A</v>
      </c>
      <c r="BV60" s="115" t="e">
        <f t="shared" si="69"/>
        <v>#N/A</v>
      </c>
      <c r="BW60" s="115" t="e">
        <f t="shared" si="69"/>
        <v>#N/A</v>
      </c>
      <c r="BX60" s="115" t="e">
        <f t="shared" si="70"/>
        <v>#N/A</v>
      </c>
      <c r="BY60" s="115" t="e">
        <f t="shared" si="70"/>
        <v>#N/A</v>
      </c>
      <c r="BZ60" s="115" t="e">
        <f t="shared" si="70"/>
        <v>#N/A</v>
      </c>
      <c r="CA60" s="115" t="e">
        <f t="shared" si="70"/>
        <v>#N/A</v>
      </c>
      <c r="CB60" s="115" t="e">
        <f t="shared" si="70"/>
        <v>#N/A</v>
      </c>
      <c r="CC60" s="115" t="e">
        <f t="shared" si="70"/>
        <v>#N/A</v>
      </c>
      <c r="CD60" s="115" t="e">
        <f t="shared" si="70"/>
        <v>#N/A</v>
      </c>
      <c r="CE60" s="115" t="e">
        <f t="shared" si="70"/>
        <v>#N/A</v>
      </c>
      <c r="CF60" s="115" t="e">
        <f t="shared" si="70"/>
        <v>#N/A</v>
      </c>
      <c r="CG60" s="115" t="e">
        <f t="shared" si="70"/>
        <v>#N/A</v>
      </c>
      <c r="CH60" s="115" t="e">
        <f t="shared" si="71"/>
        <v>#N/A</v>
      </c>
      <c r="CI60" s="115" t="e">
        <f t="shared" si="71"/>
        <v>#N/A</v>
      </c>
      <c r="CJ60" s="115" t="e">
        <f t="shared" si="71"/>
        <v>#N/A</v>
      </c>
      <c r="CK60" s="115" t="e">
        <f t="shared" si="71"/>
        <v>#N/A</v>
      </c>
      <c r="CL60" s="115" t="e">
        <f t="shared" si="71"/>
        <v>#N/A</v>
      </c>
      <c r="CM60" s="115" t="e">
        <f t="shared" si="71"/>
        <v>#N/A</v>
      </c>
      <c r="CN60" s="115" t="e">
        <f t="shared" si="71"/>
        <v>#N/A</v>
      </c>
      <c r="CO60" s="115" t="e">
        <f t="shared" si="71"/>
        <v>#N/A</v>
      </c>
      <c r="CP60" s="115" t="e">
        <f t="shared" si="71"/>
        <v>#N/A</v>
      </c>
      <c r="CQ60" s="115" t="e">
        <f t="shared" si="71"/>
        <v>#N/A</v>
      </c>
      <c r="CR60" s="115" t="e">
        <f t="shared" si="72"/>
        <v>#N/A</v>
      </c>
      <c r="CS60" s="115" t="e">
        <f t="shared" si="72"/>
        <v>#N/A</v>
      </c>
      <c r="CT60" s="115" t="e">
        <f t="shared" si="72"/>
        <v>#N/A</v>
      </c>
      <c r="CU60" s="115" t="e">
        <f t="shared" si="72"/>
        <v>#N/A</v>
      </c>
      <c r="CV60" s="115" t="e">
        <f t="shared" si="72"/>
        <v>#N/A</v>
      </c>
      <c r="CW60" s="115" t="e">
        <f t="shared" si="72"/>
        <v>#N/A</v>
      </c>
      <c r="CX60" s="115" t="e">
        <f t="shared" si="72"/>
        <v>#N/A</v>
      </c>
      <c r="CY60" s="115" t="e">
        <f t="shared" si="72"/>
        <v>#N/A</v>
      </c>
      <c r="CZ60" s="115" t="e">
        <f t="shared" si="72"/>
        <v>#N/A</v>
      </c>
      <c r="DA60" s="115" t="e">
        <f t="shared" si="72"/>
        <v>#N/A</v>
      </c>
      <c r="DB60" s="115" t="e">
        <f t="shared" si="73"/>
        <v>#N/A</v>
      </c>
      <c r="DC60" s="115" t="e">
        <f t="shared" si="73"/>
        <v>#N/A</v>
      </c>
      <c r="DD60" s="115" t="e">
        <f t="shared" si="73"/>
        <v>#N/A</v>
      </c>
      <c r="DE60" s="115" t="e">
        <f t="shared" si="73"/>
        <v>#N/A</v>
      </c>
      <c r="DF60" s="115" t="e">
        <f t="shared" si="73"/>
        <v>#N/A</v>
      </c>
      <c r="DG60" s="115" t="e">
        <f t="shared" si="73"/>
        <v>#N/A</v>
      </c>
      <c r="DH60" s="115" t="e">
        <f t="shared" si="73"/>
        <v>#N/A</v>
      </c>
      <c r="DI60" s="115" t="e">
        <f t="shared" si="73"/>
        <v>#N/A</v>
      </c>
      <c r="DJ60" s="115" t="e">
        <f t="shared" si="73"/>
        <v>#N/A</v>
      </c>
      <c r="DK60" s="115" t="e">
        <f t="shared" si="73"/>
        <v>#N/A</v>
      </c>
      <c r="DL60" s="115" t="e">
        <f t="shared" si="73"/>
        <v>#N/A</v>
      </c>
      <c r="DM60" s="115" t="e">
        <f t="shared" si="73"/>
        <v>#N/A</v>
      </c>
    </row>
    <row r="61" spans="1:117" ht="15" customHeight="1" thickBot="1">
      <c r="A61" s="293"/>
      <c r="B61" s="172" t="s">
        <v>728</v>
      </c>
      <c r="C61" s="172" t="s">
        <v>1201</v>
      </c>
      <c r="D61" s="172" t="s">
        <v>1194</v>
      </c>
      <c r="E61" s="172"/>
      <c r="F61" s="172" t="s">
        <v>117</v>
      </c>
      <c r="G61" s="171" t="e">
        <f>SUM(G62:G63)</f>
        <v>#N/A</v>
      </c>
      <c r="H61" s="171"/>
      <c r="I61" s="171"/>
      <c r="J61" s="172" t="s">
        <v>727</v>
      </c>
      <c r="K61" s="373"/>
      <c r="L61" s="172"/>
      <c r="M61" s="293"/>
      <c r="N61" s="293"/>
      <c r="O61" s="376" t="e">
        <f>SUM(O62:O63)</f>
        <v>#N/A</v>
      </c>
      <c r="P61" s="377" t="s">
        <v>103</v>
      </c>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c r="AX61" s="116"/>
      <c r="AY61" s="116"/>
      <c r="AZ61" s="116"/>
      <c r="BA61" s="116"/>
      <c r="BB61" s="116"/>
      <c r="BC61" s="116"/>
      <c r="BD61" s="116"/>
      <c r="BE61" s="116"/>
      <c r="BF61" s="116"/>
      <c r="BG61" s="116"/>
      <c r="BH61" s="116"/>
      <c r="BI61" s="116"/>
      <c r="BJ61" s="116"/>
      <c r="BK61" s="116"/>
      <c r="BL61" s="116"/>
      <c r="BM61" s="116"/>
      <c r="BN61" s="116"/>
      <c r="BO61" s="116"/>
      <c r="BP61" s="116"/>
      <c r="BQ61" s="116"/>
      <c r="BR61" s="116"/>
      <c r="BS61" s="116"/>
      <c r="BT61" s="116"/>
      <c r="BU61" s="116"/>
      <c r="BV61" s="116"/>
      <c r="BW61" s="116"/>
      <c r="BX61" s="116"/>
      <c r="BY61" s="116"/>
      <c r="BZ61" s="116"/>
      <c r="CA61" s="116"/>
      <c r="CB61" s="116"/>
      <c r="CC61" s="116"/>
      <c r="CD61" s="116"/>
      <c r="CE61" s="116"/>
      <c r="CF61" s="116"/>
      <c r="CG61" s="116"/>
      <c r="CH61" s="116"/>
      <c r="CI61" s="116"/>
      <c r="CJ61" s="116"/>
      <c r="CK61" s="116"/>
      <c r="CL61" s="116"/>
      <c r="CM61" s="116"/>
      <c r="CN61" s="116"/>
      <c r="CO61" s="116"/>
      <c r="CP61" s="116"/>
      <c r="CQ61" s="116"/>
      <c r="CR61" s="116"/>
      <c r="CS61" s="116"/>
      <c r="CT61" s="116"/>
      <c r="CU61" s="116"/>
      <c r="CV61" s="116"/>
      <c r="CW61" s="116"/>
      <c r="CX61" s="116"/>
      <c r="CY61" s="116"/>
      <c r="CZ61" s="116"/>
      <c r="DA61" s="116"/>
      <c r="DB61" s="116"/>
      <c r="DC61" s="116"/>
      <c r="DD61" s="116"/>
      <c r="DE61" s="116"/>
      <c r="DF61" s="116"/>
      <c r="DG61" s="116"/>
      <c r="DH61" s="116"/>
      <c r="DI61" s="116"/>
      <c r="DJ61" s="116"/>
      <c r="DK61" s="116"/>
      <c r="DL61" s="116"/>
      <c r="DM61" s="116"/>
    </row>
    <row r="62" spans="1:117" ht="15" customHeight="1" thickBot="1">
      <c r="A62" s="55"/>
      <c r="B62" s="194"/>
      <c r="C62" s="194" t="s">
        <v>2605</v>
      </c>
      <c r="D62" s="194" t="s">
        <v>2619</v>
      </c>
      <c r="E62" s="194"/>
      <c r="F62" s="194" t="s">
        <v>2611</v>
      </c>
      <c r="G62" s="291" t="e">
        <f t="shared" si="59"/>
        <v>#N/A</v>
      </c>
      <c r="H62" s="382" t="e">
        <f>VLOOKUP("WWkWh",Energie,8,0)*VLOOKUP("BGFbeheizt",Objektkenndaten,5,0)*VLOOKUP("KOWW",Energie,8,0)</f>
        <v>#N/A</v>
      </c>
      <c r="I62" s="168"/>
      <c r="J62" s="194" t="s">
        <v>727</v>
      </c>
      <c r="K62" s="378" t="s">
        <v>732</v>
      </c>
      <c r="L62" s="477" t="s">
        <v>360</v>
      </c>
      <c r="M62" s="325">
        <f t="shared" ref="M62:M63" si="78">VLOOKUP(L62,Finanzielle_Parameter,5,0)</f>
        <v>3.69</v>
      </c>
      <c r="N62" s="380">
        <f t="shared" ref="N62:N63" si="79">(1+VLOOKUP(L62,Finanzielle_Parameter,5,0)/100)/(1+VLOOKUP("R",Finanzielle_Parameter,5,0)/100)</f>
        <v>1.019567354965585</v>
      </c>
      <c r="O62" s="381" t="e">
        <f t="shared" si="64"/>
        <v>#N/A</v>
      </c>
      <c r="P62" s="169"/>
      <c r="Q62" s="114" t="e">
        <f t="shared" si="64"/>
        <v>#N/A</v>
      </c>
      <c r="R62" s="115" t="e">
        <f t="shared" si="64"/>
        <v>#N/A</v>
      </c>
      <c r="S62" s="115" t="e">
        <f t="shared" si="64"/>
        <v>#N/A</v>
      </c>
      <c r="T62" s="115" t="e">
        <f t="shared" si="64"/>
        <v>#N/A</v>
      </c>
      <c r="U62" s="115" t="e">
        <f t="shared" si="64"/>
        <v>#N/A</v>
      </c>
      <c r="V62" s="115" t="e">
        <f t="shared" si="64"/>
        <v>#N/A</v>
      </c>
      <c r="W62" s="115" t="e">
        <f t="shared" si="64"/>
        <v>#N/A</v>
      </c>
      <c r="X62" s="115" t="e">
        <f t="shared" si="64"/>
        <v>#N/A</v>
      </c>
      <c r="Y62" s="115" t="e">
        <f t="shared" si="64"/>
        <v>#N/A</v>
      </c>
      <c r="Z62" s="115" t="e">
        <f t="shared" si="65"/>
        <v>#N/A</v>
      </c>
      <c r="AA62" s="115" t="e">
        <f t="shared" si="65"/>
        <v>#N/A</v>
      </c>
      <c r="AB62" s="115" t="e">
        <f t="shared" si="65"/>
        <v>#N/A</v>
      </c>
      <c r="AC62" s="115" t="e">
        <f t="shared" si="65"/>
        <v>#N/A</v>
      </c>
      <c r="AD62" s="115" t="e">
        <f t="shared" si="65"/>
        <v>#N/A</v>
      </c>
      <c r="AE62" s="115" t="e">
        <f t="shared" si="65"/>
        <v>#N/A</v>
      </c>
      <c r="AF62" s="115" t="e">
        <f t="shared" si="65"/>
        <v>#N/A</v>
      </c>
      <c r="AG62" s="115" t="e">
        <f t="shared" si="65"/>
        <v>#N/A</v>
      </c>
      <c r="AH62" s="115" t="e">
        <f t="shared" si="65"/>
        <v>#N/A</v>
      </c>
      <c r="AI62" s="115" t="e">
        <f t="shared" si="65"/>
        <v>#N/A</v>
      </c>
      <c r="AJ62" s="115" t="e">
        <f t="shared" si="66"/>
        <v>#N/A</v>
      </c>
      <c r="AK62" s="115" t="e">
        <f t="shared" si="66"/>
        <v>#N/A</v>
      </c>
      <c r="AL62" s="115" t="e">
        <f t="shared" si="66"/>
        <v>#N/A</v>
      </c>
      <c r="AM62" s="115" t="e">
        <f t="shared" si="66"/>
        <v>#N/A</v>
      </c>
      <c r="AN62" s="115" t="e">
        <f t="shared" si="66"/>
        <v>#N/A</v>
      </c>
      <c r="AO62" s="115" t="e">
        <f t="shared" si="66"/>
        <v>#N/A</v>
      </c>
      <c r="AP62" s="115" t="e">
        <f t="shared" si="66"/>
        <v>#N/A</v>
      </c>
      <c r="AQ62" s="115" t="e">
        <f t="shared" si="66"/>
        <v>#N/A</v>
      </c>
      <c r="AR62" s="115" t="e">
        <f t="shared" si="66"/>
        <v>#N/A</v>
      </c>
      <c r="AS62" s="115" t="e">
        <f t="shared" si="66"/>
        <v>#N/A</v>
      </c>
      <c r="AT62" s="115" t="e">
        <f t="shared" si="67"/>
        <v>#N/A</v>
      </c>
      <c r="AU62" s="115" t="e">
        <f t="shared" si="67"/>
        <v>#N/A</v>
      </c>
      <c r="AV62" s="115" t="e">
        <f t="shared" si="67"/>
        <v>#N/A</v>
      </c>
      <c r="AW62" s="115" t="e">
        <f t="shared" si="67"/>
        <v>#N/A</v>
      </c>
      <c r="AX62" s="115" t="e">
        <f t="shared" si="67"/>
        <v>#N/A</v>
      </c>
      <c r="AY62" s="115" t="e">
        <f t="shared" si="67"/>
        <v>#N/A</v>
      </c>
      <c r="AZ62" s="115" t="e">
        <f t="shared" si="67"/>
        <v>#N/A</v>
      </c>
      <c r="BA62" s="115" t="e">
        <f t="shared" si="67"/>
        <v>#N/A</v>
      </c>
      <c r="BB62" s="115" t="e">
        <f t="shared" si="67"/>
        <v>#N/A</v>
      </c>
      <c r="BC62" s="115" t="e">
        <f t="shared" si="67"/>
        <v>#N/A</v>
      </c>
      <c r="BD62" s="115" t="e">
        <f t="shared" si="68"/>
        <v>#N/A</v>
      </c>
      <c r="BE62" s="115" t="e">
        <f t="shared" si="68"/>
        <v>#N/A</v>
      </c>
      <c r="BF62" s="115" t="e">
        <f t="shared" si="68"/>
        <v>#N/A</v>
      </c>
      <c r="BG62" s="115" t="e">
        <f t="shared" si="68"/>
        <v>#N/A</v>
      </c>
      <c r="BH62" s="115" t="e">
        <f t="shared" si="68"/>
        <v>#N/A</v>
      </c>
      <c r="BI62" s="115" t="e">
        <f t="shared" si="68"/>
        <v>#N/A</v>
      </c>
      <c r="BJ62" s="115" t="e">
        <f t="shared" si="68"/>
        <v>#N/A</v>
      </c>
      <c r="BK62" s="115" t="e">
        <f t="shared" si="68"/>
        <v>#N/A</v>
      </c>
      <c r="BL62" s="115" t="e">
        <f t="shared" si="68"/>
        <v>#N/A</v>
      </c>
      <c r="BM62" s="115" t="e">
        <f t="shared" si="68"/>
        <v>#N/A</v>
      </c>
      <c r="BN62" s="115" t="e">
        <f t="shared" si="69"/>
        <v>#N/A</v>
      </c>
      <c r="BO62" s="115" t="e">
        <f t="shared" si="69"/>
        <v>#N/A</v>
      </c>
      <c r="BP62" s="115" t="e">
        <f t="shared" si="69"/>
        <v>#N/A</v>
      </c>
      <c r="BQ62" s="115" t="e">
        <f t="shared" si="69"/>
        <v>#N/A</v>
      </c>
      <c r="BR62" s="115" t="e">
        <f t="shared" si="69"/>
        <v>#N/A</v>
      </c>
      <c r="BS62" s="115" t="e">
        <f t="shared" si="69"/>
        <v>#N/A</v>
      </c>
      <c r="BT62" s="115" t="e">
        <f t="shared" si="69"/>
        <v>#N/A</v>
      </c>
      <c r="BU62" s="115" t="e">
        <f t="shared" si="69"/>
        <v>#N/A</v>
      </c>
      <c r="BV62" s="115" t="e">
        <f t="shared" si="69"/>
        <v>#N/A</v>
      </c>
      <c r="BW62" s="115" t="e">
        <f t="shared" si="69"/>
        <v>#N/A</v>
      </c>
      <c r="BX62" s="115" t="e">
        <f t="shared" si="70"/>
        <v>#N/A</v>
      </c>
      <c r="BY62" s="115" t="e">
        <f t="shared" si="70"/>
        <v>#N/A</v>
      </c>
      <c r="BZ62" s="115" t="e">
        <f t="shared" si="70"/>
        <v>#N/A</v>
      </c>
      <c r="CA62" s="115" t="e">
        <f t="shared" si="70"/>
        <v>#N/A</v>
      </c>
      <c r="CB62" s="115" t="e">
        <f t="shared" si="70"/>
        <v>#N/A</v>
      </c>
      <c r="CC62" s="115" t="e">
        <f t="shared" si="70"/>
        <v>#N/A</v>
      </c>
      <c r="CD62" s="115" t="e">
        <f t="shared" si="70"/>
        <v>#N/A</v>
      </c>
      <c r="CE62" s="115" t="e">
        <f t="shared" si="70"/>
        <v>#N/A</v>
      </c>
      <c r="CF62" s="115" t="e">
        <f t="shared" si="70"/>
        <v>#N/A</v>
      </c>
      <c r="CG62" s="115" t="e">
        <f t="shared" si="70"/>
        <v>#N/A</v>
      </c>
      <c r="CH62" s="115" t="e">
        <f t="shared" si="71"/>
        <v>#N/A</v>
      </c>
      <c r="CI62" s="115" t="e">
        <f t="shared" si="71"/>
        <v>#N/A</v>
      </c>
      <c r="CJ62" s="115" t="e">
        <f t="shared" si="71"/>
        <v>#N/A</v>
      </c>
      <c r="CK62" s="115" t="e">
        <f t="shared" si="71"/>
        <v>#N/A</v>
      </c>
      <c r="CL62" s="115" t="e">
        <f t="shared" si="71"/>
        <v>#N/A</v>
      </c>
      <c r="CM62" s="115" t="e">
        <f t="shared" si="71"/>
        <v>#N/A</v>
      </c>
      <c r="CN62" s="115" t="e">
        <f t="shared" si="71"/>
        <v>#N/A</v>
      </c>
      <c r="CO62" s="115" t="e">
        <f t="shared" si="71"/>
        <v>#N/A</v>
      </c>
      <c r="CP62" s="115" t="e">
        <f t="shared" si="71"/>
        <v>#N/A</v>
      </c>
      <c r="CQ62" s="115" t="e">
        <f t="shared" si="71"/>
        <v>#N/A</v>
      </c>
      <c r="CR62" s="115" t="e">
        <f t="shared" si="72"/>
        <v>#N/A</v>
      </c>
      <c r="CS62" s="115" t="e">
        <f t="shared" si="72"/>
        <v>#N/A</v>
      </c>
      <c r="CT62" s="115" t="e">
        <f t="shared" si="72"/>
        <v>#N/A</v>
      </c>
      <c r="CU62" s="115" t="e">
        <f t="shared" si="72"/>
        <v>#N/A</v>
      </c>
      <c r="CV62" s="115" t="e">
        <f t="shared" si="72"/>
        <v>#N/A</v>
      </c>
      <c r="CW62" s="115" t="e">
        <f t="shared" si="72"/>
        <v>#N/A</v>
      </c>
      <c r="CX62" s="115" t="e">
        <f t="shared" si="72"/>
        <v>#N/A</v>
      </c>
      <c r="CY62" s="115" t="e">
        <f t="shared" si="72"/>
        <v>#N/A</v>
      </c>
      <c r="CZ62" s="115" t="e">
        <f t="shared" si="72"/>
        <v>#N/A</v>
      </c>
      <c r="DA62" s="115" t="e">
        <f t="shared" si="72"/>
        <v>#N/A</v>
      </c>
      <c r="DB62" s="115" t="e">
        <f t="shared" si="73"/>
        <v>#N/A</v>
      </c>
      <c r="DC62" s="115" t="e">
        <f t="shared" si="73"/>
        <v>#N/A</v>
      </c>
      <c r="DD62" s="115" t="e">
        <f t="shared" si="73"/>
        <v>#N/A</v>
      </c>
      <c r="DE62" s="115" t="e">
        <f t="shared" si="73"/>
        <v>#N/A</v>
      </c>
      <c r="DF62" s="115" t="e">
        <f t="shared" si="73"/>
        <v>#N/A</v>
      </c>
      <c r="DG62" s="115" t="e">
        <f t="shared" si="73"/>
        <v>#N/A</v>
      </c>
      <c r="DH62" s="115" t="e">
        <f t="shared" si="73"/>
        <v>#N/A</v>
      </c>
      <c r="DI62" s="115" t="e">
        <f t="shared" si="73"/>
        <v>#N/A</v>
      </c>
      <c r="DJ62" s="115" t="e">
        <f t="shared" si="73"/>
        <v>#N/A</v>
      </c>
      <c r="DK62" s="115" t="e">
        <f t="shared" si="73"/>
        <v>#N/A</v>
      </c>
      <c r="DL62" s="115" t="e">
        <f t="shared" si="73"/>
        <v>#N/A</v>
      </c>
      <c r="DM62" s="115" t="e">
        <f t="shared" si="73"/>
        <v>#N/A</v>
      </c>
    </row>
    <row r="63" spans="1:117" ht="15" customHeight="1" thickBot="1">
      <c r="A63" s="55"/>
      <c r="B63" s="194"/>
      <c r="C63" s="194" t="s">
        <v>2606</v>
      </c>
      <c r="D63" s="194" t="s">
        <v>2615</v>
      </c>
      <c r="E63" s="194"/>
      <c r="F63" s="194" t="s">
        <v>2612</v>
      </c>
      <c r="G63" s="291" t="e">
        <f t="shared" si="59"/>
        <v>#N/A</v>
      </c>
      <c r="H63" s="382" t="e">
        <f>VLOOKUP("HILFWW",Energie,8,0)*VLOOKUP("BGFbeheizt",Objektkenndaten,5,0)*VLOOKUP("KOSTROM",Energie,8,0)</f>
        <v>#N/A</v>
      </c>
      <c r="I63" s="168"/>
      <c r="J63" s="194" t="s">
        <v>727</v>
      </c>
      <c r="K63" s="378" t="s">
        <v>732</v>
      </c>
      <c r="L63" s="379" t="s">
        <v>2586</v>
      </c>
      <c r="M63" s="325">
        <f t="shared" si="78"/>
        <v>2.0299999999999998</v>
      </c>
      <c r="N63" s="380">
        <f t="shared" si="79"/>
        <v>1.0032448377581122</v>
      </c>
      <c r="O63" s="381" t="e">
        <f t="shared" si="64"/>
        <v>#N/A</v>
      </c>
      <c r="P63" s="169"/>
      <c r="Q63" s="114" t="e">
        <f t="shared" si="64"/>
        <v>#N/A</v>
      </c>
      <c r="R63" s="115" t="e">
        <f t="shared" si="64"/>
        <v>#N/A</v>
      </c>
      <c r="S63" s="115" t="e">
        <f t="shared" si="64"/>
        <v>#N/A</v>
      </c>
      <c r="T63" s="115" t="e">
        <f t="shared" si="64"/>
        <v>#N/A</v>
      </c>
      <c r="U63" s="115" t="e">
        <f t="shared" si="64"/>
        <v>#N/A</v>
      </c>
      <c r="V63" s="115" t="e">
        <f t="shared" si="64"/>
        <v>#N/A</v>
      </c>
      <c r="W63" s="115" t="e">
        <f t="shared" si="64"/>
        <v>#N/A</v>
      </c>
      <c r="X63" s="115" t="e">
        <f t="shared" si="64"/>
        <v>#N/A</v>
      </c>
      <c r="Y63" s="115" t="e">
        <f t="shared" si="64"/>
        <v>#N/A</v>
      </c>
      <c r="Z63" s="115" t="e">
        <f t="shared" si="65"/>
        <v>#N/A</v>
      </c>
      <c r="AA63" s="115" t="e">
        <f t="shared" si="65"/>
        <v>#N/A</v>
      </c>
      <c r="AB63" s="115" t="e">
        <f t="shared" si="65"/>
        <v>#N/A</v>
      </c>
      <c r="AC63" s="115" t="e">
        <f t="shared" si="65"/>
        <v>#N/A</v>
      </c>
      <c r="AD63" s="115" t="e">
        <f t="shared" si="65"/>
        <v>#N/A</v>
      </c>
      <c r="AE63" s="115" t="e">
        <f t="shared" si="65"/>
        <v>#N/A</v>
      </c>
      <c r="AF63" s="115" t="e">
        <f t="shared" si="65"/>
        <v>#N/A</v>
      </c>
      <c r="AG63" s="115" t="e">
        <f t="shared" si="65"/>
        <v>#N/A</v>
      </c>
      <c r="AH63" s="115" t="e">
        <f t="shared" si="65"/>
        <v>#N/A</v>
      </c>
      <c r="AI63" s="115" t="e">
        <f t="shared" si="65"/>
        <v>#N/A</v>
      </c>
      <c r="AJ63" s="115" t="e">
        <f t="shared" si="66"/>
        <v>#N/A</v>
      </c>
      <c r="AK63" s="115" t="e">
        <f t="shared" si="66"/>
        <v>#N/A</v>
      </c>
      <c r="AL63" s="115" t="e">
        <f t="shared" si="66"/>
        <v>#N/A</v>
      </c>
      <c r="AM63" s="115" t="e">
        <f t="shared" si="66"/>
        <v>#N/A</v>
      </c>
      <c r="AN63" s="115" t="e">
        <f t="shared" si="66"/>
        <v>#N/A</v>
      </c>
      <c r="AO63" s="115" t="e">
        <f t="shared" si="66"/>
        <v>#N/A</v>
      </c>
      <c r="AP63" s="115" t="e">
        <f t="shared" si="66"/>
        <v>#N/A</v>
      </c>
      <c r="AQ63" s="115" t="e">
        <f t="shared" si="66"/>
        <v>#N/A</v>
      </c>
      <c r="AR63" s="115" t="e">
        <f t="shared" si="66"/>
        <v>#N/A</v>
      </c>
      <c r="AS63" s="115" t="e">
        <f t="shared" si="66"/>
        <v>#N/A</v>
      </c>
      <c r="AT63" s="115" t="e">
        <f t="shared" si="67"/>
        <v>#N/A</v>
      </c>
      <c r="AU63" s="115" t="e">
        <f t="shared" si="67"/>
        <v>#N/A</v>
      </c>
      <c r="AV63" s="115" t="e">
        <f t="shared" si="67"/>
        <v>#N/A</v>
      </c>
      <c r="AW63" s="115" t="e">
        <f t="shared" si="67"/>
        <v>#N/A</v>
      </c>
      <c r="AX63" s="115" t="e">
        <f t="shared" si="67"/>
        <v>#N/A</v>
      </c>
      <c r="AY63" s="115" t="e">
        <f t="shared" si="67"/>
        <v>#N/A</v>
      </c>
      <c r="AZ63" s="115" t="e">
        <f t="shared" si="67"/>
        <v>#N/A</v>
      </c>
      <c r="BA63" s="115" t="e">
        <f t="shared" si="67"/>
        <v>#N/A</v>
      </c>
      <c r="BB63" s="115" t="e">
        <f t="shared" si="67"/>
        <v>#N/A</v>
      </c>
      <c r="BC63" s="115" t="e">
        <f t="shared" si="67"/>
        <v>#N/A</v>
      </c>
      <c r="BD63" s="115" t="e">
        <f t="shared" si="68"/>
        <v>#N/A</v>
      </c>
      <c r="BE63" s="115" t="e">
        <f t="shared" si="68"/>
        <v>#N/A</v>
      </c>
      <c r="BF63" s="115" t="e">
        <f t="shared" si="68"/>
        <v>#N/A</v>
      </c>
      <c r="BG63" s="115" t="e">
        <f t="shared" si="68"/>
        <v>#N/A</v>
      </c>
      <c r="BH63" s="115" t="e">
        <f t="shared" si="68"/>
        <v>#N/A</v>
      </c>
      <c r="BI63" s="115" t="e">
        <f t="shared" si="68"/>
        <v>#N/A</v>
      </c>
      <c r="BJ63" s="115" t="e">
        <f t="shared" si="68"/>
        <v>#N/A</v>
      </c>
      <c r="BK63" s="115" t="e">
        <f t="shared" si="68"/>
        <v>#N/A</v>
      </c>
      <c r="BL63" s="115" t="e">
        <f t="shared" si="68"/>
        <v>#N/A</v>
      </c>
      <c r="BM63" s="115" t="e">
        <f t="shared" si="68"/>
        <v>#N/A</v>
      </c>
      <c r="BN63" s="115" t="e">
        <f t="shared" si="69"/>
        <v>#N/A</v>
      </c>
      <c r="BO63" s="115" t="e">
        <f t="shared" si="69"/>
        <v>#N/A</v>
      </c>
      <c r="BP63" s="115" t="e">
        <f t="shared" si="69"/>
        <v>#N/A</v>
      </c>
      <c r="BQ63" s="115" t="e">
        <f t="shared" si="69"/>
        <v>#N/A</v>
      </c>
      <c r="BR63" s="115" t="e">
        <f t="shared" si="69"/>
        <v>#N/A</v>
      </c>
      <c r="BS63" s="115" t="e">
        <f t="shared" si="69"/>
        <v>#N/A</v>
      </c>
      <c r="BT63" s="115" t="e">
        <f t="shared" si="69"/>
        <v>#N/A</v>
      </c>
      <c r="BU63" s="115" t="e">
        <f t="shared" si="69"/>
        <v>#N/A</v>
      </c>
      <c r="BV63" s="115" t="e">
        <f t="shared" si="69"/>
        <v>#N/A</v>
      </c>
      <c r="BW63" s="115" t="e">
        <f t="shared" si="69"/>
        <v>#N/A</v>
      </c>
      <c r="BX63" s="115" t="e">
        <f t="shared" si="70"/>
        <v>#N/A</v>
      </c>
      <c r="BY63" s="115" t="e">
        <f t="shared" si="70"/>
        <v>#N/A</v>
      </c>
      <c r="BZ63" s="115" t="e">
        <f t="shared" si="70"/>
        <v>#N/A</v>
      </c>
      <c r="CA63" s="115" t="e">
        <f t="shared" si="70"/>
        <v>#N/A</v>
      </c>
      <c r="CB63" s="115" t="e">
        <f t="shared" si="70"/>
        <v>#N/A</v>
      </c>
      <c r="CC63" s="115" t="e">
        <f t="shared" si="70"/>
        <v>#N/A</v>
      </c>
      <c r="CD63" s="115" t="e">
        <f t="shared" si="70"/>
        <v>#N/A</v>
      </c>
      <c r="CE63" s="115" t="e">
        <f t="shared" si="70"/>
        <v>#N/A</v>
      </c>
      <c r="CF63" s="115" t="e">
        <f t="shared" si="70"/>
        <v>#N/A</v>
      </c>
      <c r="CG63" s="115" t="e">
        <f t="shared" si="70"/>
        <v>#N/A</v>
      </c>
      <c r="CH63" s="115" t="e">
        <f t="shared" si="71"/>
        <v>#N/A</v>
      </c>
      <c r="CI63" s="115" t="e">
        <f t="shared" si="71"/>
        <v>#N/A</v>
      </c>
      <c r="CJ63" s="115" t="e">
        <f t="shared" si="71"/>
        <v>#N/A</v>
      </c>
      <c r="CK63" s="115" t="e">
        <f t="shared" si="71"/>
        <v>#N/A</v>
      </c>
      <c r="CL63" s="115" t="e">
        <f t="shared" si="71"/>
        <v>#N/A</v>
      </c>
      <c r="CM63" s="115" t="e">
        <f t="shared" si="71"/>
        <v>#N/A</v>
      </c>
      <c r="CN63" s="115" t="e">
        <f t="shared" si="71"/>
        <v>#N/A</v>
      </c>
      <c r="CO63" s="115" t="e">
        <f t="shared" si="71"/>
        <v>#N/A</v>
      </c>
      <c r="CP63" s="115" t="e">
        <f t="shared" si="71"/>
        <v>#N/A</v>
      </c>
      <c r="CQ63" s="115" t="e">
        <f t="shared" si="71"/>
        <v>#N/A</v>
      </c>
      <c r="CR63" s="115" t="e">
        <f t="shared" si="72"/>
        <v>#N/A</v>
      </c>
      <c r="CS63" s="115" t="e">
        <f t="shared" si="72"/>
        <v>#N/A</v>
      </c>
      <c r="CT63" s="115" t="e">
        <f t="shared" si="72"/>
        <v>#N/A</v>
      </c>
      <c r="CU63" s="115" t="e">
        <f t="shared" si="72"/>
        <v>#N/A</v>
      </c>
      <c r="CV63" s="115" t="e">
        <f t="shared" si="72"/>
        <v>#N/A</v>
      </c>
      <c r="CW63" s="115" t="e">
        <f t="shared" si="72"/>
        <v>#N/A</v>
      </c>
      <c r="CX63" s="115" t="e">
        <f t="shared" si="72"/>
        <v>#N/A</v>
      </c>
      <c r="CY63" s="115" t="e">
        <f t="shared" si="72"/>
        <v>#N/A</v>
      </c>
      <c r="CZ63" s="115" t="e">
        <f t="shared" si="72"/>
        <v>#N/A</v>
      </c>
      <c r="DA63" s="115" t="e">
        <f t="shared" si="72"/>
        <v>#N/A</v>
      </c>
      <c r="DB63" s="115" t="e">
        <f t="shared" si="73"/>
        <v>#N/A</v>
      </c>
      <c r="DC63" s="115" t="e">
        <f t="shared" si="73"/>
        <v>#N/A</v>
      </c>
      <c r="DD63" s="115" t="e">
        <f t="shared" si="73"/>
        <v>#N/A</v>
      </c>
      <c r="DE63" s="115" t="e">
        <f t="shared" si="73"/>
        <v>#N/A</v>
      </c>
      <c r="DF63" s="115" t="e">
        <f t="shared" si="73"/>
        <v>#N/A</v>
      </c>
      <c r="DG63" s="115" t="e">
        <f t="shared" si="73"/>
        <v>#N/A</v>
      </c>
      <c r="DH63" s="115" t="e">
        <f t="shared" si="73"/>
        <v>#N/A</v>
      </c>
      <c r="DI63" s="115" t="e">
        <f t="shared" si="73"/>
        <v>#N/A</v>
      </c>
      <c r="DJ63" s="115" t="e">
        <f t="shared" si="73"/>
        <v>#N/A</v>
      </c>
      <c r="DK63" s="115" t="e">
        <f t="shared" si="73"/>
        <v>#N/A</v>
      </c>
      <c r="DL63" s="115" t="e">
        <f t="shared" si="73"/>
        <v>#N/A</v>
      </c>
      <c r="DM63" s="115" t="e">
        <f t="shared" si="73"/>
        <v>#N/A</v>
      </c>
    </row>
    <row r="64" spans="1:117" ht="15" customHeight="1" thickBot="1">
      <c r="A64" s="55"/>
      <c r="B64" s="194" t="s">
        <v>728</v>
      </c>
      <c r="C64" s="194" t="s">
        <v>2334</v>
      </c>
      <c r="D64" s="194" t="s">
        <v>1532</v>
      </c>
      <c r="E64" s="194" t="s">
        <v>1717</v>
      </c>
      <c r="F64" s="74" t="s">
        <v>2376</v>
      </c>
      <c r="G64" s="291" t="e">
        <f t="shared" si="59"/>
        <v>#N/A</v>
      </c>
      <c r="H64" s="292" t="e">
        <f>-VLOOKUP("PVEINSP",Energie,8,0)*VLOOKUP("EINSPTARIF",Ver_Entsorgung,5)</f>
        <v>#N/A</v>
      </c>
      <c r="I64" s="168"/>
      <c r="J64" s="194" t="s">
        <v>727</v>
      </c>
      <c r="K64" s="378" t="s">
        <v>732</v>
      </c>
      <c r="L64" s="379" t="s">
        <v>2586</v>
      </c>
      <c r="M64" s="325">
        <f t="shared" si="60"/>
        <v>2.0299999999999998</v>
      </c>
      <c r="N64" s="380">
        <f t="shared" si="61"/>
        <v>1.0032448377581122</v>
      </c>
      <c r="O64" s="381" t="e">
        <f t="shared" si="64"/>
        <v>#N/A</v>
      </c>
      <c r="P64" s="169" t="s">
        <v>103</v>
      </c>
      <c r="Q64" s="114" t="e">
        <f t="shared" si="64"/>
        <v>#N/A</v>
      </c>
      <c r="R64" s="115" t="e">
        <f t="shared" si="64"/>
        <v>#N/A</v>
      </c>
      <c r="S64" s="115" t="e">
        <f t="shared" si="64"/>
        <v>#N/A</v>
      </c>
      <c r="T64" s="115" t="e">
        <f t="shared" si="64"/>
        <v>#N/A</v>
      </c>
      <c r="U64" s="115" t="e">
        <f t="shared" si="64"/>
        <v>#N/A</v>
      </c>
      <c r="V64" s="115" t="e">
        <f t="shared" si="64"/>
        <v>#N/A</v>
      </c>
      <c r="W64" s="115" t="e">
        <f t="shared" si="64"/>
        <v>#N/A</v>
      </c>
      <c r="X64" s="115" t="e">
        <f t="shared" si="64"/>
        <v>#N/A</v>
      </c>
      <c r="Y64" s="115" t="e">
        <f t="shared" si="64"/>
        <v>#N/A</v>
      </c>
      <c r="Z64" s="115" t="e">
        <f t="shared" si="65"/>
        <v>#N/A</v>
      </c>
      <c r="AA64" s="115" t="e">
        <f t="shared" si="65"/>
        <v>#N/A</v>
      </c>
      <c r="AB64" s="115" t="e">
        <f t="shared" si="65"/>
        <v>#N/A</v>
      </c>
      <c r="AC64" s="115" t="e">
        <f t="shared" si="65"/>
        <v>#N/A</v>
      </c>
      <c r="AD64" s="115" t="e">
        <f t="shared" si="65"/>
        <v>#N/A</v>
      </c>
      <c r="AE64" s="115" t="e">
        <f t="shared" si="65"/>
        <v>#N/A</v>
      </c>
      <c r="AF64" s="115" t="e">
        <f t="shared" si="65"/>
        <v>#N/A</v>
      </c>
      <c r="AG64" s="115" t="e">
        <f t="shared" si="65"/>
        <v>#N/A</v>
      </c>
      <c r="AH64" s="115" t="e">
        <f t="shared" si="65"/>
        <v>#N/A</v>
      </c>
      <c r="AI64" s="115" t="e">
        <f t="shared" si="65"/>
        <v>#N/A</v>
      </c>
      <c r="AJ64" s="115" t="e">
        <f t="shared" si="66"/>
        <v>#N/A</v>
      </c>
      <c r="AK64" s="115" t="e">
        <f t="shared" si="66"/>
        <v>#N/A</v>
      </c>
      <c r="AL64" s="115" t="e">
        <f t="shared" si="66"/>
        <v>#N/A</v>
      </c>
      <c r="AM64" s="115" t="e">
        <f t="shared" si="66"/>
        <v>#N/A</v>
      </c>
      <c r="AN64" s="115" t="e">
        <f t="shared" si="66"/>
        <v>#N/A</v>
      </c>
      <c r="AO64" s="115" t="e">
        <f t="shared" si="66"/>
        <v>#N/A</v>
      </c>
      <c r="AP64" s="115" t="e">
        <f t="shared" si="66"/>
        <v>#N/A</v>
      </c>
      <c r="AQ64" s="115" t="e">
        <f t="shared" si="66"/>
        <v>#N/A</v>
      </c>
      <c r="AR64" s="115" t="e">
        <f t="shared" si="66"/>
        <v>#N/A</v>
      </c>
      <c r="AS64" s="115" t="e">
        <f t="shared" si="66"/>
        <v>#N/A</v>
      </c>
      <c r="AT64" s="115" t="e">
        <f t="shared" si="67"/>
        <v>#N/A</v>
      </c>
      <c r="AU64" s="115" t="e">
        <f t="shared" si="67"/>
        <v>#N/A</v>
      </c>
      <c r="AV64" s="115" t="e">
        <f t="shared" si="67"/>
        <v>#N/A</v>
      </c>
      <c r="AW64" s="115" t="e">
        <f t="shared" si="67"/>
        <v>#N/A</v>
      </c>
      <c r="AX64" s="115" t="e">
        <f t="shared" si="67"/>
        <v>#N/A</v>
      </c>
      <c r="AY64" s="115" t="e">
        <f t="shared" si="67"/>
        <v>#N/A</v>
      </c>
      <c r="AZ64" s="115" t="e">
        <f t="shared" si="67"/>
        <v>#N/A</v>
      </c>
      <c r="BA64" s="115" t="e">
        <f t="shared" si="67"/>
        <v>#N/A</v>
      </c>
      <c r="BB64" s="115" t="e">
        <f t="shared" si="67"/>
        <v>#N/A</v>
      </c>
      <c r="BC64" s="115" t="e">
        <f t="shared" si="67"/>
        <v>#N/A</v>
      </c>
      <c r="BD64" s="115" t="e">
        <f t="shared" si="68"/>
        <v>#N/A</v>
      </c>
      <c r="BE64" s="115" t="e">
        <f t="shared" si="68"/>
        <v>#N/A</v>
      </c>
      <c r="BF64" s="115" t="e">
        <f t="shared" si="68"/>
        <v>#N/A</v>
      </c>
      <c r="BG64" s="115" t="e">
        <f t="shared" si="68"/>
        <v>#N/A</v>
      </c>
      <c r="BH64" s="115" t="e">
        <f t="shared" si="68"/>
        <v>#N/A</v>
      </c>
      <c r="BI64" s="115" t="e">
        <f t="shared" si="68"/>
        <v>#N/A</v>
      </c>
      <c r="BJ64" s="115" t="e">
        <f t="shared" si="68"/>
        <v>#N/A</v>
      </c>
      <c r="BK64" s="115" t="e">
        <f t="shared" si="68"/>
        <v>#N/A</v>
      </c>
      <c r="BL64" s="115" t="e">
        <f t="shared" si="68"/>
        <v>#N/A</v>
      </c>
      <c r="BM64" s="115" t="e">
        <f t="shared" si="68"/>
        <v>#N/A</v>
      </c>
      <c r="BN64" s="115" t="e">
        <f t="shared" si="69"/>
        <v>#N/A</v>
      </c>
      <c r="BO64" s="115" t="e">
        <f t="shared" si="69"/>
        <v>#N/A</v>
      </c>
      <c r="BP64" s="115" t="e">
        <f t="shared" si="69"/>
        <v>#N/A</v>
      </c>
      <c r="BQ64" s="115" t="e">
        <f t="shared" si="69"/>
        <v>#N/A</v>
      </c>
      <c r="BR64" s="115" t="e">
        <f t="shared" si="69"/>
        <v>#N/A</v>
      </c>
      <c r="BS64" s="115" t="e">
        <f t="shared" si="69"/>
        <v>#N/A</v>
      </c>
      <c r="BT64" s="115" t="e">
        <f t="shared" si="69"/>
        <v>#N/A</v>
      </c>
      <c r="BU64" s="115" t="e">
        <f t="shared" si="69"/>
        <v>#N/A</v>
      </c>
      <c r="BV64" s="115" t="e">
        <f t="shared" si="69"/>
        <v>#N/A</v>
      </c>
      <c r="BW64" s="115" t="e">
        <f t="shared" si="69"/>
        <v>#N/A</v>
      </c>
      <c r="BX64" s="115" t="e">
        <f t="shared" si="70"/>
        <v>#N/A</v>
      </c>
      <c r="BY64" s="115" t="e">
        <f t="shared" si="70"/>
        <v>#N/A</v>
      </c>
      <c r="BZ64" s="115" t="e">
        <f t="shared" si="70"/>
        <v>#N/A</v>
      </c>
      <c r="CA64" s="115" t="e">
        <f t="shared" si="70"/>
        <v>#N/A</v>
      </c>
      <c r="CB64" s="115" t="e">
        <f t="shared" si="70"/>
        <v>#N/A</v>
      </c>
      <c r="CC64" s="115" t="e">
        <f t="shared" si="70"/>
        <v>#N/A</v>
      </c>
      <c r="CD64" s="115" t="e">
        <f t="shared" si="70"/>
        <v>#N/A</v>
      </c>
      <c r="CE64" s="115" t="e">
        <f t="shared" si="70"/>
        <v>#N/A</v>
      </c>
      <c r="CF64" s="115" t="e">
        <f t="shared" si="70"/>
        <v>#N/A</v>
      </c>
      <c r="CG64" s="115" t="e">
        <f t="shared" si="70"/>
        <v>#N/A</v>
      </c>
      <c r="CH64" s="115" t="e">
        <f t="shared" si="71"/>
        <v>#N/A</v>
      </c>
      <c r="CI64" s="115" t="e">
        <f t="shared" si="71"/>
        <v>#N/A</v>
      </c>
      <c r="CJ64" s="115" t="e">
        <f t="shared" si="71"/>
        <v>#N/A</v>
      </c>
      <c r="CK64" s="115" t="e">
        <f t="shared" si="71"/>
        <v>#N/A</v>
      </c>
      <c r="CL64" s="115" t="e">
        <f t="shared" si="71"/>
        <v>#N/A</v>
      </c>
      <c r="CM64" s="115" t="e">
        <f t="shared" si="71"/>
        <v>#N/A</v>
      </c>
      <c r="CN64" s="115" t="e">
        <f t="shared" si="71"/>
        <v>#N/A</v>
      </c>
      <c r="CO64" s="115" t="e">
        <f t="shared" si="71"/>
        <v>#N/A</v>
      </c>
      <c r="CP64" s="115" t="e">
        <f t="shared" si="71"/>
        <v>#N/A</v>
      </c>
      <c r="CQ64" s="115" t="e">
        <f t="shared" si="71"/>
        <v>#N/A</v>
      </c>
      <c r="CR64" s="115" t="e">
        <f t="shared" si="72"/>
        <v>#N/A</v>
      </c>
      <c r="CS64" s="115" t="e">
        <f t="shared" si="72"/>
        <v>#N/A</v>
      </c>
      <c r="CT64" s="115" t="e">
        <f t="shared" si="72"/>
        <v>#N/A</v>
      </c>
      <c r="CU64" s="115" t="e">
        <f t="shared" si="72"/>
        <v>#N/A</v>
      </c>
      <c r="CV64" s="115" t="e">
        <f t="shared" si="72"/>
        <v>#N/A</v>
      </c>
      <c r="CW64" s="115" t="e">
        <f t="shared" si="72"/>
        <v>#N/A</v>
      </c>
      <c r="CX64" s="115" t="e">
        <f t="shared" si="72"/>
        <v>#N/A</v>
      </c>
      <c r="CY64" s="115" t="e">
        <f t="shared" si="72"/>
        <v>#N/A</v>
      </c>
      <c r="CZ64" s="115" t="e">
        <f t="shared" si="72"/>
        <v>#N/A</v>
      </c>
      <c r="DA64" s="115" t="e">
        <f t="shared" si="72"/>
        <v>#N/A</v>
      </c>
      <c r="DB64" s="115" t="e">
        <f t="shared" si="73"/>
        <v>#N/A</v>
      </c>
      <c r="DC64" s="115" t="e">
        <f t="shared" si="73"/>
        <v>#N/A</v>
      </c>
      <c r="DD64" s="115" t="e">
        <f t="shared" si="73"/>
        <v>#N/A</v>
      </c>
      <c r="DE64" s="115" t="e">
        <f t="shared" si="73"/>
        <v>#N/A</v>
      </c>
      <c r="DF64" s="115" t="e">
        <f t="shared" si="73"/>
        <v>#N/A</v>
      </c>
      <c r="DG64" s="115" t="e">
        <f t="shared" si="73"/>
        <v>#N/A</v>
      </c>
      <c r="DH64" s="115" t="e">
        <f t="shared" si="73"/>
        <v>#N/A</v>
      </c>
      <c r="DI64" s="115" t="e">
        <f t="shared" si="73"/>
        <v>#N/A</v>
      </c>
      <c r="DJ64" s="115" t="e">
        <f t="shared" si="73"/>
        <v>#N/A</v>
      </c>
      <c r="DK64" s="115" t="e">
        <f t="shared" si="73"/>
        <v>#N/A</v>
      </c>
      <c r="DL64" s="115" t="e">
        <f t="shared" si="73"/>
        <v>#N/A</v>
      </c>
      <c r="DM64" s="115" t="e">
        <f t="shared" si="73"/>
        <v>#N/A</v>
      </c>
    </row>
    <row r="65" spans="1:117" ht="15" customHeight="1" thickBot="1">
      <c r="A65" s="293">
        <v>5500</v>
      </c>
      <c r="B65" s="172" t="s">
        <v>743</v>
      </c>
      <c r="C65" s="172" t="s">
        <v>788</v>
      </c>
      <c r="D65" s="172" t="s">
        <v>494</v>
      </c>
      <c r="E65" s="172"/>
      <c r="F65" s="172" t="s">
        <v>117</v>
      </c>
      <c r="G65" s="171">
        <f>SUM(G66:G67)</f>
        <v>0</v>
      </c>
      <c r="H65" s="171"/>
      <c r="I65" s="171"/>
      <c r="J65" s="172" t="s">
        <v>727</v>
      </c>
      <c r="K65" s="373"/>
      <c r="L65" s="172"/>
      <c r="M65" s="293"/>
      <c r="N65" s="293"/>
      <c r="O65" s="376">
        <f>SUM(O66:O67)</f>
        <v>0</v>
      </c>
      <c r="P65" s="377" t="s">
        <v>103</v>
      </c>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116"/>
      <c r="AV65" s="116"/>
      <c r="AW65" s="116"/>
      <c r="AX65" s="116"/>
      <c r="AY65" s="116"/>
      <c r="AZ65" s="116"/>
      <c r="BA65" s="116"/>
      <c r="BB65" s="116"/>
      <c r="BC65" s="116"/>
      <c r="BD65" s="116"/>
      <c r="BE65" s="116"/>
      <c r="BF65" s="116"/>
      <c r="BG65" s="116"/>
      <c r="BH65" s="116"/>
      <c r="BI65" s="116"/>
      <c r="BJ65" s="116"/>
      <c r="BK65" s="116"/>
      <c r="BL65" s="116"/>
      <c r="BM65" s="116"/>
      <c r="BN65" s="116"/>
      <c r="BO65" s="116"/>
      <c r="BP65" s="116"/>
      <c r="BQ65" s="116"/>
      <c r="BR65" s="116"/>
      <c r="BS65" s="116"/>
      <c r="BT65" s="116"/>
      <c r="BU65" s="116"/>
      <c r="BV65" s="116"/>
      <c r="BW65" s="116"/>
      <c r="BX65" s="116"/>
      <c r="BY65" s="116"/>
      <c r="BZ65" s="116"/>
      <c r="CA65" s="116"/>
      <c r="CB65" s="116"/>
      <c r="CC65" s="116"/>
      <c r="CD65" s="116"/>
      <c r="CE65" s="116"/>
      <c r="CF65" s="116"/>
      <c r="CG65" s="116"/>
      <c r="CH65" s="116"/>
      <c r="CI65" s="116"/>
      <c r="CJ65" s="116"/>
      <c r="CK65" s="116"/>
      <c r="CL65" s="116"/>
      <c r="CM65" s="116"/>
      <c r="CN65" s="116"/>
      <c r="CO65" s="116"/>
      <c r="CP65" s="116"/>
      <c r="CQ65" s="116"/>
      <c r="CR65" s="116"/>
      <c r="CS65" s="116"/>
      <c r="CT65" s="116"/>
      <c r="CU65" s="116"/>
      <c r="CV65" s="116"/>
      <c r="CW65" s="116"/>
      <c r="CX65" s="116"/>
      <c r="CY65" s="116"/>
      <c r="CZ65" s="116"/>
      <c r="DA65" s="116"/>
      <c r="DB65" s="116"/>
      <c r="DC65" s="116"/>
      <c r="DD65" s="116"/>
      <c r="DE65" s="116"/>
      <c r="DF65" s="116"/>
      <c r="DG65" s="116"/>
      <c r="DH65" s="116"/>
      <c r="DI65" s="116"/>
      <c r="DJ65" s="116"/>
      <c r="DK65" s="116"/>
      <c r="DL65" s="116"/>
      <c r="DM65" s="116"/>
    </row>
    <row r="66" spans="1:117" ht="15" customHeight="1" thickBot="1">
      <c r="A66" s="55"/>
      <c r="B66" s="194" t="s">
        <v>728</v>
      </c>
      <c r="C66" s="194" t="s">
        <v>1202</v>
      </c>
      <c r="D66" s="194" t="s">
        <v>1204</v>
      </c>
      <c r="E66" s="194"/>
      <c r="F66" s="194" t="s">
        <v>1538</v>
      </c>
      <c r="G66" s="291">
        <f t="shared" si="59"/>
        <v>0</v>
      </c>
      <c r="H66" s="292">
        <f>VLOOKUP("NF",Objektkenndaten,5,0)*(VLOOKUP("WAVnf",Ver_Entsorgung,5,0)*VLOOKUP("KOWA",Ver_Entsorgung,5,0)) + VLOOKUP("GRÜNF",Objektkenndaten,5,0)*(VLOOKUP("WAVgf",Ver_Entsorgung,5,0)*VLOOKUP("KOWA",Ver_Entsorgung,5,0))</f>
        <v>0</v>
      </c>
      <c r="I66" s="168"/>
      <c r="J66" s="194" t="s">
        <v>727</v>
      </c>
      <c r="K66" s="378">
        <v>1</v>
      </c>
      <c r="L66" s="379" t="s">
        <v>359</v>
      </c>
      <c r="M66" s="325">
        <f t="shared" si="60"/>
        <v>2.25</v>
      </c>
      <c r="N66" s="380">
        <f t="shared" ref="N66:N67" si="80">(1+VLOOKUP(L66,Finanzielle_Parameter,5,0)/100)/(1+VLOOKUP("R",Finanzielle_Parameter,5,0)/100)</f>
        <v>1.0054080629301869</v>
      </c>
      <c r="O66" s="381">
        <f t="shared" ref="O66:Y69" si="81">IF($N66&lt;&gt;1,$G66*($N66^$K66)*(($N66^($K66*INT(O$2/$K66))-1)/($N66^$K66-1)),$G66*INT(O$2/$K66))</f>
        <v>0</v>
      </c>
      <c r="P66" s="169" t="s">
        <v>103</v>
      </c>
      <c r="Q66" s="114">
        <f t="shared" si="81"/>
        <v>0</v>
      </c>
      <c r="R66" s="115">
        <f t="shared" si="81"/>
        <v>0</v>
      </c>
      <c r="S66" s="115">
        <f t="shared" si="81"/>
        <v>0</v>
      </c>
      <c r="T66" s="115">
        <f t="shared" si="81"/>
        <v>0</v>
      </c>
      <c r="U66" s="115">
        <f t="shared" si="81"/>
        <v>0</v>
      </c>
      <c r="V66" s="115">
        <f t="shared" si="81"/>
        <v>0</v>
      </c>
      <c r="W66" s="115">
        <f t="shared" si="81"/>
        <v>0</v>
      </c>
      <c r="X66" s="115">
        <f t="shared" si="81"/>
        <v>0</v>
      </c>
      <c r="Y66" s="115">
        <f t="shared" si="81"/>
        <v>0</v>
      </c>
      <c r="Z66" s="115">
        <f t="shared" ref="Z66:AI69" si="82">IF($N66&lt;&gt;1,$G66*($N66^$K66)*(($N66^($K66*INT(Z$2/$K66))-1)/($N66^$K66-1)),$G66*INT(Z$2/$K66))</f>
        <v>0</v>
      </c>
      <c r="AA66" s="115">
        <f t="shared" si="82"/>
        <v>0</v>
      </c>
      <c r="AB66" s="115">
        <f t="shared" si="82"/>
        <v>0</v>
      </c>
      <c r="AC66" s="115">
        <f t="shared" si="82"/>
        <v>0</v>
      </c>
      <c r="AD66" s="115">
        <f t="shared" si="82"/>
        <v>0</v>
      </c>
      <c r="AE66" s="115">
        <f t="shared" si="82"/>
        <v>0</v>
      </c>
      <c r="AF66" s="115">
        <f t="shared" si="82"/>
        <v>0</v>
      </c>
      <c r="AG66" s="115">
        <f t="shared" si="82"/>
        <v>0</v>
      </c>
      <c r="AH66" s="115">
        <f t="shared" si="82"/>
        <v>0</v>
      </c>
      <c r="AI66" s="115">
        <f t="shared" si="82"/>
        <v>0</v>
      </c>
      <c r="AJ66" s="115">
        <f t="shared" ref="AJ66:AS69" si="83">IF($N66&lt;&gt;1,$G66*($N66^$K66)*(($N66^($K66*INT(AJ$2/$K66))-1)/($N66^$K66-1)),$G66*INT(AJ$2/$K66))</f>
        <v>0</v>
      </c>
      <c r="AK66" s="115">
        <f t="shared" si="83"/>
        <v>0</v>
      </c>
      <c r="AL66" s="115">
        <f t="shared" si="83"/>
        <v>0</v>
      </c>
      <c r="AM66" s="115">
        <f t="shared" si="83"/>
        <v>0</v>
      </c>
      <c r="AN66" s="115">
        <f t="shared" si="83"/>
        <v>0</v>
      </c>
      <c r="AO66" s="115">
        <f t="shared" si="83"/>
        <v>0</v>
      </c>
      <c r="AP66" s="115">
        <f t="shared" si="83"/>
        <v>0</v>
      </c>
      <c r="AQ66" s="115">
        <f t="shared" si="83"/>
        <v>0</v>
      </c>
      <c r="AR66" s="115">
        <f t="shared" si="83"/>
        <v>0</v>
      </c>
      <c r="AS66" s="115">
        <f t="shared" si="83"/>
        <v>0</v>
      </c>
      <c r="AT66" s="115">
        <f t="shared" ref="AT66:BC69" si="84">IF($N66&lt;&gt;1,$G66*($N66^$K66)*(($N66^($K66*INT(AT$2/$K66))-1)/($N66^$K66-1)),$G66*INT(AT$2/$K66))</f>
        <v>0</v>
      </c>
      <c r="AU66" s="115">
        <f t="shared" si="84"/>
        <v>0</v>
      </c>
      <c r="AV66" s="115" t="e">
        <f t="shared" si="84"/>
        <v>#VALUE!</v>
      </c>
      <c r="AW66" s="115" t="e">
        <f t="shared" si="84"/>
        <v>#VALUE!</v>
      </c>
      <c r="AX66" s="115" t="e">
        <f t="shared" si="84"/>
        <v>#VALUE!</v>
      </c>
      <c r="AY66" s="115" t="e">
        <f t="shared" si="84"/>
        <v>#VALUE!</v>
      </c>
      <c r="AZ66" s="115" t="e">
        <f t="shared" si="84"/>
        <v>#VALUE!</v>
      </c>
      <c r="BA66" s="115" t="e">
        <f t="shared" si="84"/>
        <v>#VALUE!</v>
      </c>
      <c r="BB66" s="115" t="e">
        <f t="shared" si="84"/>
        <v>#VALUE!</v>
      </c>
      <c r="BC66" s="115" t="e">
        <f t="shared" si="84"/>
        <v>#VALUE!</v>
      </c>
      <c r="BD66" s="115" t="e">
        <f t="shared" ref="BD66:BM69" si="85">IF($N66&lt;&gt;1,$G66*($N66^$K66)*(($N66^($K66*INT(BD$2/$K66))-1)/($N66^$K66-1)),$G66*INT(BD$2/$K66))</f>
        <v>#VALUE!</v>
      </c>
      <c r="BE66" s="115" t="e">
        <f t="shared" si="85"/>
        <v>#VALUE!</v>
      </c>
      <c r="BF66" s="115" t="e">
        <f t="shared" si="85"/>
        <v>#VALUE!</v>
      </c>
      <c r="BG66" s="115" t="e">
        <f t="shared" si="85"/>
        <v>#VALUE!</v>
      </c>
      <c r="BH66" s="115" t="e">
        <f t="shared" si="85"/>
        <v>#VALUE!</v>
      </c>
      <c r="BI66" s="115" t="e">
        <f t="shared" si="85"/>
        <v>#VALUE!</v>
      </c>
      <c r="BJ66" s="115" t="e">
        <f t="shared" si="85"/>
        <v>#VALUE!</v>
      </c>
      <c r="BK66" s="115" t="e">
        <f t="shared" si="85"/>
        <v>#VALUE!</v>
      </c>
      <c r="BL66" s="115" t="e">
        <f t="shared" si="85"/>
        <v>#VALUE!</v>
      </c>
      <c r="BM66" s="115" t="e">
        <f t="shared" si="85"/>
        <v>#VALUE!</v>
      </c>
      <c r="BN66" s="115" t="e">
        <f t="shared" ref="BN66:BW69" si="86">IF($N66&lt;&gt;1,$G66*($N66^$K66)*(($N66^($K66*INT(BN$2/$K66))-1)/($N66^$K66-1)),$G66*INT(BN$2/$K66))</f>
        <v>#VALUE!</v>
      </c>
      <c r="BO66" s="115" t="e">
        <f t="shared" si="86"/>
        <v>#VALUE!</v>
      </c>
      <c r="BP66" s="115" t="e">
        <f t="shared" si="86"/>
        <v>#VALUE!</v>
      </c>
      <c r="BQ66" s="115" t="e">
        <f t="shared" si="86"/>
        <v>#VALUE!</v>
      </c>
      <c r="BR66" s="115" t="e">
        <f t="shared" si="86"/>
        <v>#VALUE!</v>
      </c>
      <c r="BS66" s="115" t="e">
        <f t="shared" si="86"/>
        <v>#VALUE!</v>
      </c>
      <c r="BT66" s="115" t="e">
        <f t="shared" si="86"/>
        <v>#VALUE!</v>
      </c>
      <c r="BU66" s="115" t="e">
        <f t="shared" si="86"/>
        <v>#VALUE!</v>
      </c>
      <c r="BV66" s="115" t="e">
        <f t="shared" si="86"/>
        <v>#VALUE!</v>
      </c>
      <c r="BW66" s="115" t="e">
        <f t="shared" si="86"/>
        <v>#VALUE!</v>
      </c>
      <c r="BX66" s="115" t="e">
        <f t="shared" ref="BX66:CG69" si="87">IF($N66&lt;&gt;1,$G66*($N66^$K66)*(($N66^($K66*INT(BX$2/$K66))-1)/($N66^$K66-1)),$G66*INT(BX$2/$K66))</f>
        <v>#VALUE!</v>
      </c>
      <c r="BY66" s="115" t="e">
        <f t="shared" si="87"/>
        <v>#VALUE!</v>
      </c>
      <c r="BZ66" s="115" t="e">
        <f t="shared" si="87"/>
        <v>#VALUE!</v>
      </c>
      <c r="CA66" s="115" t="e">
        <f t="shared" si="87"/>
        <v>#VALUE!</v>
      </c>
      <c r="CB66" s="115" t="e">
        <f t="shared" si="87"/>
        <v>#VALUE!</v>
      </c>
      <c r="CC66" s="115" t="e">
        <f t="shared" si="87"/>
        <v>#VALUE!</v>
      </c>
      <c r="CD66" s="115" t="e">
        <f t="shared" si="87"/>
        <v>#VALUE!</v>
      </c>
      <c r="CE66" s="115" t="e">
        <f t="shared" si="87"/>
        <v>#VALUE!</v>
      </c>
      <c r="CF66" s="115" t="e">
        <f t="shared" si="87"/>
        <v>#VALUE!</v>
      </c>
      <c r="CG66" s="115" t="e">
        <f t="shared" si="87"/>
        <v>#VALUE!</v>
      </c>
      <c r="CH66" s="115" t="e">
        <f t="shared" ref="CH66:CQ69" si="88">IF($N66&lt;&gt;1,$G66*($N66^$K66)*(($N66^($K66*INT(CH$2/$K66))-1)/($N66^$K66-1)),$G66*INT(CH$2/$K66))</f>
        <v>#VALUE!</v>
      </c>
      <c r="CI66" s="115" t="e">
        <f t="shared" si="88"/>
        <v>#VALUE!</v>
      </c>
      <c r="CJ66" s="115" t="e">
        <f t="shared" si="88"/>
        <v>#VALUE!</v>
      </c>
      <c r="CK66" s="115" t="e">
        <f t="shared" si="88"/>
        <v>#VALUE!</v>
      </c>
      <c r="CL66" s="115" t="e">
        <f t="shared" si="88"/>
        <v>#VALUE!</v>
      </c>
      <c r="CM66" s="115" t="e">
        <f t="shared" si="88"/>
        <v>#VALUE!</v>
      </c>
      <c r="CN66" s="115" t="e">
        <f t="shared" si="88"/>
        <v>#VALUE!</v>
      </c>
      <c r="CO66" s="115" t="e">
        <f t="shared" si="88"/>
        <v>#VALUE!</v>
      </c>
      <c r="CP66" s="115" t="e">
        <f t="shared" si="88"/>
        <v>#VALUE!</v>
      </c>
      <c r="CQ66" s="115" t="e">
        <f t="shared" si="88"/>
        <v>#VALUE!</v>
      </c>
      <c r="CR66" s="115" t="e">
        <f t="shared" ref="CR66:DA69" si="89">IF($N66&lt;&gt;1,$G66*($N66^$K66)*(($N66^($K66*INT(CR$2/$K66))-1)/($N66^$K66-1)),$G66*INT(CR$2/$K66))</f>
        <v>#VALUE!</v>
      </c>
      <c r="CS66" s="115" t="e">
        <f t="shared" si="89"/>
        <v>#VALUE!</v>
      </c>
      <c r="CT66" s="115" t="e">
        <f t="shared" si="89"/>
        <v>#VALUE!</v>
      </c>
      <c r="CU66" s="115" t="e">
        <f t="shared" si="89"/>
        <v>#VALUE!</v>
      </c>
      <c r="CV66" s="115" t="e">
        <f t="shared" si="89"/>
        <v>#VALUE!</v>
      </c>
      <c r="CW66" s="115" t="e">
        <f t="shared" si="89"/>
        <v>#VALUE!</v>
      </c>
      <c r="CX66" s="115" t="e">
        <f t="shared" si="89"/>
        <v>#VALUE!</v>
      </c>
      <c r="CY66" s="115" t="e">
        <f t="shared" si="89"/>
        <v>#VALUE!</v>
      </c>
      <c r="CZ66" s="115" t="e">
        <f t="shared" si="89"/>
        <v>#VALUE!</v>
      </c>
      <c r="DA66" s="115" t="e">
        <f t="shared" si="89"/>
        <v>#VALUE!</v>
      </c>
      <c r="DB66" s="115" t="e">
        <f t="shared" ref="DB66:DM69" si="90">IF($N66&lt;&gt;1,$G66*($N66^$K66)*(($N66^($K66*INT(DB$2/$K66))-1)/($N66^$K66-1)),$G66*INT(DB$2/$K66))</f>
        <v>#VALUE!</v>
      </c>
      <c r="DC66" s="115" t="e">
        <f t="shared" si="90"/>
        <v>#VALUE!</v>
      </c>
      <c r="DD66" s="115" t="e">
        <f t="shared" si="90"/>
        <v>#VALUE!</v>
      </c>
      <c r="DE66" s="115" t="e">
        <f t="shared" si="90"/>
        <v>#VALUE!</v>
      </c>
      <c r="DF66" s="115" t="e">
        <f t="shared" si="90"/>
        <v>#VALUE!</v>
      </c>
      <c r="DG66" s="115" t="e">
        <f t="shared" si="90"/>
        <v>#VALUE!</v>
      </c>
      <c r="DH66" s="115" t="e">
        <f t="shared" si="90"/>
        <v>#VALUE!</v>
      </c>
      <c r="DI66" s="115" t="e">
        <f t="shared" si="90"/>
        <v>#VALUE!</v>
      </c>
      <c r="DJ66" s="115" t="e">
        <f t="shared" si="90"/>
        <v>#VALUE!</v>
      </c>
      <c r="DK66" s="115" t="e">
        <f t="shared" si="90"/>
        <v>#VALUE!</v>
      </c>
      <c r="DL66" s="115" t="e">
        <f t="shared" si="90"/>
        <v>#VALUE!</v>
      </c>
      <c r="DM66" s="115" t="e">
        <f t="shared" si="90"/>
        <v>#VALUE!</v>
      </c>
    </row>
    <row r="67" spans="1:117" ht="15" customHeight="1" thickBot="1">
      <c r="A67" s="55"/>
      <c r="B67" s="194" t="s">
        <v>728</v>
      </c>
      <c r="C67" s="194" t="s">
        <v>1203</v>
      </c>
      <c r="D67" s="194" t="s">
        <v>1205</v>
      </c>
      <c r="E67" s="194"/>
      <c r="F67" s="194" t="s">
        <v>1539</v>
      </c>
      <c r="G67" s="291">
        <f t="shared" si="59"/>
        <v>0</v>
      </c>
      <c r="H67" s="292">
        <f>VLOOKUP("NF",Objektkenndaten,5,0)*(VLOOKUP("AWVnf",Ver_Entsorgung,5,0)*VLOOKUP("KOAW",Ver_Entsorgung,5,0)) + VLOOKUP("GRÜNF",Objektkenndaten,5,0)*(VLOOKUP("AWVgf",Ver_Entsorgung,5,0)*VLOOKUP("KOAW",Ver_Entsorgung,5,0))</f>
        <v>0</v>
      </c>
      <c r="I67" s="168"/>
      <c r="J67" s="194" t="s">
        <v>727</v>
      </c>
      <c r="K67" s="378">
        <v>1</v>
      </c>
      <c r="L67" s="379" t="s">
        <v>359</v>
      </c>
      <c r="M67" s="325">
        <f t="shared" si="60"/>
        <v>2.25</v>
      </c>
      <c r="N67" s="380">
        <f t="shared" si="80"/>
        <v>1.0054080629301869</v>
      </c>
      <c r="O67" s="381">
        <f t="shared" si="81"/>
        <v>0</v>
      </c>
      <c r="P67" s="169" t="s">
        <v>103</v>
      </c>
      <c r="Q67" s="114">
        <f t="shared" si="81"/>
        <v>0</v>
      </c>
      <c r="R67" s="115">
        <f t="shared" si="81"/>
        <v>0</v>
      </c>
      <c r="S67" s="115">
        <f t="shared" si="81"/>
        <v>0</v>
      </c>
      <c r="T67" s="115">
        <f t="shared" si="81"/>
        <v>0</v>
      </c>
      <c r="U67" s="115">
        <f t="shared" si="81"/>
        <v>0</v>
      </c>
      <c r="V67" s="115">
        <f t="shared" si="81"/>
        <v>0</v>
      </c>
      <c r="W67" s="115">
        <f t="shared" si="81"/>
        <v>0</v>
      </c>
      <c r="X67" s="115">
        <f t="shared" si="81"/>
        <v>0</v>
      </c>
      <c r="Y67" s="115">
        <f t="shared" si="81"/>
        <v>0</v>
      </c>
      <c r="Z67" s="115">
        <f t="shared" si="82"/>
        <v>0</v>
      </c>
      <c r="AA67" s="115">
        <f t="shared" si="82"/>
        <v>0</v>
      </c>
      <c r="AB67" s="115">
        <f t="shared" si="82"/>
        <v>0</v>
      </c>
      <c r="AC67" s="115">
        <f t="shared" si="82"/>
        <v>0</v>
      </c>
      <c r="AD67" s="115">
        <f t="shared" si="82"/>
        <v>0</v>
      </c>
      <c r="AE67" s="115">
        <f t="shared" si="82"/>
        <v>0</v>
      </c>
      <c r="AF67" s="115">
        <f t="shared" si="82"/>
        <v>0</v>
      </c>
      <c r="AG67" s="115">
        <f t="shared" si="82"/>
        <v>0</v>
      </c>
      <c r="AH67" s="115">
        <f t="shared" si="82"/>
        <v>0</v>
      </c>
      <c r="AI67" s="115">
        <f t="shared" si="82"/>
        <v>0</v>
      </c>
      <c r="AJ67" s="115">
        <f t="shared" si="83"/>
        <v>0</v>
      </c>
      <c r="AK67" s="115">
        <f t="shared" si="83"/>
        <v>0</v>
      </c>
      <c r="AL67" s="115">
        <f t="shared" si="83"/>
        <v>0</v>
      </c>
      <c r="AM67" s="115">
        <f t="shared" si="83"/>
        <v>0</v>
      </c>
      <c r="AN67" s="115">
        <f t="shared" si="83"/>
        <v>0</v>
      </c>
      <c r="AO67" s="115">
        <f t="shared" si="83"/>
        <v>0</v>
      </c>
      <c r="AP67" s="115">
        <f t="shared" si="83"/>
        <v>0</v>
      </c>
      <c r="AQ67" s="115">
        <f t="shared" si="83"/>
        <v>0</v>
      </c>
      <c r="AR67" s="115">
        <f t="shared" si="83"/>
        <v>0</v>
      </c>
      <c r="AS67" s="115">
        <f t="shared" si="83"/>
        <v>0</v>
      </c>
      <c r="AT67" s="115">
        <f t="shared" si="84"/>
        <v>0</v>
      </c>
      <c r="AU67" s="115">
        <f t="shared" si="84"/>
        <v>0</v>
      </c>
      <c r="AV67" s="115" t="e">
        <f t="shared" si="84"/>
        <v>#VALUE!</v>
      </c>
      <c r="AW67" s="115" t="e">
        <f t="shared" si="84"/>
        <v>#VALUE!</v>
      </c>
      <c r="AX67" s="115" t="e">
        <f t="shared" si="84"/>
        <v>#VALUE!</v>
      </c>
      <c r="AY67" s="115" t="e">
        <f t="shared" si="84"/>
        <v>#VALUE!</v>
      </c>
      <c r="AZ67" s="115" t="e">
        <f t="shared" si="84"/>
        <v>#VALUE!</v>
      </c>
      <c r="BA67" s="115" t="e">
        <f t="shared" si="84"/>
        <v>#VALUE!</v>
      </c>
      <c r="BB67" s="115" t="e">
        <f t="shared" si="84"/>
        <v>#VALUE!</v>
      </c>
      <c r="BC67" s="115" t="e">
        <f t="shared" si="84"/>
        <v>#VALUE!</v>
      </c>
      <c r="BD67" s="115" t="e">
        <f t="shared" si="85"/>
        <v>#VALUE!</v>
      </c>
      <c r="BE67" s="115" t="e">
        <f t="shared" si="85"/>
        <v>#VALUE!</v>
      </c>
      <c r="BF67" s="115" t="e">
        <f t="shared" si="85"/>
        <v>#VALUE!</v>
      </c>
      <c r="BG67" s="115" t="e">
        <f t="shared" si="85"/>
        <v>#VALUE!</v>
      </c>
      <c r="BH67" s="115" t="e">
        <f t="shared" si="85"/>
        <v>#VALUE!</v>
      </c>
      <c r="BI67" s="115" t="e">
        <f t="shared" si="85"/>
        <v>#VALUE!</v>
      </c>
      <c r="BJ67" s="115" t="e">
        <f t="shared" si="85"/>
        <v>#VALUE!</v>
      </c>
      <c r="BK67" s="115" t="e">
        <f t="shared" si="85"/>
        <v>#VALUE!</v>
      </c>
      <c r="BL67" s="115" t="e">
        <f t="shared" si="85"/>
        <v>#VALUE!</v>
      </c>
      <c r="BM67" s="115" t="e">
        <f t="shared" si="85"/>
        <v>#VALUE!</v>
      </c>
      <c r="BN67" s="115" t="e">
        <f t="shared" si="86"/>
        <v>#VALUE!</v>
      </c>
      <c r="BO67" s="115" t="e">
        <f t="shared" si="86"/>
        <v>#VALUE!</v>
      </c>
      <c r="BP67" s="115" t="e">
        <f t="shared" si="86"/>
        <v>#VALUE!</v>
      </c>
      <c r="BQ67" s="115" t="e">
        <f t="shared" si="86"/>
        <v>#VALUE!</v>
      </c>
      <c r="BR67" s="115" t="e">
        <f t="shared" si="86"/>
        <v>#VALUE!</v>
      </c>
      <c r="BS67" s="115" t="e">
        <f t="shared" si="86"/>
        <v>#VALUE!</v>
      </c>
      <c r="BT67" s="115" t="e">
        <f t="shared" si="86"/>
        <v>#VALUE!</v>
      </c>
      <c r="BU67" s="115" t="e">
        <f t="shared" si="86"/>
        <v>#VALUE!</v>
      </c>
      <c r="BV67" s="115" t="e">
        <f t="shared" si="86"/>
        <v>#VALUE!</v>
      </c>
      <c r="BW67" s="115" t="e">
        <f t="shared" si="86"/>
        <v>#VALUE!</v>
      </c>
      <c r="BX67" s="115" t="e">
        <f t="shared" si="87"/>
        <v>#VALUE!</v>
      </c>
      <c r="BY67" s="115" t="e">
        <f t="shared" si="87"/>
        <v>#VALUE!</v>
      </c>
      <c r="BZ67" s="115" t="e">
        <f t="shared" si="87"/>
        <v>#VALUE!</v>
      </c>
      <c r="CA67" s="115" t="e">
        <f t="shared" si="87"/>
        <v>#VALUE!</v>
      </c>
      <c r="CB67" s="115" t="e">
        <f t="shared" si="87"/>
        <v>#VALUE!</v>
      </c>
      <c r="CC67" s="115" t="e">
        <f t="shared" si="87"/>
        <v>#VALUE!</v>
      </c>
      <c r="CD67" s="115" t="e">
        <f t="shared" si="87"/>
        <v>#VALUE!</v>
      </c>
      <c r="CE67" s="115" t="e">
        <f t="shared" si="87"/>
        <v>#VALUE!</v>
      </c>
      <c r="CF67" s="115" t="e">
        <f t="shared" si="87"/>
        <v>#VALUE!</v>
      </c>
      <c r="CG67" s="115" t="e">
        <f t="shared" si="87"/>
        <v>#VALUE!</v>
      </c>
      <c r="CH67" s="115" t="e">
        <f t="shared" si="88"/>
        <v>#VALUE!</v>
      </c>
      <c r="CI67" s="115" t="e">
        <f t="shared" si="88"/>
        <v>#VALUE!</v>
      </c>
      <c r="CJ67" s="115" t="e">
        <f t="shared" si="88"/>
        <v>#VALUE!</v>
      </c>
      <c r="CK67" s="115" t="e">
        <f t="shared" si="88"/>
        <v>#VALUE!</v>
      </c>
      <c r="CL67" s="115" t="e">
        <f t="shared" si="88"/>
        <v>#VALUE!</v>
      </c>
      <c r="CM67" s="115" t="e">
        <f t="shared" si="88"/>
        <v>#VALUE!</v>
      </c>
      <c r="CN67" s="115" t="e">
        <f t="shared" si="88"/>
        <v>#VALUE!</v>
      </c>
      <c r="CO67" s="115" t="e">
        <f t="shared" si="88"/>
        <v>#VALUE!</v>
      </c>
      <c r="CP67" s="115" t="e">
        <f t="shared" si="88"/>
        <v>#VALUE!</v>
      </c>
      <c r="CQ67" s="115" t="e">
        <f t="shared" si="88"/>
        <v>#VALUE!</v>
      </c>
      <c r="CR67" s="115" t="e">
        <f t="shared" si="89"/>
        <v>#VALUE!</v>
      </c>
      <c r="CS67" s="115" t="e">
        <f t="shared" si="89"/>
        <v>#VALUE!</v>
      </c>
      <c r="CT67" s="115" t="e">
        <f t="shared" si="89"/>
        <v>#VALUE!</v>
      </c>
      <c r="CU67" s="115" t="e">
        <f t="shared" si="89"/>
        <v>#VALUE!</v>
      </c>
      <c r="CV67" s="115" t="e">
        <f t="shared" si="89"/>
        <v>#VALUE!</v>
      </c>
      <c r="CW67" s="115" t="e">
        <f t="shared" si="89"/>
        <v>#VALUE!</v>
      </c>
      <c r="CX67" s="115" t="e">
        <f t="shared" si="89"/>
        <v>#VALUE!</v>
      </c>
      <c r="CY67" s="115" t="e">
        <f t="shared" si="89"/>
        <v>#VALUE!</v>
      </c>
      <c r="CZ67" s="115" t="e">
        <f t="shared" si="89"/>
        <v>#VALUE!</v>
      </c>
      <c r="DA67" s="115" t="e">
        <f t="shared" si="89"/>
        <v>#VALUE!</v>
      </c>
      <c r="DB67" s="115" t="e">
        <f t="shared" si="90"/>
        <v>#VALUE!</v>
      </c>
      <c r="DC67" s="115" t="e">
        <f t="shared" si="90"/>
        <v>#VALUE!</v>
      </c>
      <c r="DD67" s="115" t="e">
        <f t="shared" si="90"/>
        <v>#VALUE!</v>
      </c>
      <c r="DE67" s="115" t="e">
        <f t="shared" si="90"/>
        <v>#VALUE!</v>
      </c>
      <c r="DF67" s="115" t="e">
        <f t="shared" si="90"/>
        <v>#VALUE!</v>
      </c>
      <c r="DG67" s="115" t="e">
        <f t="shared" si="90"/>
        <v>#VALUE!</v>
      </c>
      <c r="DH67" s="115" t="e">
        <f t="shared" si="90"/>
        <v>#VALUE!</v>
      </c>
      <c r="DI67" s="115" t="e">
        <f t="shared" si="90"/>
        <v>#VALUE!</v>
      </c>
      <c r="DJ67" s="115" t="e">
        <f t="shared" si="90"/>
        <v>#VALUE!</v>
      </c>
      <c r="DK67" s="115" t="e">
        <f t="shared" si="90"/>
        <v>#VALUE!</v>
      </c>
      <c r="DL67" s="115" t="e">
        <f t="shared" si="90"/>
        <v>#VALUE!</v>
      </c>
      <c r="DM67" s="115" t="e">
        <f t="shared" si="90"/>
        <v>#VALUE!</v>
      </c>
    </row>
    <row r="68" spans="1:117" ht="15" customHeight="1" thickBot="1">
      <c r="A68" s="55">
        <v>5600</v>
      </c>
      <c r="B68" s="194" t="s">
        <v>728</v>
      </c>
      <c r="C68" s="194" t="s">
        <v>789</v>
      </c>
      <c r="D68" s="194" t="s">
        <v>513</v>
      </c>
      <c r="E68" s="194"/>
      <c r="F68" s="194" t="s">
        <v>1547</v>
      </c>
      <c r="G68" s="291">
        <f t="shared" si="59"/>
        <v>0</v>
      </c>
      <c r="H68" s="292">
        <f>VLOOKUP("NUE",Objektkenndaten,5,0)*VLOOKUP("MÜLLm3",Ver_Entsorgung,5,0)*VLOOKUP("MÜLLKm3",Ver_Entsorgung,5)</f>
        <v>0</v>
      </c>
      <c r="I68" s="168"/>
      <c r="J68" s="194" t="s">
        <v>727</v>
      </c>
      <c r="K68" s="378" t="s">
        <v>732</v>
      </c>
      <c r="L68" s="379" t="s">
        <v>361</v>
      </c>
      <c r="M68" s="325">
        <f t="shared" si="60"/>
        <v>2.67</v>
      </c>
      <c r="N68" s="380">
        <f t="shared" si="61"/>
        <v>1.0095378564405113</v>
      </c>
      <c r="O68" s="381">
        <f t="shared" si="81"/>
        <v>0</v>
      </c>
      <c r="P68" s="169" t="s">
        <v>103</v>
      </c>
      <c r="Q68" s="114">
        <f t="shared" si="81"/>
        <v>0</v>
      </c>
      <c r="R68" s="115">
        <f t="shared" si="81"/>
        <v>0</v>
      </c>
      <c r="S68" s="115">
        <f t="shared" si="81"/>
        <v>0</v>
      </c>
      <c r="T68" s="115">
        <f t="shared" si="81"/>
        <v>0</v>
      </c>
      <c r="U68" s="115">
        <f t="shared" si="81"/>
        <v>0</v>
      </c>
      <c r="V68" s="115">
        <f t="shared" si="81"/>
        <v>0</v>
      </c>
      <c r="W68" s="115">
        <f t="shared" si="81"/>
        <v>0</v>
      </c>
      <c r="X68" s="115">
        <f t="shared" si="81"/>
        <v>0</v>
      </c>
      <c r="Y68" s="115">
        <f t="shared" si="81"/>
        <v>0</v>
      </c>
      <c r="Z68" s="115">
        <f t="shared" si="82"/>
        <v>0</v>
      </c>
      <c r="AA68" s="115">
        <f t="shared" si="82"/>
        <v>0</v>
      </c>
      <c r="AB68" s="115">
        <f t="shared" si="82"/>
        <v>0</v>
      </c>
      <c r="AC68" s="115">
        <f t="shared" si="82"/>
        <v>0</v>
      </c>
      <c r="AD68" s="115">
        <f t="shared" si="82"/>
        <v>0</v>
      </c>
      <c r="AE68" s="115">
        <f t="shared" si="82"/>
        <v>0</v>
      </c>
      <c r="AF68" s="115">
        <f t="shared" si="82"/>
        <v>0</v>
      </c>
      <c r="AG68" s="115">
        <f t="shared" si="82"/>
        <v>0</v>
      </c>
      <c r="AH68" s="115">
        <f t="shared" si="82"/>
        <v>0</v>
      </c>
      <c r="AI68" s="115">
        <f t="shared" si="82"/>
        <v>0</v>
      </c>
      <c r="AJ68" s="115">
        <f t="shared" si="83"/>
        <v>0</v>
      </c>
      <c r="AK68" s="115">
        <f t="shared" si="83"/>
        <v>0</v>
      </c>
      <c r="AL68" s="115">
        <f t="shared" si="83"/>
        <v>0</v>
      </c>
      <c r="AM68" s="115">
        <f t="shared" si="83"/>
        <v>0</v>
      </c>
      <c r="AN68" s="115">
        <f t="shared" si="83"/>
        <v>0</v>
      </c>
      <c r="AO68" s="115">
        <f t="shared" si="83"/>
        <v>0</v>
      </c>
      <c r="AP68" s="115">
        <f t="shared" si="83"/>
        <v>0</v>
      </c>
      <c r="AQ68" s="115">
        <f t="shared" si="83"/>
        <v>0</v>
      </c>
      <c r="AR68" s="115">
        <f t="shared" si="83"/>
        <v>0</v>
      </c>
      <c r="AS68" s="115">
        <f t="shared" si="83"/>
        <v>0</v>
      </c>
      <c r="AT68" s="115">
        <f t="shared" si="84"/>
        <v>0</v>
      </c>
      <c r="AU68" s="115">
        <f t="shared" si="84"/>
        <v>0</v>
      </c>
      <c r="AV68" s="115" t="e">
        <f t="shared" si="84"/>
        <v>#VALUE!</v>
      </c>
      <c r="AW68" s="115" t="e">
        <f t="shared" si="84"/>
        <v>#VALUE!</v>
      </c>
      <c r="AX68" s="115" t="e">
        <f t="shared" si="84"/>
        <v>#VALUE!</v>
      </c>
      <c r="AY68" s="115" t="e">
        <f t="shared" si="84"/>
        <v>#VALUE!</v>
      </c>
      <c r="AZ68" s="115" t="e">
        <f t="shared" si="84"/>
        <v>#VALUE!</v>
      </c>
      <c r="BA68" s="115" t="e">
        <f t="shared" si="84"/>
        <v>#VALUE!</v>
      </c>
      <c r="BB68" s="115" t="e">
        <f t="shared" si="84"/>
        <v>#VALUE!</v>
      </c>
      <c r="BC68" s="115" t="e">
        <f t="shared" si="84"/>
        <v>#VALUE!</v>
      </c>
      <c r="BD68" s="115" t="e">
        <f t="shared" si="85"/>
        <v>#VALUE!</v>
      </c>
      <c r="BE68" s="115" t="e">
        <f t="shared" si="85"/>
        <v>#VALUE!</v>
      </c>
      <c r="BF68" s="115" t="e">
        <f t="shared" si="85"/>
        <v>#VALUE!</v>
      </c>
      <c r="BG68" s="115" t="e">
        <f t="shared" si="85"/>
        <v>#VALUE!</v>
      </c>
      <c r="BH68" s="115" t="e">
        <f t="shared" si="85"/>
        <v>#VALUE!</v>
      </c>
      <c r="BI68" s="115" t="e">
        <f t="shared" si="85"/>
        <v>#VALUE!</v>
      </c>
      <c r="BJ68" s="115" t="e">
        <f t="shared" si="85"/>
        <v>#VALUE!</v>
      </c>
      <c r="BK68" s="115" t="e">
        <f t="shared" si="85"/>
        <v>#VALUE!</v>
      </c>
      <c r="BL68" s="115" t="e">
        <f t="shared" si="85"/>
        <v>#VALUE!</v>
      </c>
      <c r="BM68" s="115" t="e">
        <f t="shared" si="85"/>
        <v>#VALUE!</v>
      </c>
      <c r="BN68" s="115" t="e">
        <f t="shared" si="86"/>
        <v>#VALUE!</v>
      </c>
      <c r="BO68" s="115" t="e">
        <f t="shared" si="86"/>
        <v>#VALUE!</v>
      </c>
      <c r="BP68" s="115" t="e">
        <f t="shared" si="86"/>
        <v>#VALUE!</v>
      </c>
      <c r="BQ68" s="115" t="e">
        <f t="shared" si="86"/>
        <v>#VALUE!</v>
      </c>
      <c r="BR68" s="115" t="e">
        <f t="shared" si="86"/>
        <v>#VALUE!</v>
      </c>
      <c r="BS68" s="115" t="e">
        <f t="shared" si="86"/>
        <v>#VALUE!</v>
      </c>
      <c r="BT68" s="115" t="e">
        <f t="shared" si="86"/>
        <v>#VALUE!</v>
      </c>
      <c r="BU68" s="115" t="e">
        <f t="shared" si="86"/>
        <v>#VALUE!</v>
      </c>
      <c r="BV68" s="115" t="e">
        <f t="shared" si="86"/>
        <v>#VALUE!</v>
      </c>
      <c r="BW68" s="115" t="e">
        <f t="shared" si="86"/>
        <v>#VALUE!</v>
      </c>
      <c r="BX68" s="115" t="e">
        <f t="shared" si="87"/>
        <v>#VALUE!</v>
      </c>
      <c r="BY68" s="115" t="e">
        <f t="shared" si="87"/>
        <v>#VALUE!</v>
      </c>
      <c r="BZ68" s="115" t="e">
        <f t="shared" si="87"/>
        <v>#VALUE!</v>
      </c>
      <c r="CA68" s="115" t="e">
        <f t="shared" si="87"/>
        <v>#VALUE!</v>
      </c>
      <c r="CB68" s="115" t="e">
        <f t="shared" si="87"/>
        <v>#VALUE!</v>
      </c>
      <c r="CC68" s="115" t="e">
        <f t="shared" si="87"/>
        <v>#VALUE!</v>
      </c>
      <c r="CD68" s="115" t="e">
        <f t="shared" si="87"/>
        <v>#VALUE!</v>
      </c>
      <c r="CE68" s="115" t="e">
        <f t="shared" si="87"/>
        <v>#VALUE!</v>
      </c>
      <c r="CF68" s="115" t="e">
        <f t="shared" si="87"/>
        <v>#VALUE!</v>
      </c>
      <c r="CG68" s="115" t="e">
        <f t="shared" si="87"/>
        <v>#VALUE!</v>
      </c>
      <c r="CH68" s="115" t="e">
        <f t="shared" si="88"/>
        <v>#VALUE!</v>
      </c>
      <c r="CI68" s="115" t="e">
        <f t="shared" si="88"/>
        <v>#VALUE!</v>
      </c>
      <c r="CJ68" s="115" t="e">
        <f t="shared" si="88"/>
        <v>#VALUE!</v>
      </c>
      <c r="CK68" s="115" t="e">
        <f t="shared" si="88"/>
        <v>#VALUE!</v>
      </c>
      <c r="CL68" s="115" t="e">
        <f t="shared" si="88"/>
        <v>#VALUE!</v>
      </c>
      <c r="CM68" s="115" t="e">
        <f t="shared" si="88"/>
        <v>#VALUE!</v>
      </c>
      <c r="CN68" s="115" t="e">
        <f t="shared" si="88"/>
        <v>#VALUE!</v>
      </c>
      <c r="CO68" s="115" t="e">
        <f t="shared" si="88"/>
        <v>#VALUE!</v>
      </c>
      <c r="CP68" s="115" t="e">
        <f t="shared" si="88"/>
        <v>#VALUE!</v>
      </c>
      <c r="CQ68" s="115" t="e">
        <f t="shared" si="88"/>
        <v>#VALUE!</v>
      </c>
      <c r="CR68" s="115" t="e">
        <f t="shared" si="89"/>
        <v>#VALUE!</v>
      </c>
      <c r="CS68" s="115" t="e">
        <f t="shared" si="89"/>
        <v>#VALUE!</v>
      </c>
      <c r="CT68" s="115" t="e">
        <f t="shared" si="89"/>
        <v>#VALUE!</v>
      </c>
      <c r="CU68" s="115" t="e">
        <f t="shared" si="89"/>
        <v>#VALUE!</v>
      </c>
      <c r="CV68" s="115" t="e">
        <f t="shared" si="89"/>
        <v>#VALUE!</v>
      </c>
      <c r="CW68" s="115" t="e">
        <f t="shared" si="89"/>
        <v>#VALUE!</v>
      </c>
      <c r="CX68" s="115" t="e">
        <f t="shared" si="89"/>
        <v>#VALUE!</v>
      </c>
      <c r="CY68" s="115" t="e">
        <f t="shared" si="89"/>
        <v>#VALUE!</v>
      </c>
      <c r="CZ68" s="115" t="e">
        <f t="shared" si="89"/>
        <v>#VALUE!</v>
      </c>
      <c r="DA68" s="115" t="e">
        <f t="shared" si="89"/>
        <v>#VALUE!</v>
      </c>
      <c r="DB68" s="115" t="e">
        <f t="shared" si="90"/>
        <v>#VALUE!</v>
      </c>
      <c r="DC68" s="115" t="e">
        <f t="shared" si="90"/>
        <v>#VALUE!</v>
      </c>
      <c r="DD68" s="115" t="e">
        <f t="shared" si="90"/>
        <v>#VALUE!</v>
      </c>
      <c r="DE68" s="115" t="e">
        <f t="shared" si="90"/>
        <v>#VALUE!</v>
      </c>
      <c r="DF68" s="115" t="e">
        <f t="shared" si="90"/>
        <v>#VALUE!</v>
      </c>
      <c r="DG68" s="115" t="e">
        <f t="shared" si="90"/>
        <v>#VALUE!</v>
      </c>
      <c r="DH68" s="115" t="e">
        <f t="shared" si="90"/>
        <v>#VALUE!</v>
      </c>
      <c r="DI68" s="115" t="e">
        <f t="shared" si="90"/>
        <v>#VALUE!</v>
      </c>
      <c r="DJ68" s="115" t="e">
        <f t="shared" si="90"/>
        <v>#VALUE!</v>
      </c>
      <c r="DK68" s="115" t="e">
        <f t="shared" si="90"/>
        <v>#VALUE!</v>
      </c>
      <c r="DL68" s="115" t="e">
        <f t="shared" si="90"/>
        <v>#VALUE!</v>
      </c>
      <c r="DM68" s="115" t="e">
        <f t="shared" si="90"/>
        <v>#VALUE!</v>
      </c>
    </row>
    <row r="69" spans="1:117" ht="15" customHeight="1" thickBot="1">
      <c r="A69" s="55">
        <v>5700</v>
      </c>
      <c r="B69" s="194" t="s">
        <v>728</v>
      </c>
      <c r="C69" s="194" t="s">
        <v>790</v>
      </c>
      <c r="D69" s="194" t="s">
        <v>791</v>
      </c>
      <c r="E69" s="194"/>
      <c r="F69" s="194"/>
      <c r="G69" s="291">
        <f t="shared" si="59"/>
        <v>0</v>
      </c>
      <c r="H69" s="292"/>
      <c r="I69" s="306"/>
      <c r="J69" s="194" t="s">
        <v>727</v>
      </c>
      <c r="K69" s="378">
        <v>1</v>
      </c>
      <c r="L69" s="379" t="s">
        <v>360</v>
      </c>
      <c r="M69" s="325">
        <f t="shared" si="60"/>
        <v>3.69</v>
      </c>
      <c r="N69" s="380">
        <f t="shared" si="61"/>
        <v>1.019567354965585</v>
      </c>
      <c r="O69" s="381">
        <f t="shared" si="81"/>
        <v>0</v>
      </c>
      <c r="P69" s="169" t="s">
        <v>103</v>
      </c>
      <c r="Q69" s="114">
        <f t="shared" si="81"/>
        <v>0</v>
      </c>
      <c r="R69" s="115">
        <f t="shared" si="81"/>
        <v>0</v>
      </c>
      <c r="S69" s="115">
        <f t="shared" si="81"/>
        <v>0</v>
      </c>
      <c r="T69" s="115">
        <f t="shared" si="81"/>
        <v>0</v>
      </c>
      <c r="U69" s="115">
        <f t="shared" si="81"/>
        <v>0</v>
      </c>
      <c r="V69" s="115">
        <f t="shared" si="81"/>
        <v>0</v>
      </c>
      <c r="W69" s="115">
        <f t="shared" si="81"/>
        <v>0</v>
      </c>
      <c r="X69" s="115">
        <f t="shared" si="81"/>
        <v>0</v>
      </c>
      <c r="Y69" s="115">
        <f t="shared" si="81"/>
        <v>0</v>
      </c>
      <c r="Z69" s="115">
        <f t="shared" si="82"/>
        <v>0</v>
      </c>
      <c r="AA69" s="115">
        <f t="shared" si="82"/>
        <v>0</v>
      </c>
      <c r="AB69" s="115">
        <f t="shared" si="82"/>
        <v>0</v>
      </c>
      <c r="AC69" s="115">
        <f t="shared" si="82"/>
        <v>0</v>
      </c>
      <c r="AD69" s="115">
        <f t="shared" si="82"/>
        <v>0</v>
      </c>
      <c r="AE69" s="115">
        <f t="shared" si="82"/>
        <v>0</v>
      </c>
      <c r="AF69" s="115">
        <f t="shared" si="82"/>
        <v>0</v>
      </c>
      <c r="AG69" s="115">
        <f t="shared" si="82"/>
        <v>0</v>
      </c>
      <c r="AH69" s="115">
        <f t="shared" si="82"/>
        <v>0</v>
      </c>
      <c r="AI69" s="115">
        <f t="shared" si="82"/>
        <v>0</v>
      </c>
      <c r="AJ69" s="115">
        <f t="shared" si="83"/>
        <v>0</v>
      </c>
      <c r="AK69" s="115">
        <f t="shared" si="83"/>
        <v>0</v>
      </c>
      <c r="AL69" s="115">
        <f t="shared" si="83"/>
        <v>0</v>
      </c>
      <c r="AM69" s="115">
        <f t="shared" si="83"/>
        <v>0</v>
      </c>
      <c r="AN69" s="115">
        <f t="shared" si="83"/>
        <v>0</v>
      </c>
      <c r="AO69" s="115">
        <f t="shared" si="83"/>
        <v>0</v>
      </c>
      <c r="AP69" s="115">
        <f t="shared" si="83"/>
        <v>0</v>
      </c>
      <c r="AQ69" s="115">
        <f t="shared" si="83"/>
        <v>0</v>
      </c>
      <c r="AR69" s="115">
        <f t="shared" si="83"/>
        <v>0</v>
      </c>
      <c r="AS69" s="115">
        <f t="shared" si="83"/>
        <v>0</v>
      </c>
      <c r="AT69" s="115">
        <f t="shared" si="84"/>
        <v>0</v>
      </c>
      <c r="AU69" s="115">
        <f t="shared" si="84"/>
        <v>0</v>
      </c>
      <c r="AV69" s="115" t="e">
        <f t="shared" si="84"/>
        <v>#VALUE!</v>
      </c>
      <c r="AW69" s="115" t="e">
        <f t="shared" si="84"/>
        <v>#VALUE!</v>
      </c>
      <c r="AX69" s="115" t="e">
        <f t="shared" si="84"/>
        <v>#VALUE!</v>
      </c>
      <c r="AY69" s="115" t="e">
        <f t="shared" si="84"/>
        <v>#VALUE!</v>
      </c>
      <c r="AZ69" s="115" t="e">
        <f t="shared" si="84"/>
        <v>#VALUE!</v>
      </c>
      <c r="BA69" s="115" t="e">
        <f t="shared" si="84"/>
        <v>#VALUE!</v>
      </c>
      <c r="BB69" s="115" t="e">
        <f t="shared" si="84"/>
        <v>#VALUE!</v>
      </c>
      <c r="BC69" s="115" t="e">
        <f t="shared" si="84"/>
        <v>#VALUE!</v>
      </c>
      <c r="BD69" s="115" t="e">
        <f t="shared" si="85"/>
        <v>#VALUE!</v>
      </c>
      <c r="BE69" s="115" t="e">
        <f t="shared" si="85"/>
        <v>#VALUE!</v>
      </c>
      <c r="BF69" s="115" t="e">
        <f t="shared" si="85"/>
        <v>#VALUE!</v>
      </c>
      <c r="BG69" s="115" t="e">
        <f t="shared" si="85"/>
        <v>#VALUE!</v>
      </c>
      <c r="BH69" s="115" t="e">
        <f t="shared" si="85"/>
        <v>#VALUE!</v>
      </c>
      <c r="BI69" s="115" t="e">
        <f t="shared" si="85"/>
        <v>#VALUE!</v>
      </c>
      <c r="BJ69" s="115" t="e">
        <f t="shared" si="85"/>
        <v>#VALUE!</v>
      </c>
      <c r="BK69" s="115" t="e">
        <f t="shared" si="85"/>
        <v>#VALUE!</v>
      </c>
      <c r="BL69" s="115" t="e">
        <f t="shared" si="85"/>
        <v>#VALUE!</v>
      </c>
      <c r="BM69" s="115" t="e">
        <f t="shared" si="85"/>
        <v>#VALUE!</v>
      </c>
      <c r="BN69" s="115" t="e">
        <f t="shared" si="86"/>
        <v>#VALUE!</v>
      </c>
      <c r="BO69" s="115" t="e">
        <f t="shared" si="86"/>
        <v>#VALUE!</v>
      </c>
      <c r="BP69" s="115" t="e">
        <f t="shared" si="86"/>
        <v>#VALUE!</v>
      </c>
      <c r="BQ69" s="115" t="e">
        <f t="shared" si="86"/>
        <v>#VALUE!</v>
      </c>
      <c r="BR69" s="115" t="e">
        <f t="shared" si="86"/>
        <v>#VALUE!</v>
      </c>
      <c r="BS69" s="115" t="e">
        <f t="shared" si="86"/>
        <v>#VALUE!</v>
      </c>
      <c r="BT69" s="115" t="e">
        <f t="shared" si="86"/>
        <v>#VALUE!</v>
      </c>
      <c r="BU69" s="115" t="e">
        <f t="shared" si="86"/>
        <v>#VALUE!</v>
      </c>
      <c r="BV69" s="115" t="e">
        <f t="shared" si="86"/>
        <v>#VALUE!</v>
      </c>
      <c r="BW69" s="115" t="e">
        <f t="shared" si="86"/>
        <v>#VALUE!</v>
      </c>
      <c r="BX69" s="115" t="e">
        <f t="shared" si="87"/>
        <v>#VALUE!</v>
      </c>
      <c r="BY69" s="115" t="e">
        <f t="shared" si="87"/>
        <v>#VALUE!</v>
      </c>
      <c r="BZ69" s="115" t="e">
        <f t="shared" si="87"/>
        <v>#VALUE!</v>
      </c>
      <c r="CA69" s="115" t="e">
        <f t="shared" si="87"/>
        <v>#VALUE!</v>
      </c>
      <c r="CB69" s="115" t="e">
        <f t="shared" si="87"/>
        <v>#VALUE!</v>
      </c>
      <c r="CC69" s="115" t="e">
        <f t="shared" si="87"/>
        <v>#VALUE!</v>
      </c>
      <c r="CD69" s="115" t="e">
        <f t="shared" si="87"/>
        <v>#VALUE!</v>
      </c>
      <c r="CE69" s="115" t="e">
        <f t="shared" si="87"/>
        <v>#VALUE!</v>
      </c>
      <c r="CF69" s="115" t="e">
        <f t="shared" si="87"/>
        <v>#VALUE!</v>
      </c>
      <c r="CG69" s="115" t="e">
        <f t="shared" si="87"/>
        <v>#VALUE!</v>
      </c>
      <c r="CH69" s="115" t="e">
        <f t="shared" si="88"/>
        <v>#VALUE!</v>
      </c>
      <c r="CI69" s="115" t="e">
        <f t="shared" si="88"/>
        <v>#VALUE!</v>
      </c>
      <c r="CJ69" s="115" t="e">
        <f t="shared" si="88"/>
        <v>#VALUE!</v>
      </c>
      <c r="CK69" s="115" t="e">
        <f t="shared" si="88"/>
        <v>#VALUE!</v>
      </c>
      <c r="CL69" s="115" t="e">
        <f t="shared" si="88"/>
        <v>#VALUE!</v>
      </c>
      <c r="CM69" s="115" t="e">
        <f t="shared" si="88"/>
        <v>#VALUE!</v>
      </c>
      <c r="CN69" s="115" t="e">
        <f t="shared" si="88"/>
        <v>#VALUE!</v>
      </c>
      <c r="CO69" s="115" t="e">
        <f t="shared" si="88"/>
        <v>#VALUE!</v>
      </c>
      <c r="CP69" s="115" t="e">
        <f t="shared" si="88"/>
        <v>#VALUE!</v>
      </c>
      <c r="CQ69" s="115" t="e">
        <f t="shared" si="88"/>
        <v>#VALUE!</v>
      </c>
      <c r="CR69" s="115" t="e">
        <f t="shared" si="89"/>
        <v>#VALUE!</v>
      </c>
      <c r="CS69" s="115" t="e">
        <f t="shared" si="89"/>
        <v>#VALUE!</v>
      </c>
      <c r="CT69" s="115" t="e">
        <f t="shared" si="89"/>
        <v>#VALUE!</v>
      </c>
      <c r="CU69" s="115" t="e">
        <f t="shared" si="89"/>
        <v>#VALUE!</v>
      </c>
      <c r="CV69" s="115" t="e">
        <f t="shared" si="89"/>
        <v>#VALUE!</v>
      </c>
      <c r="CW69" s="115" t="e">
        <f t="shared" si="89"/>
        <v>#VALUE!</v>
      </c>
      <c r="CX69" s="115" t="e">
        <f t="shared" si="89"/>
        <v>#VALUE!</v>
      </c>
      <c r="CY69" s="115" t="e">
        <f t="shared" si="89"/>
        <v>#VALUE!</v>
      </c>
      <c r="CZ69" s="115" t="e">
        <f t="shared" si="89"/>
        <v>#VALUE!</v>
      </c>
      <c r="DA69" s="115" t="e">
        <f t="shared" si="89"/>
        <v>#VALUE!</v>
      </c>
      <c r="DB69" s="115" t="e">
        <f t="shared" si="90"/>
        <v>#VALUE!</v>
      </c>
      <c r="DC69" s="115" t="e">
        <f t="shared" si="90"/>
        <v>#VALUE!</v>
      </c>
      <c r="DD69" s="115" t="e">
        <f t="shared" si="90"/>
        <v>#VALUE!</v>
      </c>
      <c r="DE69" s="115" t="e">
        <f t="shared" si="90"/>
        <v>#VALUE!</v>
      </c>
      <c r="DF69" s="115" t="e">
        <f t="shared" si="90"/>
        <v>#VALUE!</v>
      </c>
      <c r="DG69" s="115" t="e">
        <f t="shared" si="90"/>
        <v>#VALUE!</v>
      </c>
      <c r="DH69" s="115" t="e">
        <f t="shared" si="90"/>
        <v>#VALUE!</v>
      </c>
      <c r="DI69" s="115" t="e">
        <f t="shared" si="90"/>
        <v>#VALUE!</v>
      </c>
      <c r="DJ69" s="115" t="e">
        <f t="shared" si="90"/>
        <v>#VALUE!</v>
      </c>
      <c r="DK69" s="115" t="e">
        <f t="shared" si="90"/>
        <v>#VALUE!</v>
      </c>
      <c r="DL69" s="115" t="e">
        <f t="shared" si="90"/>
        <v>#VALUE!</v>
      </c>
      <c r="DM69" s="115" t="e">
        <f t="shared" si="90"/>
        <v>#VALUE!</v>
      </c>
    </row>
    <row r="70" spans="1:117" ht="15" customHeight="1">
      <c r="A70" s="293">
        <v>5900</v>
      </c>
      <c r="B70" s="172" t="s">
        <v>724</v>
      </c>
      <c r="C70" s="172" t="s">
        <v>792</v>
      </c>
      <c r="D70" s="172" t="s">
        <v>793</v>
      </c>
      <c r="E70" s="172"/>
      <c r="F70" s="172" t="s">
        <v>117</v>
      </c>
      <c r="G70" s="171">
        <f>SUM(G72:G75,G77:G79,G81:G85)</f>
        <v>0</v>
      </c>
      <c r="H70" s="171"/>
      <c r="I70" s="171"/>
      <c r="J70" s="172" t="s">
        <v>727</v>
      </c>
      <c r="K70" s="373"/>
      <c r="L70" s="172"/>
      <c r="M70" s="293"/>
      <c r="N70" s="293"/>
      <c r="O70" s="376">
        <f>SUM(O72:O75,O77:O79,O81:O85)</f>
        <v>0</v>
      </c>
      <c r="P70" s="377" t="s">
        <v>103</v>
      </c>
      <c r="Q70" s="116"/>
      <c r="R70" s="116"/>
      <c r="S70" s="116"/>
      <c r="T70" s="116"/>
      <c r="U70" s="116"/>
      <c r="V70" s="116"/>
      <c r="W70" s="116"/>
      <c r="X70" s="116"/>
      <c r="Y70" s="116"/>
      <c r="Z70" s="116"/>
      <c r="AA70" s="116"/>
      <c r="AB70" s="116"/>
      <c r="AC70" s="116"/>
      <c r="AD70" s="116"/>
      <c r="AE70" s="116"/>
      <c r="AF70" s="116"/>
      <c r="AG70" s="116"/>
      <c r="AH70" s="116"/>
      <c r="AI70" s="116"/>
      <c r="AJ70" s="116"/>
      <c r="AK70" s="116"/>
      <c r="AL70" s="116"/>
      <c r="AM70" s="116"/>
      <c r="AN70" s="116"/>
      <c r="AO70" s="116"/>
      <c r="AP70" s="116"/>
      <c r="AQ70" s="116"/>
      <c r="AR70" s="116"/>
      <c r="AS70" s="116"/>
      <c r="AT70" s="116"/>
      <c r="AU70" s="116"/>
      <c r="AV70" s="116"/>
      <c r="AW70" s="116"/>
      <c r="AX70" s="116"/>
      <c r="AY70" s="116"/>
      <c r="AZ70" s="116"/>
      <c r="BA70" s="116"/>
      <c r="BB70" s="116"/>
      <c r="BC70" s="116"/>
      <c r="BD70" s="116"/>
      <c r="BE70" s="116"/>
      <c r="BF70" s="116"/>
      <c r="BG70" s="116"/>
      <c r="BH70" s="116"/>
      <c r="BI70" s="116"/>
      <c r="BJ70" s="116"/>
      <c r="BK70" s="116"/>
      <c r="BL70" s="116"/>
      <c r="BM70" s="116"/>
      <c r="BN70" s="116"/>
      <c r="BO70" s="116"/>
      <c r="BP70" s="116"/>
      <c r="BQ70" s="116"/>
      <c r="BR70" s="116"/>
      <c r="BS70" s="116"/>
      <c r="BT70" s="116"/>
      <c r="BU70" s="116"/>
      <c r="BV70" s="116"/>
      <c r="BW70" s="116"/>
      <c r="BX70" s="116"/>
      <c r="BY70" s="116"/>
      <c r="BZ70" s="116"/>
      <c r="CA70" s="116"/>
      <c r="CB70" s="116"/>
      <c r="CC70" s="116"/>
      <c r="CD70" s="116"/>
      <c r="CE70" s="116"/>
      <c r="CF70" s="116"/>
      <c r="CG70" s="116"/>
      <c r="CH70" s="116"/>
      <c r="CI70" s="116"/>
      <c r="CJ70" s="116"/>
      <c r="CK70" s="116"/>
      <c r="CL70" s="116"/>
      <c r="CM70" s="116"/>
      <c r="CN70" s="116"/>
      <c r="CO70" s="116"/>
      <c r="CP70" s="116"/>
      <c r="CQ70" s="116"/>
      <c r="CR70" s="116"/>
      <c r="CS70" s="116"/>
      <c r="CT70" s="116"/>
      <c r="CU70" s="116"/>
      <c r="CV70" s="116"/>
      <c r="CW70" s="116"/>
      <c r="CX70" s="116"/>
      <c r="CY70" s="116"/>
      <c r="CZ70" s="116"/>
      <c r="DA70" s="116"/>
      <c r="DB70" s="116"/>
      <c r="DC70" s="116"/>
      <c r="DD70" s="116"/>
      <c r="DE70" s="116"/>
      <c r="DF70" s="116"/>
      <c r="DG70" s="116"/>
      <c r="DH70" s="116"/>
      <c r="DI70" s="116"/>
      <c r="DJ70" s="116"/>
      <c r="DK70" s="116"/>
      <c r="DL70" s="116"/>
      <c r="DM70" s="116"/>
    </row>
    <row r="71" spans="1:117" ht="15" customHeight="1" thickBot="1">
      <c r="A71" s="293">
        <v>6000</v>
      </c>
      <c r="B71" s="172" t="s">
        <v>743</v>
      </c>
      <c r="C71" s="172" t="s">
        <v>794</v>
      </c>
      <c r="D71" s="172" t="s">
        <v>520</v>
      </c>
      <c r="E71" s="172"/>
      <c r="F71" s="172" t="s">
        <v>117</v>
      </c>
      <c r="G71" s="171">
        <f>SUM(G72:G75)</f>
        <v>0</v>
      </c>
      <c r="H71" s="171"/>
      <c r="I71" s="171"/>
      <c r="J71" s="172" t="s">
        <v>727</v>
      </c>
      <c r="K71" s="373"/>
      <c r="L71" s="172"/>
      <c r="M71" s="293"/>
      <c r="N71" s="293"/>
      <c r="O71" s="376">
        <f>SUM(O72:O75)</f>
        <v>0</v>
      </c>
      <c r="P71" s="377" t="s">
        <v>103</v>
      </c>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c r="AU71" s="116"/>
      <c r="AV71" s="116"/>
      <c r="AW71" s="116"/>
      <c r="AX71" s="116"/>
      <c r="AY71" s="116"/>
      <c r="AZ71" s="116"/>
      <c r="BA71" s="116"/>
      <c r="BB71" s="116"/>
      <c r="BC71" s="116"/>
      <c r="BD71" s="116"/>
      <c r="BE71" s="116"/>
      <c r="BF71" s="116"/>
      <c r="BG71" s="116"/>
      <c r="BH71" s="116"/>
      <c r="BI71" s="116"/>
      <c r="BJ71" s="116"/>
      <c r="BK71" s="116"/>
      <c r="BL71" s="116"/>
      <c r="BM71" s="116"/>
      <c r="BN71" s="116"/>
      <c r="BO71" s="116"/>
      <c r="BP71" s="116"/>
      <c r="BQ71" s="116"/>
      <c r="BR71" s="116"/>
      <c r="BS71" s="116"/>
      <c r="BT71" s="116"/>
      <c r="BU71" s="116"/>
      <c r="BV71" s="116"/>
      <c r="BW71" s="116"/>
      <c r="BX71" s="116"/>
      <c r="BY71" s="116"/>
      <c r="BZ71" s="116"/>
      <c r="CA71" s="116"/>
      <c r="CB71" s="116"/>
      <c r="CC71" s="116"/>
      <c r="CD71" s="116"/>
      <c r="CE71" s="116"/>
      <c r="CF71" s="116"/>
      <c r="CG71" s="116"/>
      <c r="CH71" s="116"/>
      <c r="CI71" s="116"/>
      <c r="CJ71" s="116"/>
      <c r="CK71" s="116"/>
      <c r="CL71" s="116"/>
      <c r="CM71" s="116"/>
      <c r="CN71" s="116"/>
      <c r="CO71" s="116"/>
      <c r="CP71" s="116"/>
      <c r="CQ71" s="116"/>
      <c r="CR71" s="116"/>
      <c r="CS71" s="116"/>
      <c r="CT71" s="116"/>
      <c r="CU71" s="116"/>
      <c r="CV71" s="116"/>
      <c r="CW71" s="116"/>
      <c r="CX71" s="116"/>
      <c r="CY71" s="116"/>
      <c r="CZ71" s="116"/>
      <c r="DA71" s="116"/>
      <c r="DB71" s="116"/>
      <c r="DC71" s="116"/>
      <c r="DD71" s="116"/>
      <c r="DE71" s="116"/>
      <c r="DF71" s="116"/>
      <c r="DG71" s="116"/>
      <c r="DH71" s="116"/>
      <c r="DI71" s="116"/>
      <c r="DJ71" s="116"/>
      <c r="DK71" s="116"/>
      <c r="DL71" s="116"/>
      <c r="DM71" s="116"/>
    </row>
    <row r="72" spans="1:117" ht="15" customHeight="1" thickBot="1">
      <c r="A72" s="55">
        <v>6100</v>
      </c>
      <c r="B72" s="194" t="s">
        <v>728</v>
      </c>
      <c r="C72" s="194" t="s">
        <v>795</v>
      </c>
      <c r="D72" s="194" t="s">
        <v>796</v>
      </c>
      <c r="E72" s="194"/>
      <c r="F72" s="194" t="s">
        <v>528</v>
      </c>
      <c r="G72" s="291">
        <f t="shared" ref="G72:G75" si="91">IF(I72="",H72,I72)</f>
        <v>0</v>
      </c>
      <c r="H72" s="292">
        <f>VLOOKUP("RKBWa",Reinigung,5,0)</f>
        <v>0</v>
      </c>
      <c r="I72" s="168"/>
      <c r="J72" s="194" t="s">
        <v>727</v>
      </c>
      <c r="K72" s="378" t="s">
        <v>732</v>
      </c>
      <c r="L72" s="379" t="s">
        <v>359</v>
      </c>
      <c r="M72" s="325">
        <f>VLOOKUP(L72,Finanzielle_Parameter,5,0)</f>
        <v>2.25</v>
      </c>
      <c r="N72" s="380">
        <f>(1+VLOOKUP(L72,Finanzielle_Parameter,5,0)/100)/(1+VLOOKUP("R",Finanzielle_Parameter,5,0)/100)</f>
        <v>1.0054080629301869</v>
      </c>
      <c r="O72" s="381">
        <f t="shared" ref="O72:Y75" si="92">IF($N72&lt;&gt;1,$G72*($N72^$K72)*(($N72^($K72*INT(O$2/$K72))-1)/($N72^$K72-1)),$G72*INT(O$2/$K72))</f>
        <v>0</v>
      </c>
      <c r="P72" s="169" t="s">
        <v>103</v>
      </c>
      <c r="Q72" s="114">
        <f t="shared" si="92"/>
        <v>0</v>
      </c>
      <c r="R72" s="115">
        <f t="shared" si="92"/>
        <v>0</v>
      </c>
      <c r="S72" s="115">
        <f t="shared" si="92"/>
        <v>0</v>
      </c>
      <c r="T72" s="115">
        <f t="shared" si="92"/>
        <v>0</v>
      </c>
      <c r="U72" s="115">
        <f t="shared" si="92"/>
        <v>0</v>
      </c>
      <c r="V72" s="115">
        <f t="shared" si="92"/>
        <v>0</v>
      </c>
      <c r="W72" s="115">
        <f t="shared" si="92"/>
        <v>0</v>
      </c>
      <c r="X72" s="115">
        <f t="shared" si="92"/>
        <v>0</v>
      </c>
      <c r="Y72" s="115">
        <f t="shared" si="92"/>
        <v>0</v>
      </c>
      <c r="Z72" s="115">
        <f t="shared" ref="Z72:AI75" si="93">IF($N72&lt;&gt;1,$G72*($N72^$K72)*(($N72^($K72*INT(Z$2/$K72))-1)/($N72^$K72-1)),$G72*INT(Z$2/$K72))</f>
        <v>0</v>
      </c>
      <c r="AA72" s="115">
        <f t="shared" si="93"/>
        <v>0</v>
      </c>
      <c r="AB72" s="115">
        <f t="shared" si="93"/>
        <v>0</v>
      </c>
      <c r="AC72" s="115">
        <f t="shared" si="93"/>
        <v>0</v>
      </c>
      <c r="AD72" s="115">
        <f t="shared" si="93"/>
        <v>0</v>
      </c>
      <c r="AE72" s="115">
        <f t="shared" si="93"/>
        <v>0</v>
      </c>
      <c r="AF72" s="115">
        <f t="shared" si="93"/>
        <v>0</v>
      </c>
      <c r="AG72" s="115">
        <f t="shared" si="93"/>
        <v>0</v>
      </c>
      <c r="AH72" s="115">
        <f t="shared" si="93"/>
        <v>0</v>
      </c>
      <c r="AI72" s="115">
        <f t="shared" si="93"/>
        <v>0</v>
      </c>
      <c r="AJ72" s="115">
        <f t="shared" ref="AJ72:AS75" si="94">IF($N72&lt;&gt;1,$G72*($N72^$K72)*(($N72^($K72*INT(AJ$2/$K72))-1)/($N72^$K72-1)),$G72*INT(AJ$2/$K72))</f>
        <v>0</v>
      </c>
      <c r="AK72" s="115">
        <f t="shared" si="94"/>
        <v>0</v>
      </c>
      <c r="AL72" s="115">
        <f t="shared" si="94"/>
        <v>0</v>
      </c>
      <c r="AM72" s="115">
        <f t="shared" si="94"/>
        <v>0</v>
      </c>
      <c r="AN72" s="115">
        <f t="shared" si="94"/>
        <v>0</v>
      </c>
      <c r="AO72" s="115">
        <f t="shared" si="94"/>
        <v>0</v>
      </c>
      <c r="AP72" s="115">
        <f t="shared" si="94"/>
        <v>0</v>
      </c>
      <c r="AQ72" s="115">
        <f t="shared" si="94"/>
        <v>0</v>
      </c>
      <c r="AR72" s="115">
        <f t="shared" si="94"/>
        <v>0</v>
      </c>
      <c r="AS72" s="115">
        <f t="shared" si="94"/>
        <v>0</v>
      </c>
      <c r="AT72" s="115">
        <f t="shared" ref="AT72:BC75" si="95">IF($N72&lt;&gt;1,$G72*($N72^$K72)*(($N72^($K72*INT(AT$2/$K72))-1)/($N72^$K72-1)),$G72*INT(AT$2/$K72))</f>
        <v>0</v>
      </c>
      <c r="AU72" s="115">
        <f t="shared" si="95"/>
        <v>0</v>
      </c>
      <c r="AV72" s="115" t="e">
        <f t="shared" si="95"/>
        <v>#VALUE!</v>
      </c>
      <c r="AW72" s="115" t="e">
        <f t="shared" si="95"/>
        <v>#VALUE!</v>
      </c>
      <c r="AX72" s="115" t="e">
        <f t="shared" si="95"/>
        <v>#VALUE!</v>
      </c>
      <c r="AY72" s="115" t="e">
        <f t="shared" si="95"/>
        <v>#VALUE!</v>
      </c>
      <c r="AZ72" s="115" t="e">
        <f t="shared" si="95"/>
        <v>#VALUE!</v>
      </c>
      <c r="BA72" s="115" t="e">
        <f t="shared" si="95"/>
        <v>#VALUE!</v>
      </c>
      <c r="BB72" s="115" t="e">
        <f t="shared" si="95"/>
        <v>#VALUE!</v>
      </c>
      <c r="BC72" s="115" t="e">
        <f t="shared" si="95"/>
        <v>#VALUE!</v>
      </c>
      <c r="BD72" s="115" t="e">
        <f t="shared" ref="BD72:BM75" si="96">IF($N72&lt;&gt;1,$G72*($N72^$K72)*(($N72^($K72*INT(BD$2/$K72))-1)/($N72^$K72-1)),$G72*INT(BD$2/$K72))</f>
        <v>#VALUE!</v>
      </c>
      <c r="BE72" s="115" t="e">
        <f t="shared" si="96"/>
        <v>#VALUE!</v>
      </c>
      <c r="BF72" s="115" t="e">
        <f t="shared" si="96"/>
        <v>#VALUE!</v>
      </c>
      <c r="BG72" s="115" t="e">
        <f t="shared" si="96"/>
        <v>#VALUE!</v>
      </c>
      <c r="BH72" s="115" t="e">
        <f t="shared" si="96"/>
        <v>#VALUE!</v>
      </c>
      <c r="BI72" s="115" t="e">
        <f t="shared" si="96"/>
        <v>#VALUE!</v>
      </c>
      <c r="BJ72" s="115" t="e">
        <f t="shared" si="96"/>
        <v>#VALUE!</v>
      </c>
      <c r="BK72" s="115" t="e">
        <f t="shared" si="96"/>
        <v>#VALUE!</v>
      </c>
      <c r="BL72" s="115" t="e">
        <f t="shared" si="96"/>
        <v>#VALUE!</v>
      </c>
      <c r="BM72" s="115" t="e">
        <f t="shared" si="96"/>
        <v>#VALUE!</v>
      </c>
      <c r="BN72" s="115" t="e">
        <f t="shared" ref="BN72:BW75" si="97">IF($N72&lt;&gt;1,$G72*($N72^$K72)*(($N72^($K72*INT(BN$2/$K72))-1)/($N72^$K72-1)),$G72*INT(BN$2/$K72))</f>
        <v>#VALUE!</v>
      </c>
      <c r="BO72" s="115" t="e">
        <f t="shared" si="97"/>
        <v>#VALUE!</v>
      </c>
      <c r="BP72" s="115" t="e">
        <f t="shared" si="97"/>
        <v>#VALUE!</v>
      </c>
      <c r="BQ72" s="115" t="e">
        <f t="shared" si="97"/>
        <v>#VALUE!</v>
      </c>
      <c r="BR72" s="115" t="e">
        <f t="shared" si="97"/>
        <v>#VALUE!</v>
      </c>
      <c r="BS72" s="115" t="e">
        <f t="shared" si="97"/>
        <v>#VALUE!</v>
      </c>
      <c r="BT72" s="115" t="e">
        <f t="shared" si="97"/>
        <v>#VALUE!</v>
      </c>
      <c r="BU72" s="115" t="e">
        <f t="shared" si="97"/>
        <v>#VALUE!</v>
      </c>
      <c r="BV72" s="115" t="e">
        <f t="shared" si="97"/>
        <v>#VALUE!</v>
      </c>
      <c r="BW72" s="115" t="e">
        <f t="shared" si="97"/>
        <v>#VALUE!</v>
      </c>
      <c r="BX72" s="115" t="e">
        <f t="shared" ref="BX72:CG75" si="98">IF($N72&lt;&gt;1,$G72*($N72^$K72)*(($N72^($K72*INT(BX$2/$K72))-1)/($N72^$K72-1)),$G72*INT(BX$2/$K72))</f>
        <v>#VALUE!</v>
      </c>
      <c r="BY72" s="115" t="e">
        <f t="shared" si="98"/>
        <v>#VALUE!</v>
      </c>
      <c r="BZ72" s="115" t="e">
        <f t="shared" si="98"/>
        <v>#VALUE!</v>
      </c>
      <c r="CA72" s="115" t="e">
        <f t="shared" si="98"/>
        <v>#VALUE!</v>
      </c>
      <c r="CB72" s="115" t="e">
        <f t="shared" si="98"/>
        <v>#VALUE!</v>
      </c>
      <c r="CC72" s="115" t="e">
        <f t="shared" si="98"/>
        <v>#VALUE!</v>
      </c>
      <c r="CD72" s="115" t="e">
        <f t="shared" si="98"/>
        <v>#VALUE!</v>
      </c>
      <c r="CE72" s="115" t="e">
        <f t="shared" si="98"/>
        <v>#VALUE!</v>
      </c>
      <c r="CF72" s="115" t="e">
        <f t="shared" si="98"/>
        <v>#VALUE!</v>
      </c>
      <c r="CG72" s="115" t="e">
        <f t="shared" si="98"/>
        <v>#VALUE!</v>
      </c>
      <c r="CH72" s="115" t="e">
        <f t="shared" ref="CH72:CQ75" si="99">IF($N72&lt;&gt;1,$G72*($N72^$K72)*(($N72^($K72*INT(CH$2/$K72))-1)/($N72^$K72-1)),$G72*INT(CH$2/$K72))</f>
        <v>#VALUE!</v>
      </c>
      <c r="CI72" s="115" t="e">
        <f t="shared" si="99"/>
        <v>#VALUE!</v>
      </c>
      <c r="CJ72" s="115" t="e">
        <f t="shared" si="99"/>
        <v>#VALUE!</v>
      </c>
      <c r="CK72" s="115" t="e">
        <f t="shared" si="99"/>
        <v>#VALUE!</v>
      </c>
      <c r="CL72" s="115" t="e">
        <f t="shared" si="99"/>
        <v>#VALUE!</v>
      </c>
      <c r="CM72" s="115" t="e">
        <f t="shared" si="99"/>
        <v>#VALUE!</v>
      </c>
      <c r="CN72" s="115" t="e">
        <f t="shared" si="99"/>
        <v>#VALUE!</v>
      </c>
      <c r="CO72" s="115" t="e">
        <f t="shared" si="99"/>
        <v>#VALUE!</v>
      </c>
      <c r="CP72" s="115" t="e">
        <f t="shared" si="99"/>
        <v>#VALUE!</v>
      </c>
      <c r="CQ72" s="115" t="e">
        <f t="shared" si="99"/>
        <v>#VALUE!</v>
      </c>
      <c r="CR72" s="115" t="e">
        <f t="shared" ref="CR72:DA75" si="100">IF($N72&lt;&gt;1,$G72*($N72^$K72)*(($N72^($K72*INT(CR$2/$K72))-1)/($N72^$K72-1)),$G72*INT(CR$2/$K72))</f>
        <v>#VALUE!</v>
      </c>
      <c r="CS72" s="115" t="e">
        <f t="shared" si="100"/>
        <v>#VALUE!</v>
      </c>
      <c r="CT72" s="115" t="e">
        <f t="shared" si="100"/>
        <v>#VALUE!</v>
      </c>
      <c r="CU72" s="115" t="e">
        <f t="shared" si="100"/>
        <v>#VALUE!</v>
      </c>
      <c r="CV72" s="115" t="e">
        <f t="shared" si="100"/>
        <v>#VALUE!</v>
      </c>
      <c r="CW72" s="115" t="e">
        <f t="shared" si="100"/>
        <v>#VALUE!</v>
      </c>
      <c r="CX72" s="115" t="e">
        <f t="shared" si="100"/>
        <v>#VALUE!</v>
      </c>
      <c r="CY72" s="115" t="e">
        <f t="shared" si="100"/>
        <v>#VALUE!</v>
      </c>
      <c r="CZ72" s="115" t="e">
        <f t="shared" si="100"/>
        <v>#VALUE!</v>
      </c>
      <c r="DA72" s="115" t="e">
        <f t="shared" si="100"/>
        <v>#VALUE!</v>
      </c>
      <c r="DB72" s="115" t="e">
        <f t="shared" ref="DB72:DM75" si="101">IF($N72&lt;&gt;1,$G72*($N72^$K72)*(($N72^($K72*INT(DB$2/$K72))-1)/($N72^$K72-1)),$G72*INT(DB$2/$K72))</f>
        <v>#VALUE!</v>
      </c>
      <c r="DC72" s="115" t="e">
        <f t="shared" si="101"/>
        <v>#VALUE!</v>
      </c>
      <c r="DD72" s="115" t="e">
        <f t="shared" si="101"/>
        <v>#VALUE!</v>
      </c>
      <c r="DE72" s="115" t="e">
        <f t="shared" si="101"/>
        <v>#VALUE!</v>
      </c>
      <c r="DF72" s="115" t="e">
        <f t="shared" si="101"/>
        <v>#VALUE!</v>
      </c>
      <c r="DG72" s="115" t="e">
        <f t="shared" si="101"/>
        <v>#VALUE!</v>
      </c>
      <c r="DH72" s="115" t="e">
        <f t="shared" si="101"/>
        <v>#VALUE!</v>
      </c>
      <c r="DI72" s="115" t="e">
        <f t="shared" si="101"/>
        <v>#VALUE!</v>
      </c>
      <c r="DJ72" s="115" t="e">
        <f t="shared" si="101"/>
        <v>#VALUE!</v>
      </c>
      <c r="DK72" s="115" t="e">
        <f t="shared" si="101"/>
        <v>#VALUE!</v>
      </c>
      <c r="DL72" s="115" t="e">
        <f t="shared" si="101"/>
        <v>#VALUE!</v>
      </c>
      <c r="DM72" s="115" t="e">
        <f t="shared" si="101"/>
        <v>#VALUE!</v>
      </c>
    </row>
    <row r="73" spans="1:117" ht="15" customHeight="1" thickBot="1">
      <c r="A73" s="55">
        <v>6200</v>
      </c>
      <c r="B73" s="194" t="s">
        <v>728</v>
      </c>
      <c r="C73" s="194" t="s">
        <v>797</v>
      </c>
      <c r="D73" s="194" t="s">
        <v>798</v>
      </c>
      <c r="E73" s="194"/>
      <c r="F73" s="194" t="s">
        <v>543</v>
      </c>
      <c r="G73" s="291">
        <f t="shared" si="91"/>
        <v>0</v>
      </c>
      <c r="H73" s="292">
        <f>VLOOKUP("RKSANta",Reinigung,5,0)</f>
        <v>0</v>
      </c>
      <c r="I73" s="168"/>
      <c r="J73" s="194" t="s">
        <v>727</v>
      </c>
      <c r="K73" s="378" t="s">
        <v>732</v>
      </c>
      <c r="L73" s="379" t="s">
        <v>359</v>
      </c>
      <c r="M73" s="325">
        <f>VLOOKUP(L73,Finanzielle_Parameter,5,0)</f>
        <v>2.25</v>
      </c>
      <c r="N73" s="380">
        <f>(1+VLOOKUP(L73,Finanzielle_Parameter,5,0)/100)/(1+VLOOKUP("R",Finanzielle_Parameter,5,0)/100)</f>
        <v>1.0054080629301869</v>
      </c>
      <c r="O73" s="381">
        <f t="shared" si="92"/>
        <v>0</v>
      </c>
      <c r="P73" s="169" t="s">
        <v>103</v>
      </c>
      <c r="Q73" s="114">
        <f t="shared" si="92"/>
        <v>0</v>
      </c>
      <c r="R73" s="115">
        <f t="shared" si="92"/>
        <v>0</v>
      </c>
      <c r="S73" s="115">
        <f t="shared" si="92"/>
        <v>0</v>
      </c>
      <c r="T73" s="115">
        <f t="shared" si="92"/>
        <v>0</v>
      </c>
      <c r="U73" s="115">
        <f t="shared" si="92"/>
        <v>0</v>
      </c>
      <c r="V73" s="115">
        <f t="shared" si="92"/>
        <v>0</v>
      </c>
      <c r="W73" s="115">
        <f t="shared" si="92"/>
        <v>0</v>
      </c>
      <c r="X73" s="115">
        <f t="shared" si="92"/>
        <v>0</v>
      </c>
      <c r="Y73" s="115">
        <f t="shared" si="92"/>
        <v>0</v>
      </c>
      <c r="Z73" s="115">
        <f t="shared" si="93"/>
        <v>0</v>
      </c>
      <c r="AA73" s="115">
        <f t="shared" si="93"/>
        <v>0</v>
      </c>
      <c r="AB73" s="115">
        <f t="shared" si="93"/>
        <v>0</v>
      </c>
      <c r="AC73" s="115">
        <f t="shared" si="93"/>
        <v>0</v>
      </c>
      <c r="AD73" s="115">
        <f t="shared" si="93"/>
        <v>0</v>
      </c>
      <c r="AE73" s="115">
        <f t="shared" si="93"/>
        <v>0</v>
      </c>
      <c r="AF73" s="115">
        <f t="shared" si="93"/>
        <v>0</v>
      </c>
      <c r="AG73" s="115">
        <f t="shared" si="93"/>
        <v>0</v>
      </c>
      <c r="AH73" s="115">
        <f t="shared" si="93"/>
        <v>0</v>
      </c>
      <c r="AI73" s="115">
        <f t="shared" si="93"/>
        <v>0</v>
      </c>
      <c r="AJ73" s="115">
        <f t="shared" si="94"/>
        <v>0</v>
      </c>
      <c r="AK73" s="115">
        <f t="shared" si="94"/>
        <v>0</v>
      </c>
      <c r="AL73" s="115">
        <f t="shared" si="94"/>
        <v>0</v>
      </c>
      <c r="AM73" s="115">
        <f t="shared" si="94"/>
        <v>0</v>
      </c>
      <c r="AN73" s="115">
        <f t="shared" si="94"/>
        <v>0</v>
      </c>
      <c r="AO73" s="115">
        <f t="shared" si="94"/>
        <v>0</v>
      </c>
      <c r="AP73" s="115">
        <f t="shared" si="94"/>
        <v>0</v>
      </c>
      <c r="AQ73" s="115">
        <f t="shared" si="94"/>
        <v>0</v>
      </c>
      <c r="AR73" s="115">
        <f t="shared" si="94"/>
        <v>0</v>
      </c>
      <c r="AS73" s="115">
        <f t="shared" si="94"/>
        <v>0</v>
      </c>
      <c r="AT73" s="115">
        <f t="shared" si="95"/>
        <v>0</v>
      </c>
      <c r="AU73" s="115">
        <f t="shared" si="95"/>
        <v>0</v>
      </c>
      <c r="AV73" s="115" t="e">
        <f t="shared" si="95"/>
        <v>#VALUE!</v>
      </c>
      <c r="AW73" s="115" t="e">
        <f t="shared" si="95"/>
        <v>#VALUE!</v>
      </c>
      <c r="AX73" s="115" t="e">
        <f t="shared" si="95"/>
        <v>#VALUE!</v>
      </c>
      <c r="AY73" s="115" t="e">
        <f t="shared" si="95"/>
        <v>#VALUE!</v>
      </c>
      <c r="AZ73" s="115" t="e">
        <f t="shared" si="95"/>
        <v>#VALUE!</v>
      </c>
      <c r="BA73" s="115" t="e">
        <f t="shared" si="95"/>
        <v>#VALUE!</v>
      </c>
      <c r="BB73" s="115" t="e">
        <f t="shared" si="95"/>
        <v>#VALUE!</v>
      </c>
      <c r="BC73" s="115" t="e">
        <f t="shared" si="95"/>
        <v>#VALUE!</v>
      </c>
      <c r="BD73" s="115" t="e">
        <f t="shared" si="96"/>
        <v>#VALUE!</v>
      </c>
      <c r="BE73" s="115" t="e">
        <f t="shared" si="96"/>
        <v>#VALUE!</v>
      </c>
      <c r="BF73" s="115" t="e">
        <f t="shared" si="96"/>
        <v>#VALUE!</v>
      </c>
      <c r="BG73" s="115" t="e">
        <f t="shared" si="96"/>
        <v>#VALUE!</v>
      </c>
      <c r="BH73" s="115" t="e">
        <f t="shared" si="96"/>
        <v>#VALUE!</v>
      </c>
      <c r="BI73" s="115" t="e">
        <f t="shared" si="96"/>
        <v>#VALUE!</v>
      </c>
      <c r="BJ73" s="115" t="e">
        <f t="shared" si="96"/>
        <v>#VALUE!</v>
      </c>
      <c r="BK73" s="115" t="e">
        <f t="shared" si="96"/>
        <v>#VALUE!</v>
      </c>
      <c r="BL73" s="115" t="e">
        <f t="shared" si="96"/>
        <v>#VALUE!</v>
      </c>
      <c r="BM73" s="115" t="e">
        <f t="shared" si="96"/>
        <v>#VALUE!</v>
      </c>
      <c r="BN73" s="115" t="e">
        <f t="shared" si="97"/>
        <v>#VALUE!</v>
      </c>
      <c r="BO73" s="115" t="e">
        <f t="shared" si="97"/>
        <v>#VALUE!</v>
      </c>
      <c r="BP73" s="115" t="e">
        <f t="shared" si="97"/>
        <v>#VALUE!</v>
      </c>
      <c r="BQ73" s="115" t="e">
        <f t="shared" si="97"/>
        <v>#VALUE!</v>
      </c>
      <c r="BR73" s="115" t="e">
        <f t="shared" si="97"/>
        <v>#VALUE!</v>
      </c>
      <c r="BS73" s="115" t="e">
        <f t="shared" si="97"/>
        <v>#VALUE!</v>
      </c>
      <c r="BT73" s="115" t="e">
        <f t="shared" si="97"/>
        <v>#VALUE!</v>
      </c>
      <c r="BU73" s="115" t="e">
        <f t="shared" si="97"/>
        <v>#VALUE!</v>
      </c>
      <c r="BV73" s="115" t="e">
        <f t="shared" si="97"/>
        <v>#VALUE!</v>
      </c>
      <c r="BW73" s="115" t="e">
        <f t="shared" si="97"/>
        <v>#VALUE!</v>
      </c>
      <c r="BX73" s="115" t="e">
        <f t="shared" si="98"/>
        <v>#VALUE!</v>
      </c>
      <c r="BY73" s="115" t="e">
        <f t="shared" si="98"/>
        <v>#VALUE!</v>
      </c>
      <c r="BZ73" s="115" t="e">
        <f t="shared" si="98"/>
        <v>#VALUE!</v>
      </c>
      <c r="CA73" s="115" t="e">
        <f t="shared" si="98"/>
        <v>#VALUE!</v>
      </c>
      <c r="CB73" s="115" t="e">
        <f t="shared" si="98"/>
        <v>#VALUE!</v>
      </c>
      <c r="CC73" s="115" t="e">
        <f t="shared" si="98"/>
        <v>#VALUE!</v>
      </c>
      <c r="CD73" s="115" t="e">
        <f t="shared" si="98"/>
        <v>#VALUE!</v>
      </c>
      <c r="CE73" s="115" t="e">
        <f t="shared" si="98"/>
        <v>#VALUE!</v>
      </c>
      <c r="CF73" s="115" t="e">
        <f t="shared" si="98"/>
        <v>#VALUE!</v>
      </c>
      <c r="CG73" s="115" t="e">
        <f t="shared" si="98"/>
        <v>#VALUE!</v>
      </c>
      <c r="CH73" s="115" t="e">
        <f t="shared" si="99"/>
        <v>#VALUE!</v>
      </c>
      <c r="CI73" s="115" t="e">
        <f t="shared" si="99"/>
        <v>#VALUE!</v>
      </c>
      <c r="CJ73" s="115" t="e">
        <f t="shared" si="99"/>
        <v>#VALUE!</v>
      </c>
      <c r="CK73" s="115" t="e">
        <f t="shared" si="99"/>
        <v>#VALUE!</v>
      </c>
      <c r="CL73" s="115" t="e">
        <f t="shared" si="99"/>
        <v>#VALUE!</v>
      </c>
      <c r="CM73" s="115" t="e">
        <f t="shared" si="99"/>
        <v>#VALUE!</v>
      </c>
      <c r="CN73" s="115" t="e">
        <f t="shared" si="99"/>
        <v>#VALUE!</v>
      </c>
      <c r="CO73" s="115" t="e">
        <f t="shared" si="99"/>
        <v>#VALUE!</v>
      </c>
      <c r="CP73" s="115" t="e">
        <f t="shared" si="99"/>
        <v>#VALUE!</v>
      </c>
      <c r="CQ73" s="115" t="e">
        <f t="shared" si="99"/>
        <v>#VALUE!</v>
      </c>
      <c r="CR73" s="115" t="e">
        <f t="shared" si="100"/>
        <v>#VALUE!</v>
      </c>
      <c r="CS73" s="115" t="e">
        <f t="shared" si="100"/>
        <v>#VALUE!</v>
      </c>
      <c r="CT73" s="115" t="e">
        <f t="shared" si="100"/>
        <v>#VALUE!</v>
      </c>
      <c r="CU73" s="115" t="e">
        <f t="shared" si="100"/>
        <v>#VALUE!</v>
      </c>
      <c r="CV73" s="115" t="e">
        <f t="shared" si="100"/>
        <v>#VALUE!</v>
      </c>
      <c r="CW73" s="115" t="e">
        <f t="shared" si="100"/>
        <v>#VALUE!</v>
      </c>
      <c r="CX73" s="115" t="e">
        <f t="shared" si="100"/>
        <v>#VALUE!</v>
      </c>
      <c r="CY73" s="115" t="e">
        <f t="shared" si="100"/>
        <v>#VALUE!</v>
      </c>
      <c r="CZ73" s="115" t="e">
        <f t="shared" si="100"/>
        <v>#VALUE!</v>
      </c>
      <c r="DA73" s="115" t="e">
        <f t="shared" si="100"/>
        <v>#VALUE!</v>
      </c>
      <c r="DB73" s="115" t="e">
        <f t="shared" si="101"/>
        <v>#VALUE!</v>
      </c>
      <c r="DC73" s="115" t="e">
        <f t="shared" si="101"/>
        <v>#VALUE!</v>
      </c>
      <c r="DD73" s="115" t="e">
        <f t="shared" si="101"/>
        <v>#VALUE!</v>
      </c>
      <c r="DE73" s="115" t="e">
        <f t="shared" si="101"/>
        <v>#VALUE!</v>
      </c>
      <c r="DF73" s="115" t="e">
        <f t="shared" si="101"/>
        <v>#VALUE!</v>
      </c>
      <c r="DG73" s="115" t="e">
        <f t="shared" si="101"/>
        <v>#VALUE!</v>
      </c>
      <c r="DH73" s="115" t="e">
        <f t="shared" si="101"/>
        <v>#VALUE!</v>
      </c>
      <c r="DI73" s="115" t="e">
        <f t="shared" si="101"/>
        <v>#VALUE!</v>
      </c>
      <c r="DJ73" s="115" t="e">
        <f t="shared" si="101"/>
        <v>#VALUE!</v>
      </c>
      <c r="DK73" s="115" t="e">
        <f t="shared" si="101"/>
        <v>#VALUE!</v>
      </c>
      <c r="DL73" s="115" t="e">
        <f t="shared" si="101"/>
        <v>#VALUE!</v>
      </c>
      <c r="DM73" s="115" t="e">
        <f t="shared" si="101"/>
        <v>#VALUE!</v>
      </c>
    </row>
    <row r="74" spans="1:117" ht="15" customHeight="1" thickBot="1">
      <c r="A74" s="55">
        <v>6300</v>
      </c>
      <c r="B74" s="194" t="s">
        <v>728</v>
      </c>
      <c r="C74" s="194" t="s">
        <v>799</v>
      </c>
      <c r="D74" s="194" t="s">
        <v>800</v>
      </c>
      <c r="E74" s="194"/>
      <c r="F74" s="194" t="s">
        <v>560</v>
      </c>
      <c r="G74" s="291">
        <f t="shared" si="91"/>
        <v>0</v>
      </c>
      <c r="H74" s="292">
        <f>VLOOKUP("RKGSTa",Reinigung,5,0)</f>
        <v>0</v>
      </c>
      <c r="I74" s="168"/>
      <c r="J74" s="194" t="s">
        <v>727</v>
      </c>
      <c r="K74" s="378">
        <v>1</v>
      </c>
      <c r="L74" s="379" t="s">
        <v>359</v>
      </c>
      <c r="M74" s="325">
        <f>VLOOKUP(L74,Finanzielle_Parameter,5,0)</f>
        <v>2.25</v>
      </c>
      <c r="N74" s="380">
        <f>(1+VLOOKUP(L74,Finanzielle_Parameter,5,0)/100)/(1+VLOOKUP("R",Finanzielle_Parameter,5,0)/100)</f>
        <v>1.0054080629301869</v>
      </c>
      <c r="O74" s="381">
        <f t="shared" si="92"/>
        <v>0</v>
      </c>
      <c r="P74" s="169" t="s">
        <v>103</v>
      </c>
      <c r="Q74" s="114">
        <f t="shared" si="92"/>
        <v>0</v>
      </c>
      <c r="R74" s="115">
        <f t="shared" si="92"/>
        <v>0</v>
      </c>
      <c r="S74" s="115">
        <f t="shared" si="92"/>
        <v>0</v>
      </c>
      <c r="T74" s="115">
        <f t="shared" si="92"/>
        <v>0</v>
      </c>
      <c r="U74" s="115">
        <f t="shared" si="92"/>
        <v>0</v>
      </c>
      <c r="V74" s="115">
        <f t="shared" si="92"/>
        <v>0</v>
      </c>
      <c r="W74" s="115">
        <f t="shared" si="92"/>
        <v>0</v>
      </c>
      <c r="X74" s="115">
        <f t="shared" si="92"/>
        <v>0</v>
      </c>
      <c r="Y74" s="115">
        <f t="shared" si="92"/>
        <v>0</v>
      </c>
      <c r="Z74" s="115">
        <f t="shared" si="93"/>
        <v>0</v>
      </c>
      <c r="AA74" s="115">
        <f t="shared" si="93"/>
        <v>0</v>
      </c>
      <c r="AB74" s="115">
        <f t="shared" si="93"/>
        <v>0</v>
      </c>
      <c r="AC74" s="115">
        <f t="shared" si="93"/>
        <v>0</v>
      </c>
      <c r="AD74" s="115">
        <f t="shared" si="93"/>
        <v>0</v>
      </c>
      <c r="AE74" s="115">
        <f t="shared" si="93"/>
        <v>0</v>
      </c>
      <c r="AF74" s="115">
        <f t="shared" si="93"/>
        <v>0</v>
      </c>
      <c r="AG74" s="115">
        <f t="shared" si="93"/>
        <v>0</v>
      </c>
      <c r="AH74" s="115">
        <f t="shared" si="93"/>
        <v>0</v>
      </c>
      <c r="AI74" s="115">
        <f t="shared" si="93"/>
        <v>0</v>
      </c>
      <c r="AJ74" s="115">
        <f t="shared" si="94"/>
        <v>0</v>
      </c>
      <c r="AK74" s="115">
        <f t="shared" si="94"/>
        <v>0</v>
      </c>
      <c r="AL74" s="115">
        <f t="shared" si="94"/>
        <v>0</v>
      </c>
      <c r="AM74" s="115">
        <f t="shared" si="94"/>
        <v>0</v>
      </c>
      <c r="AN74" s="115">
        <f t="shared" si="94"/>
        <v>0</v>
      </c>
      <c r="AO74" s="115">
        <f t="shared" si="94"/>
        <v>0</v>
      </c>
      <c r="AP74" s="115">
        <f t="shared" si="94"/>
        <v>0</v>
      </c>
      <c r="AQ74" s="115">
        <f t="shared" si="94"/>
        <v>0</v>
      </c>
      <c r="AR74" s="115">
        <f t="shared" si="94"/>
        <v>0</v>
      </c>
      <c r="AS74" s="115">
        <f t="shared" si="94"/>
        <v>0</v>
      </c>
      <c r="AT74" s="115">
        <f t="shared" si="95"/>
        <v>0</v>
      </c>
      <c r="AU74" s="115">
        <f t="shared" si="95"/>
        <v>0</v>
      </c>
      <c r="AV74" s="115" t="e">
        <f t="shared" si="95"/>
        <v>#VALUE!</v>
      </c>
      <c r="AW74" s="115" t="e">
        <f t="shared" si="95"/>
        <v>#VALUE!</v>
      </c>
      <c r="AX74" s="115" t="e">
        <f t="shared" si="95"/>
        <v>#VALUE!</v>
      </c>
      <c r="AY74" s="115" t="e">
        <f t="shared" si="95"/>
        <v>#VALUE!</v>
      </c>
      <c r="AZ74" s="115" t="e">
        <f t="shared" si="95"/>
        <v>#VALUE!</v>
      </c>
      <c r="BA74" s="115" t="e">
        <f t="shared" si="95"/>
        <v>#VALUE!</v>
      </c>
      <c r="BB74" s="115" t="e">
        <f t="shared" si="95"/>
        <v>#VALUE!</v>
      </c>
      <c r="BC74" s="115" t="e">
        <f t="shared" si="95"/>
        <v>#VALUE!</v>
      </c>
      <c r="BD74" s="115" t="e">
        <f t="shared" si="96"/>
        <v>#VALUE!</v>
      </c>
      <c r="BE74" s="115" t="e">
        <f t="shared" si="96"/>
        <v>#VALUE!</v>
      </c>
      <c r="BF74" s="115" t="e">
        <f t="shared" si="96"/>
        <v>#VALUE!</v>
      </c>
      <c r="BG74" s="115" t="e">
        <f t="shared" si="96"/>
        <v>#VALUE!</v>
      </c>
      <c r="BH74" s="115" t="e">
        <f t="shared" si="96"/>
        <v>#VALUE!</v>
      </c>
      <c r="BI74" s="115" t="e">
        <f t="shared" si="96"/>
        <v>#VALUE!</v>
      </c>
      <c r="BJ74" s="115" t="e">
        <f t="shared" si="96"/>
        <v>#VALUE!</v>
      </c>
      <c r="BK74" s="115" t="e">
        <f t="shared" si="96"/>
        <v>#VALUE!</v>
      </c>
      <c r="BL74" s="115" t="e">
        <f t="shared" si="96"/>
        <v>#VALUE!</v>
      </c>
      <c r="BM74" s="115" t="e">
        <f t="shared" si="96"/>
        <v>#VALUE!</v>
      </c>
      <c r="BN74" s="115" t="e">
        <f t="shared" si="97"/>
        <v>#VALUE!</v>
      </c>
      <c r="BO74" s="115" t="e">
        <f t="shared" si="97"/>
        <v>#VALUE!</v>
      </c>
      <c r="BP74" s="115" t="e">
        <f t="shared" si="97"/>
        <v>#VALUE!</v>
      </c>
      <c r="BQ74" s="115" t="e">
        <f t="shared" si="97"/>
        <v>#VALUE!</v>
      </c>
      <c r="BR74" s="115" t="e">
        <f t="shared" si="97"/>
        <v>#VALUE!</v>
      </c>
      <c r="BS74" s="115" t="e">
        <f t="shared" si="97"/>
        <v>#VALUE!</v>
      </c>
      <c r="BT74" s="115" t="e">
        <f t="shared" si="97"/>
        <v>#VALUE!</v>
      </c>
      <c r="BU74" s="115" t="e">
        <f t="shared" si="97"/>
        <v>#VALUE!</v>
      </c>
      <c r="BV74" s="115" t="e">
        <f t="shared" si="97"/>
        <v>#VALUE!</v>
      </c>
      <c r="BW74" s="115" t="e">
        <f t="shared" si="97"/>
        <v>#VALUE!</v>
      </c>
      <c r="BX74" s="115" t="e">
        <f t="shared" si="98"/>
        <v>#VALUE!</v>
      </c>
      <c r="BY74" s="115" t="e">
        <f t="shared" si="98"/>
        <v>#VALUE!</v>
      </c>
      <c r="BZ74" s="115" t="e">
        <f t="shared" si="98"/>
        <v>#VALUE!</v>
      </c>
      <c r="CA74" s="115" t="e">
        <f t="shared" si="98"/>
        <v>#VALUE!</v>
      </c>
      <c r="CB74" s="115" t="e">
        <f t="shared" si="98"/>
        <v>#VALUE!</v>
      </c>
      <c r="CC74" s="115" t="e">
        <f t="shared" si="98"/>
        <v>#VALUE!</v>
      </c>
      <c r="CD74" s="115" t="e">
        <f t="shared" si="98"/>
        <v>#VALUE!</v>
      </c>
      <c r="CE74" s="115" t="e">
        <f t="shared" si="98"/>
        <v>#VALUE!</v>
      </c>
      <c r="CF74" s="115" t="e">
        <f t="shared" si="98"/>
        <v>#VALUE!</v>
      </c>
      <c r="CG74" s="115" t="e">
        <f t="shared" si="98"/>
        <v>#VALUE!</v>
      </c>
      <c r="CH74" s="115" t="e">
        <f t="shared" si="99"/>
        <v>#VALUE!</v>
      </c>
      <c r="CI74" s="115" t="e">
        <f t="shared" si="99"/>
        <v>#VALUE!</v>
      </c>
      <c r="CJ74" s="115" t="e">
        <f t="shared" si="99"/>
        <v>#VALUE!</v>
      </c>
      <c r="CK74" s="115" t="e">
        <f t="shared" si="99"/>
        <v>#VALUE!</v>
      </c>
      <c r="CL74" s="115" t="e">
        <f t="shared" si="99"/>
        <v>#VALUE!</v>
      </c>
      <c r="CM74" s="115" t="e">
        <f t="shared" si="99"/>
        <v>#VALUE!</v>
      </c>
      <c r="CN74" s="115" t="e">
        <f t="shared" si="99"/>
        <v>#VALUE!</v>
      </c>
      <c r="CO74" s="115" t="e">
        <f t="shared" si="99"/>
        <v>#VALUE!</v>
      </c>
      <c r="CP74" s="115" t="e">
        <f t="shared" si="99"/>
        <v>#VALUE!</v>
      </c>
      <c r="CQ74" s="115" t="e">
        <f t="shared" si="99"/>
        <v>#VALUE!</v>
      </c>
      <c r="CR74" s="115" t="e">
        <f t="shared" si="100"/>
        <v>#VALUE!</v>
      </c>
      <c r="CS74" s="115" t="e">
        <f t="shared" si="100"/>
        <v>#VALUE!</v>
      </c>
      <c r="CT74" s="115" t="e">
        <f t="shared" si="100"/>
        <v>#VALUE!</v>
      </c>
      <c r="CU74" s="115" t="e">
        <f t="shared" si="100"/>
        <v>#VALUE!</v>
      </c>
      <c r="CV74" s="115" t="e">
        <f t="shared" si="100"/>
        <v>#VALUE!</v>
      </c>
      <c r="CW74" s="115" t="e">
        <f t="shared" si="100"/>
        <v>#VALUE!</v>
      </c>
      <c r="CX74" s="115" t="e">
        <f t="shared" si="100"/>
        <v>#VALUE!</v>
      </c>
      <c r="CY74" s="115" t="e">
        <f t="shared" si="100"/>
        <v>#VALUE!</v>
      </c>
      <c r="CZ74" s="115" t="e">
        <f t="shared" si="100"/>
        <v>#VALUE!</v>
      </c>
      <c r="DA74" s="115" t="e">
        <f t="shared" si="100"/>
        <v>#VALUE!</v>
      </c>
      <c r="DB74" s="115" t="e">
        <f t="shared" si="101"/>
        <v>#VALUE!</v>
      </c>
      <c r="DC74" s="115" t="e">
        <f t="shared" si="101"/>
        <v>#VALUE!</v>
      </c>
      <c r="DD74" s="115" t="e">
        <f t="shared" si="101"/>
        <v>#VALUE!</v>
      </c>
      <c r="DE74" s="115" t="e">
        <f t="shared" si="101"/>
        <v>#VALUE!</v>
      </c>
      <c r="DF74" s="115" t="e">
        <f t="shared" si="101"/>
        <v>#VALUE!</v>
      </c>
      <c r="DG74" s="115" t="e">
        <f t="shared" si="101"/>
        <v>#VALUE!</v>
      </c>
      <c r="DH74" s="115" t="e">
        <f t="shared" si="101"/>
        <v>#VALUE!</v>
      </c>
      <c r="DI74" s="115" t="e">
        <f t="shared" si="101"/>
        <v>#VALUE!</v>
      </c>
      <c r="DJ74" s="115" t="e">
        <f t="shared" si="101"/>
        <v>#VALUE!</v>
      </c>
      <c r="DK74" s="115" t="e">
        <f t="shared" si="101"/>
        <v>#VALUE!</v>
      </c>
      <c r="DL74" s="115" t="e">
        <f t="shared" si="101"/>
        <v>#VALUE!</v>
      </c>
      <c r="DM74" s="115" t="e">
        <f t="shared" si="101"/>
        <v>#VALUE!</v>
      </c>
    </row>
    <row r="75" spans="1:117" ht="15" customHeight="1" thickBot="1">
      <c r="A75" s="55">
        <v>6400</v>
      </c>
      <c r="B75" s="194" t="s">
        <v>728</v>
      </c>
      <c r="C75" s="194" t="s">
        <v>801</v>
      </c>
      <c r="D75" s="194" t="s">
        <v>802</v>
      </c>
      <c r="E75" s="194"/>
      <c r="F75" s="194" t="s">
        <v>577</v>
      </c>
      <c r="G75" s="291">
        <f t="shared" si="91"/>
        <v>0</v>
      </c>
      <c r="H75" s="292">
        <f>VLOOKUP("RKTGNFa",Reinigung,5,0)</f>
        <v>0</v>
      </c>
      <c r="I75" s="168"/>
      <c r="J75" s="194" t="s">
        <v>727</v>
      </c>
      <c r="K75" s="378" t="s">
        <v>732</v>
      </c>
      <c r="L75" s="379" t="s">
        <v>359</v>
      </c>
      <c r="M75" s="325">
        <f>VLOOKUP(L75,Finanzielle_Parameter,5,0)</f>
        <v>2.25</v>
      </c>
      <c r="N75" s="380">
        <f>(1+VLOOKUP(L75,Finanzielle_Parameter,5,0)/100)/(1+VLOOKUP("R",Finanzielle_Parameter,5,0)/100)</f>
        <v>1.0054080629301869</v>
      </c>
      <c r="O75" s="381">
        <f t="shared" si="92"/>
        <v>0</v>
      </c>
      <c r="P75" s="169" t="s">
        <v>103</v>
      </c>
      <c r="Q75" s="114">
        <f t="shared" si="92"/>
        <v>0</v>
      </c>
      <c r="R75" s="115">
        <f t="shared" si="92"/>
        <v>0</v>
      </c>
      <c r="S75" s="115">
        <f t="shared" si="92"/>
        <v>0</v>
      </c>
      <c r="T75" s="115">
        <f t="shared" si="92"/>
        <v>0</v>
      </c>
      <c r="U75" s="115">
        <f t="shared" si="92"/>
        <v>0</v>
      </c>
      <c r="V75" s="115">
        <f t="shared" si="92"/>
        <v>0</v>
      </c>
      <c r="W75" s="115">
        <f t="shared" si="92"/>
        <v>0</v>
      </c>
      <c r="X75" s="115">
        <f t="shared" si="92"/>
        <v>0</v>
      </c>
      <c r="Y75" s="115">
        <f t="shared" si="92"/>
        <v>0</v>
      </c>
      <c r="Z75" s="115">
        <f t="shared" si="93"/>
        <v>0</v>
      </c>
      <c r="AA75" s="115">
        <f t="shared" si="93"/>
        <v>0</v>
      </c>
      <c r="AB75" s="115">
        <f t="shared" si="93"/>
        <v>0</v>
      </c>
      <c r="AC75" s="115">
        <f t="shared" si="93"/>
        <v>0</v>
      </c>
      <c r="AD75" s="115">
        <f t="shared" si="93"/>
        <v>0</v>
      </c>
      <c r="AE75" s="115">
        <f t="shared" si="93"/>
        <v>0</v>
      </c>
      <c r="AF75" s="115">
        <f t="shared" si="93"/>
        <v>0</v>
      </c>
      <c r="AG75" s="115">
        <f t="shared" si="93"/>
        <v>0</v>
      </c>
      <c r="AH75" s="115">
        <f t="shared" si="93"/>
        <v>0</v>
      </c>
      <c r="AI75" s="115">
        <f t="shared" si="93"/>
        <v>0</v>
      </c>
      <c r="AJ75" s="115">
        <f t="shared" si="94"/>
        <v>0</v>
      </c>
      <c r="AK75" s="115">
        <f t="shared" si="94"/>
        <v>0</v>
      </c>
      <c r="AL75" s="115">
        <f t="shared" si="94"/>
        <v>0</v>
      </c>
      <c r="AM75" s="115">
        <f t="shared" si="94"/>
        <v>0</v>
      </c>
      <c r="AN75" s="115">
        <f t="shared" si="94"/>
        <v>0</v>
      </c>
      <c r="AO75" s="115">
        <f t="shared" si="94"/>
        <v>0</v>
      </c>
      <c r="AP75" s="115">
        <f t="shared" si="94"/>
        <v>0</v>
      </c>
      <c r="AQ75" s="115">
        <f t="shared" si="94"/>
        <v>0</v>
      </c>
      <c r="AR75" s="115">
        <f t="shared" si="94"/>
        <v>0</v>
      </c>
      <c r="AS75" s="115">
        <f t="shared" si="94"/>
        <v>0</v>
      </c>
      <c r="AT75" s="115">
        <f t="shared" si="95"/>
        <v>0</v>
      </c>
      <c r="AU75" s="115">
        <f t="shared" si="95"/>
        <v>0</v>
      </c>
      <c r="AV75" s="115" t="e">
        <f t="shared" si="95"/>
        <v>#VALUE!</v>
      </c>
      <c r="AW75" s="115" t="e">
        <f t="shared" si="95"/>
        <v>#VALUE!</v>
      </c>
      <c r="AX75" s="115" t="e">
        <f t="shared" si="95"/>
        <v>#VALUE!</v>
      </c>
      <c r="AY75" s="115" t="e">
        <f t="shared" si="95"/>
        <v>#VALUE!</v>
      </c>
      <c r="AZ75" s="115" t="e">
        <f t="shared" si="95"/>
        <v>#VALUE!</v>
      </c>
      <c r="BA75" s="115" t="e">
        <f t="shared" si="95"/>
        <v>#VALUE!</v>
      </c>
      <c r="BB75" s="115" t="e">
        <f t="shared" si="95"/>
        <v>#VALUE!</v>
      </c>
      <c r="BC75" s="115" t="e">
        <f t="shared" si="95"/>
        <v>#VALUE!</v>
      </c>
      <c r="BD75" s="115" t="e">
        <f t="shared" si="96"/>
        <v>#VALUE!</v>
      </c>
      <c r="BE75" s="115" t="e">
        <f t="shared" si="96"/>
        <v>#VALUE!</v>
      </c>
      <c r="BF75" s="115" t="e">
        <f t="shared" si="96"/>
        <v>#VALUE!</v>
      </c>
      <c r="BG75" s="115" t="e">
        <f t="shared" si="96"/>
        <v>#VALUE!</v>
      </c>
      <c r="BH75" s="115" t="e">
        <f t="shared" si="96"/>
        <v>#VALUE!</v>
      </c>
      <c r="BI75" s="115" t="e">
        <f t="shared" si="96"/>
        <v>#VALUE!</v>
      </c>
      <c r="BJ75" s="115" t="e">
        <f t="shared" si="96"/>
        <v>#VALUE!</v>
      </c>
      <c r="BK75" s="115" t="e">
        <f t="shared" si="96"/>
        <v>#VALUE!</v>
      </c>
      <c r="BL75" s="115" t="e">
        <f t="shared" si="96"/>
        <v>#VALUE!</v>
      </c>
      <c r="BM75" s="115" t="e">
        <f t="shared" si="96"/>
        <v>#VALUE!</v>
      </c>
      <c r="BN75" s="115" t="e">
        <f t="shared" si="97"/>
        <v>#VALUE!</v>
      </c>
      <c r="BO75" s="115" t="e">
        <f t="shared" si="97"/>
        <v>#VALUE!</v>
      </c>
      <c r="BP75" s="115" t="e">
        <f t="shared" si="97"/>
        <v>#VALUE!</v>
      </c>
      <c r="BQ75" s="115" t="e">
        <f t="shared" si="97"/>
        <v>#VALUE!</v>
      </c>
      <c r="BR75" s="115" t="e">
        <f t="shared" si="97"/>
        <v>#VALUE!</v>
      </c>
      <c r="BS75" s="115" t="e">
        <f t="shared" si="97"/>
        <v>#VALUE!</v>
      </c>
      <c r="BT75" s="115" t="e">
        <f t="shared" si="97"/>
        <v>#VALUE!</v>
      </c>
      <c r="BU75" s="115" t="e">
        <f t="shared" si="97"/>
        <v>#VALUE!</v>
      </c>
      <c r="BV75" s="115" t="e">
        <f t="shared" si="97"/>
        <v>#VALUE!</v>
      </c>
      <c r="BW75" s="115" t="e">
        <f t="shared" si="97"/>
        <v>#VALUE!</v>
      </c>
      <c r="BX75" s="115" t="e">
        <f t="shared" si="98"/>
        <v>#VALUE!</v>
      </c>
      <c r="BY75" s="115" t="e">
        <f t="shared" si="98"/>
        <v>#VALUE!</v>
      </c>
      <c r="BZ75" s="115" t="e">
        <f t="shared" si="98"/>
        <v>#VALUE!</v>
      </c>
      <c r="CA75" s="115" t="e">
        <f t="shared" si="98"/>
        <v>#VALUE!</v>
      </c>
      <c r="CB75" s="115" t="e">
        <f t="shared" si="98"/>
        <v>#VALUE!</v>
      </c>
      <c r="CC75" s="115" t="e">
        <f t="shared" si="98"/>
        <v>#VALUE!</v>
      </c>
      <c r="CD75" s="115" t="e">
        <f t="shared" si="98"/>
        <v>#VALUE!</v>
      </c>
      <c r="CE75" s="115" t="e">
        <f t="shared" si="98"/>
        <v>#VALUE!</v>
      </c>
      <c r="CF75" s="115" t="e">
        <f t="shared" si="98"/>
        <v>#VALUE!</v>
      </c>
      <c r="CG75" s="115" t="e">
        <f t="shared" si="98"/>
        <v>#VALUE!</v>
      </c>
      <c r="CH75" s="115" t="e">
        <f t="shared" si="99"/>
        <v>#VALUE!</v>
      </c>
      <c r="CI75" s="115" t="e">
        <f t="shared" si="99"/>
        <v>#VALUE!</v>
      </c>
      <c r="CJ75" s="115" t="e">
        <f t="shared" si="99"/>
        <v>#VALUE!</v>
      </c>
      <c r="CK75" s="115" t="e">
        <f t="shared" si="99"/>
        <v>#VALUE!</v>
      </c>
      <c r="CL75" s="115" t="e">
        <f t="shared" si="99"/>
        <v>#VALUE!</v>
      </c>
      <c r="CM75" s="115" t="e">
        <f t="shared" si="99"/>
        <v>#VALUE!</v>
      </c>
      <c r="CN75" s="115" t="e">
        <f t="shared" si="99"/>
        <v>#VALUE!</v>
      </c>
      <c r="CO75" s="115" t="e">
        <f t="shared" si="99"/>
        <v>#VALUE!</v>
      </c>
      <c r="CP75" s="115" t="e">
        <f t="shared" si="99"/>
        <v>#VALUE!</v>
      </c>
      <c r="CQ75" s="115" t="e">
        <f t="shared" si="99"/>
        <v>#VALUE!</v>
      </c>
      <c r="CR75" s="115" t="e">
        <f t="shared" si="100"/>
        <v>#VALUE!</v>
      </c>
      <c r="CS75" s="115" t="e">
        <f t="shared" si="100"/>
        <v>#VALUE!</v>
      </c>
      <c r="CT75" s="115" t="e">
        <f t="shared" si="100"/>
        <v>#VALUE!</v>
      </c>
      <c r="CU75" s="115" t="e">
        <f t="shared" si="100"/>
        <v>#VALUE!</v>
      </c>
      <c r="CV75" s="115" t="e">
        <f t="shared" si="100"/>
        <v>#VALUE!</v>
      </c>
      <c r="CW75" s="115" t="e">
        <f t="shared" si="100"/>
        <v>#VALUE!</v>
      </c>
      <c r="CX75" s="115" t="e">
        <f t="shared" si="100"/>
        <v>#VALUE!</v>
      </c>
      <c r="CY75" s="115" t="e">
        <f t="shared" si="100"/>
        <v>#VALUE!</v>
      </c>
      <c r="CZ75" s="115" t="e">
        <f t="shared" si="100"/>
        <v>#VALUE!</v>
      </c>
      <c r="DA75" s="115" t="e">
        <f t="shared" si="100"/>
        <v>#VALUE!</v>
      </c>
      <c r="DB75" s="115" t="e">
        <f t="shared" si="101"/>
        <v>#VALUE!</v>
      </c>
      <c r="DC75" s="115" t="e">
        <f t="shared" si="101"/>
        <v>#VALUE!</v>
      </c>
      <c r="DD75" s="115" t="e">
        <f t="shared" si="101"/>
        <v>#VALUE!</v>
      </c>
      <c r="DE75" s="115" t="e">
        <f t="shared" si="101"/>
        <v>#VALUE!</v>
      </c>
      <c r="DF75" s="115" t="e">
        <f t="shared" si="101"/>
        <v>#VALUE!</v>
      </c>
      <c r="DG75" s="115" t="e">
        <f t="shared" si="101"/>
        <v>#VALUE!</v>
      </c>
      <c r="DH75" s="115" t="e">
        <f t="shared" si="101"/>
        <v>#VALUE!</v>
      </c>
      <c r="DI75" s="115" t="e">
        <f t="shared" si="101"/>
        <v>#VALUE!</v>
      </c>
      <c r="DJ75" s="115" t="e">
        <f t="shared" si="101"/>
        <v>#VALUE!</v>
      </c>
      <c r="DK75" s="115" t="e">
        <f t="shared" si="101"/>
        <v>#VALUE!</v>
      </c>
      <c r="DL75" s="115" t="e">
        <f t="shared" si="101"/>
        <v>#VALUE!</v>
      </c>
      <c r="DM75" s="115" t="e">
        <f t="shared" si="101"/>
        <v>#VALUE!</v>
      </c>
    </row>
    <row r="76" spans="1:117" ht="15" customHeight="1" thickBot="1">
      <c r="A76" s="293">
        <v>6600</v>
      </c>
      <c r="B76" s="172" t="s">
        <v>743</v>
      </c>
      <c r="C76" s="172" t="s">
        <v>803</v>
      </c>
      <c r="D76" s="172" t="s">
        <v>804</v>
      </c>
      <c r="E76" s="172"/>
      <c r="F76" s="172" t="s">
        <v>117</v>
      </c>
      <c r="G76" s="171">
        <f>SUM(G77:G78)</f>
        <v>0</v>
      </c>
      <c r="H76" s="171"/>
      <c r="I76" s="171"/>
      <c r="J76" s="172" t="s">
        <v>727</v>
      </c>
      <c r="K76" s="373"/>
      <c r="L76" s="172"/>
      <c r="M76" s="293"/>
      <c r="N76" s="293"/>
      <c r="O76" s="376">
        <f>SUM(O77:O78)</f>
        <v>0</v>
      </c>
      <c r="P76" s="377" t="s">
        <v>103</v>
      </c>
      <c r="Q76" s="116"/>
      <c r="R76" s="116"/>
      <c r="S76" s="116"/>
      <c r="T76" s="116"/>
      <c r="U76" s="116"/>
      <c r="V76" s="116"/>
      <c r="W76" s="116"/>
      <c r="X76" s="116"/>
      <c r="Y76" s="116"/>
      <c r="Z76" s="116"/>
      <c r="AA76" s="116"/>
      <c r="AB76" s="116"/>
      <c r="AC76" s="116"/>
      <c r="AD76" s="116"/>
      <c r="AE76" s="116"/>
      <c r="AF76" s="116"/>
      <c r="AG76" s="116"/>
      <c r="AH76" s="116"/>
      <c r="AI76" s="116"/>
      <c r="AJ76" s="116"/>
      <c r="AK76" s="116"/>
      <c r="AL76" s="116"/>
      <c r="AM76" s="116"/>
      <c r="AN76" s="116"/>
      <c r="AO76" s="116"/>
      <c r="AP76" s="116"/>
      <c r="AQ76" s="116"/>
      <c r="AR76" s="116"/>
      <c r="AS76" s="116"/>
      <c r="AT76" s="116"/>
      <c r="AU76" s="116"/>
      <c r="AV76" s="116"/>
      <c r="AW76" s="116"/>
      <c r="AX76" s="116"/>
      <c r="AY76" s="116"/>
      <c r="AZ76" s="116"/>
      <c r="BA76" s="116"/>
      <c r="BB76" s="116"/>
      <c r="BC76" s="116"/>
      <c r="BD76" s="116"/>
      <c r="BE76" s="116"/>
      <c r="BF76" s="116"/>
      <c r="BG76" s="116"/>
      <c r="BH76" s="116"/>
      <c r="BI76" s="116"/>
      <c r="BJ76" s="116"/>
      <c r="BK76" s="116"/>
      <c r="BL76" s="116"/>
      <c r="BM76" s="116"/>
      <c r="BN76" s="116"/>
      <c r="BO76" s="116"/>
      <c r="BP76" s="116"/>
      <c r="BQ76" s="116"/>
      <c r="BR76" s="116"/>
      <c r="BS76" s="116"/>
      <c r="BT76" s="116"/>
      <c r="BU76" s="116"/>
      <c r="BV76" s="116"/>
      <c r="BW76" s="116"/>
      <c r="BX76" s="116"/>
      <c r="BY76" s="116"/>
      <c r="BZ76" s="116"/>
      <c r="CA76" s="116"/>
      <c r="CB76" s="116"/>
      <c r="CC76" s="116"/>
      <c r="CD76" s="116"/>
      <c r="CE76" s="116"/>
      <c r="CF76" s="116"/>
      <c r="CG76" s="116"/>
      <c r="CH76" s="116"/>
      <c r="CI76" s="116"/>
      <c r="CJ76" s="116"/>
      <c r="CK76" s="116"/>
      <c r="CL76" s="116"/>
      <c r="CM76" s="116"/>
      <c r="CN76" s="116"/>
      <c r="CO76" s="116"/>
      <c r="CP76" s="116"/>
      <c r="CQ76" s="116"/>
      <c r="CR76" s="116"/>
      <c r="CS76" s="116"/>
      <c r="CT76" s="116"/>
      <c r="CU76" s="116"/>
      <c r="CV76" s="116"/>
      <c r="CW76" s="116"/>
      <c r="CX76" s="116"/>
      <c r="CY76" s="116"/>
      <c r="CZ76" s="116"/>
      <c r="DA76" s="116"/>
      <c r="DB76" s="116"/>
      <c r="DC76" s="116"/>
      <c r="DD76" s="116"/>
      <c r="DE76" s="116"/>
      <c r="DF76" s="116"/>
      <c r="DG76" s="116"/>
      <c r="DH76" s="116"/>
      <c r="DI76" s="116"/>
      <c r="DJ76" s="116"/>
      <c r="DK76" s="116"/>
      <c r="DL76" s="116"/>
      <c r="DM76" s="116"/>
    </row>
    <row r="77" spans="1:117" ht="15" customHeight="1" thickBot="1">
      <c r="A77" s="55">
        <v>6700</v>
      </c>
      <c r="B77" s="194" t="s">
        <v>728</v>
      </c>
      <c r="C77" s="194" t="s">
        <v>805</v>
      </c>
      <c r="D77" s="194" t="s">
        <v>582</v>
      </c>
      <c r="E77" s="194"/>
      <c r="F77" s="194" t="s">
        <v>589</v>
      </c>
      <c r="G77" s="291">
        <f t="shared" ref="G77:G79" si="102">IF(I77="",H77,I77)</f>
        <v>0</v>
      </c>
      <c r="H77" s="292">
        <f>VLOOKUP("GLASFRKa",Reinigung,5,0)</f>
        <v>0</v>
      </c>
      <c r="I77" s="168"/>
      <c r="J77" s="194" t="s">
        <v>727</v>
      </c>
      <c r="K77" s="378" t="s">
        <v>732</v>
      </c>
      <c r="L77" s="379" t="s">
        <v>359</v>
      </c>
      <c r="M77" s="325">
        <f>VLOOKUP(L77,Finanzielle_Parameter,5,0)</f>
        <v>2.25</v>
      </c>
      <c r="N77" s="380">
        <f>(1+VLOOKUP(L77,Finanzielle_Parameter,5,0)/100)/(1+VLOOKUP("R",Finanzielle_Parameter,5,0)/100)</f>
        <v>1.0054080629301869</v>
      </c>
      <c r="O77" s="381">
        <f t="shared" ref="O77:Y79" si="103">IF($N77&lt;&gt;1,$G77*($N77^$K77)*(($N77^($K77*INT(O$2/$K77))-1)/($N77^$K77-1)),$G77*INT(O$2/$K77))</f>
        <v>0</v>
      </c>
      <c r="P77" s="169" t="s">
        <v>103</v>
      </c>
      <c r="Q77" s="114">
        <f t="shared" si="103"/>
        <v>0</v>
      </c>
      <c r="R77" s="115">
        <f t="shared" si="103"/>
        <v>0</v>
      </c>
      <c r="S77" s="115">
        <f t="shared" si="103"/>
        <v>0</v>
      </c>
      <c r="T77" s="115">
        <f t="shared" si="103"/>
        <v>0</v>
      </c>
      <c r="U77" s="115">
        <f t="shared" si="103"/>
        <v>0</v>
      </c>
      <c r="V77" s="115">
        <f t="shared" si="103"/>
        <v>0</v>
      </c>
      <c r="W77" s="115">
        <f t="shared" si="103"/>
        <v>0</v>
      </c>
      <c r="X77" s="115">
        <f t="shared" si="103"/>
        <v>0</v>
      </c>
      <c r="Y77" s="115">
        <f t="shared" si="103"/>
        <v>0</v>
      </c>
      <c r="Z77" s="115">
        <f t="shared" ref="Z77:AI79" si="104">IF($N77&lt;&gt;1,$G77*($N77^$K77)*(($N77^($K77*INT(Z$2/$K77))-1)/($N77^$K77-1)),$G77*INT(Z$2/$K77))</f>
        <v>0</v>
      </c>
      <c r="AA77" s="115">
        <f t="shared" si="104"/>
        <v>0</v>
      </c>
      <c r="AB77" s="115">
        <f t="shared" si="104"/>
        <v>0</v>
      </c>
      <c r="AC77" s="115">
        <f t="shared" si="104"/>
        <v>0</v>
      </c>
      <c r="AD77" s="115">
        <f t="shared" si="104"/>
        <v>0</v>
      </c>
      <c r="AE77" s="115">
        <f t="shared" si="104"/>
        <v>0</v>
      </c>
      <c r="AF77" s="115">
        <f t="shared" si="104"/>
        <v>0</v>
      </c>
      <c r="AG77" s="115">
        <f t="shared" si="104"/>
        <v>0</v>
      </c>
      <c r="AH77" s="115">
        <f t="shared" si="104"/>
        <v>0</v>
      </c>
      <c r="AI77" s="115">
        <f t="shared" si="104"/>
        <v>0</v>
      </c>
      <c r="AJ77" s="115">
        <f t="shared" ref="AJ77:AS79" si="105">IF($N77&lt;&gt;1,$G77*($N77^$K77)*(($N77^($K77*INT(AJ$2/$K77))-1)/($N77^$K77-1)),$G77*INT(AJ$2/$K77))</f>
        <v>0</v>
      </c>
      <c r="AK77" s="115">
        <f t="shared" si="105"/>
        <v>0</v>
      </c>
      <c r="AL77" s="115">
        <f t="shared" si="105"/>
        <v>0</v>
      </c>
      <c r="AM77" s="115">
        <f t="shared" si="105"/>
        <v>0</v>
      </c>
      <c r="AN77" s="115">
        <f t="shared" si="105"/>
        <v>0</v>
      </c>
      <c r="AO77" s="115">
        <f t="shared" si="105"/>
        <v>0</v>
      </c>
      <c r="AP77" s="115">
        <f t="shared" si="105"/>
        <v>0</v>
      </c>
      <c r="AQ77" s="115">
        <f t="shared" si="105"/>
        <v>0</v>
      </c>
      <c r="AR77" s="115">
        <f t="shared" si="105"/>
        <v>0</v>
      </c>
      <c r="AS77" s="115">
        <f t="shared" si="105"/>
        <v>0</v>
      </c>
      <c r="AT77" s="115">
        <f t="shared" ref="AT77:BC79" si="106">IF($N77&lt;&gt;1,$G77*($N77^$K77)*(($N77^($K77*INT(AT$2/$K77))-1)/($N77^$K77-1)),$G77*INT(AT$2/$K77))</f>
        <v>0</v>
      </c>
      <c r="AU77" s="115">
        <f t="shared" si="106"/>
        <v>0</v>
      </c>
      <c r="AV77" s="115" t="e">
        <f t="shared" si="106"/>
        <v>#VALUE!</v>
      </c>
      <c r="AW77" s="115" t="e">
        <f t="shared" si="106"/>
        <v>#VALUE!</v>
      </c>
      <c r="AX77" s="115" t="e">
        <f t="shared" si="106"/>
        <v>#VALUE!</v>
      </c>
      <c r="AY77" s="115" t="e">
        <f t="shared" si="106"/>
        <v>#VALUE!</v>
      </c>
      <c r="AZ77" s="115" t="e">
        <f t="shared" si="106"/>
        <v>#VALUE!</v>
      </c>
      <c r="BA77" s="115" t="e">
        <f t="shared" si="106"/>
        <v>#VALUE!</v>
      </c>
      <c r="BB77" s="115" t="e">
        <f t="shared" si="106"/>
        <v>#VALUE!</v>
      </c>
      <c r="BC77" s="115" t="e">
        <f t="shared" si="106"/>
        <v>#VALUE!</v>
      </c>
      <c r="BD77" s="115" t="e">
        <f t="shared" ref="BD77:BM79" si="107">IF($N77&lt;&gt;1,$G77*($N77^$K77)*(($N77^($K77*INT(BD$2/$K77))-1)/($N77^$K77-1)),$G77*INT(BD$2/$K77))</f>
        <v>#VALUE!</v>
      </c>
      <c r="BE77" s="115" t="e">
        <f t="shared" si="107"/>
        <v>#VALUE!</v>
      </c>
      <c r="BF77" s="115" t="e">
        <f t="shared" si="107"/>
        <v>#VALUE!</v>
      </c>
      <c r="BG77" s="115" t="e">
        <f t="shared" si="107"/>
        <v>#VALUE!</v>
      </c>
      <c r="BH77" s="115" t="e">
        <f t="shared" si="107"/>
        <v>#VALUE!</v>
      </c>
      <c r="BI77" s="115" t="e">
        <f t="shared" si="107"/>
        <v>#VALUE!</v>
      </c>
      <c r="BJ77" s="115" t="e">
        <f t="shared" si="107"/>
        <v>#VALUE!</v>
      </c>
      <c r="BK77" s="115" t="e">
        <f t="shared" si="107"/>
        <v>#VALUE!</v>
      </c>
      <c r="BL77" s="115" t="e">
        <f t="shared" si="107"/>
        <v>#VALUE!</v>
      </c>
      <c r="BM77" s="115" t="e">
        <f t="shared" si="107"/>
        <v>#VALUE!</v>
      </c>
      <c r="BN77" s="115" t="e">
        <f t="shared" ref="BN77:BW79" si="108">IF($N77&lt;&gt;1,$G77*($N77^$K77)*(($N77^($K77*INT(BN$2/$K77))-1)/($N77^$K77-1)),$G77*INT(BN$2/$K77))</f>
        <v>#VALUE!</v>
      </c>
      <c r="BO77" s="115" t="e">
        <f t="shared" si="108"/>
        <v>#VALUE!</v>
      </c>
      <c r="BP77" s="115" t="e">
        <f t="shared" si="108"/>
        <v>#VALUE!</v>
      </c>
      <c r="BQ77" s="115" t="e">
        <f t="shared" si="108"/>
        <v>#VALUE!</v>
      </c>
      <c r="BR77" s="115" t="e">
        <f t="shared" si="108"/>
        <v>#VALUE!</v>
      </c>
      <c r="BS77" s="115" t="e">
        <f t="shared" si="108"/>
        <v>#VALUE!</v>
      </c>
      <c r="BT77" s="115" t="e">
        <f t="shared" si="108"/>
        <v>#VALUE!</v>
      </c>
      <c r="BU77" s="115" t="e">
        <f t="shared" si="108"/>
        <v>#VALUE!</v>
      </c>
      <c r="BV77" s="115" t="e">
        <f t="shared" si="108"/>
        <v>#VALUE!</v>
      </c>
      <c r="BW77" s="115" t="e">
        <f t="shared" si="108"/>
        <v>#VALUE!</v>
      </c>
      <c r="BX77" s="115" t="e">
        <f t="shared" ref="BX77:CG79" si="109">IF($N77&lt;&gt;1,$G77*($N77^$K77)*(($N77^($K77*INT(BX$2/$K77))-1)/($N77^$K77-1)),$G77*INT(BX$2/$K77))</f>
        <v>#VALUE!</v>
      </c>
      <c r="BY77" s="115" t="e">
        <f t="shared" si="109"/>
        <v>#VALUE!</v>
      </c>
      <c r="BZ77" s="115" t="e">
        <f t="shared" si="109"/>
        <v>#VALUE!</v>
      </c>
      <c r="CA77" s="115" t="e">
        <f t="shared" si="109"/>
        <v>#VALUE!</v>
      </c>
      <c r="CB77" s="115" t="e">
        <f t="shared" si="109"/>
        <v>#VALUE!</v>
      </c>
      <c r="CC77" s="115" t="e">
        <f t="shared" si="109"/>
        <v>#VALUE!</v>
      </c>
      <c r="CD77" s="115" t="e">
        <f t="shared" si="109"/>
        <v>#VALUE!</v>
      </c>
      <c r="CE77" s="115" t="e">
        <f t="shared" si="109"/>
        <v>#VALUE!</v>
      </c>
      <c r="CF77" s="115" t="e">
        <f t="shared" si="109"/>
        <v>#VALUE!</v>
      </c>
      <c r="CG77" s="115" t="e">
        <f t="shared" si="109"/>
        <v>#VALUE!</v>
      </c>
      <c r="CH77" s="115" t="e">
        <f t="shared" ref="CH77:CQ79" si="110">IF($N77&lt;&gt;1,$G77*($N77^$K77)*(($N77^($K77*INT(CH$2/$K77))-1)/($N77^$K77-1)),$G77*INT(CH$2/$K77))</f>
        <v>#VALUE!</v>
      </c>
      <c r="CI77" s="115" t="e">
        <f t="shared" si="110"/>
        <v>#VALUE!</v>
      </c>
      <c r="CJ77" s="115" t="e">
        <f t="shared" si="110"/>
        <v>#VALUE!</v>
      </c>
      <c r="CK77" s="115" t="e">
        <f t="shared" si="110"/>
        <v>#VALUE!</v>
      </c>
      <c r="CL77" s="115" t="e">
        <f t="shared" si="110"/>
        <v>#VALUE!</v>
      </c>
      <c r="CM77" s="115" t="e">
        <f t="shared" si="110"/>
        <v>#VALUE!</v>
      </c>
      <c r="CN77" s="115" t="e">
        <f t="shared" si="110"/>
        <v>#VALUE!</v>
      </c>
      <c r="CO77" s="115" t="e">
        <f t="shared" si="110"/>
        <v>#VALUE!</v>
      </c>
      <c r="CP77" s="115" t="e">
        <f t="shared" si="110"/>
        <v>#VALUE!</v>
      </c>
      <c r="CQ77" s="115" t="e">
        <f t="shared" si="110"/>
        <v>#VALUE!</v>
      </c>
      <c r="CR77" s="115" t="e">
        <f t="shared" ref="CR77:DA79" si="111">IF($N77&lt;&gt;1,$G77*($N77^$K77)*(($N77^($K77*INT(CR$2/$K77))-1)/($N77^$K77-1)),$G77*INT(CR$2/$K77))</f>
        <v>#VALUE!</v>
      </c>
      <c r="CS77" s="115" t="e">
        <f t="shared" si="111"/>
        <v>#VALUE!</v>
      </c>
      <c r="CT77" s="115" t="e">
        <f t="shared" si="111"/>
        <v>#VALUE!</v>
      </c>
      <c r="CU77" s="115" t="e">
        <f t="shared" si="111"/>
        <v>#VALUE!</v>
      </c>
      <c r="CV77" s="115" t="e">
        <f t="shared" si="111"/>
        <v>#VALUE!</v>
      </c>
      <c r="CW77" s="115" t="e">
        <f t="shared" si="111"/>
        <v>#VALUE!</v>
      </c>
      <c r="CX77" s="115" t="e">
        <f t="shared" si="111"/>
        <v>#VALUE!</v>
      </c>
      <c r="CY77" s="115" t="e">
        <f t="shared" si="111"/>
        <v>#VALUE!</v>
      </c>
      <c r="CZ77" s="115" t="e">
        <f t="shared" si="111"/>
        <v>#VALUE!</v>
      </c>
      <c r="DA77" s="115" t="e">
        <f t="shared" si="111"/>
        <v>#VALUE!</v>
      </c>
      <c r="DB77" s="115" t="e">
        <f t="shared" ref="DB77:DM79" si="112">IF($N77&lt;&gt;1,$G77*($N77^$K77)*(($N77^($K77*INT(DB$2/$K77))-1)/($N77^$K77-1)),$G77*INT(DB$2/$K77))</f>
        <v>#VALUE!</v>
      </c>
      <c r="DC77" s="115" t="e">
        <f t="shared" si="112"/>
        <v>#VALUE!</v>
      </c>
      <c r="DD77" s="115" t="e">
        <f t="shared" si="112"/>
        <v>#VALUE!</v>
      </c>
      <c r="DE77" s="115" t="e">
        <f t="shared" si="112"/>
        <v>#VALUE!</v>
      </c>
      <c r="DF77" s="115" t="e">
        <f t="shared" si="112"/>
        <v>#VALUE!</v>
      </c>
      <c r="DG77" s="115" t="e">
        <f t="shared" si="112"/>
        <v>#VALUE!</v>
      </c>
      <c r="DH77" s="115" t="e">
        <f t="shared" si="112"/>
        <v>#VALUE!</v>
      </c>
      <c r="DI77" s="115" t="e">
        <f t="shared" si="112"/>
        <v>#VALUE!</v>
      </c>
      <c r="DJ77" s="115" t="e">
        <f t="shared" si="112"/>
        <v>#VALUE!</v>
      </c>
      <c r="DK77" s="115" t="e">
        <f t="shared" si="112"/>
        <v>#VALUE!</v>
      </c>
      <c r="DL77" s="115" t="e">
        <f t="shared" si="112"/>
        <v>#VALUE!</v>
      </c>
      <c r="DM77" s="115" t="e">
        <f t="shared" si="112"/>
        <v>#VALUE!</v>
      </c>
    </row>
    <row r="78" spans="1:117" ht="15" customHeight="1" thickBot="1">
      <c r="A78" s="55">
        <v>6800</v>
      </c>
      <c r="B78" s="194" t="s">
        <v>728</v>
      </c>
      <c r="C78" s="194" t="s">
        <v>806</v>
      </c>
      <c r="D78" s="194" t="s">
        <v>807</v>
      </c>
      <c r="E78" s="194"/>
      <c r="F78" s="194" t="s">
        <v>596</v>
      </c>
      <c r="G78" s="291">
        <f t="shared" si="102"/>
        <v>0</v>
      </c>
      <c r="H78" s="292">
        <f>VLOOKUP("IGLASFRKa",Reinigung,5,0)</f>
        <v>0</v>
      </c>
      <c r="I78" s="168"/>
      <c r="J78" s="194" t="s">
        <v>727</v>
      </c>
      <c r="K78" s="378" t="s">
        <v>732</v>
      </c>
      <c r="L78" s="379" t="s">
        <v>359</v>
      </c>
      <c r="M78" s="325">
        <f>VLOOKUP(L78,Finanzielle_Parameter,5,0)</f>
        <v>2.25</v>
      </c>
      <c r="N78" s="380">
        <f>(1+VLOOKUP(L78,Finanzielle_Parameter,5,0)/100)/(1+VLOOKUP("R",Finanzielle_Parameter,5,0)/100)</f>
        <v>1.0054080629301869</v>
      </c>
      <c r="O78" s="381">
        <f t="shared" si="103"/>
        <v>0</v>
      </c>
      <c r="P78" s="169" t="s">
        <v>103</v>
      </c>
      <c r="Q78" s="114">
        <f t="shared" si="103"/>
        <v>0</v>
      </c>
      <c r="R78" s="115">
        <f t="shared" si="103"/>
        <v>0</v>
      </c>
      <c r="S78" s="115">
        <f t="shared" si="103"/>
        <v>0</v>
      </c>
      <c r="T78" s="115">
        <f t="shared" si="103"/>
        <v>0</v>
      </c>
      <c r="U78" s="115">
        <f t="shared" si="103"/>
        <v>0</v>
      </c>
      <c r="V78" s="115">
        <f t="shared" si="103"/>
        <v>0</v>
      </c>
      <c r="W78" s="115">
        <f t="shared" si="103"/>
        <v>0</v>
      </c>
      <c r="X78" s="115">
        <f t="shared" si="103"/>
        <v>0</v>
      </c>
      <c r="Y78" s="115">
        <f t="shared" si="103"/>
        <v>0</v>
      </c>
      <c r="Z78" s="115">
        <f t="shared" si="104"/>
        <v>0</v>
      </c>
      <c r="AA78" s="115">
        <f t="shared" si="104"/>
        <v>0</v>
      </c>
      <c r="AB78" s="115">
        <f t="shared" si="104"/>
        <v>0</v>
      </c>
      <c r="AC78" s="115">
        <f t="shared" si="104"/>
        <v>0</v>
      </c>
      <c r="AD78" s="115">
        <f t="shared" si="104"/>
        <v>0</v>
      </c>
      <c r="AE78" s="115">
        <f t="shared" si="104"/>
        <v>0</v>
      </c>
      <c r="AF78" s="115">
        <f t="shared" si="104"/>
        <v>0</v>
      </c>
      <c r="AG78" s="115">
        <f t="shared" si="104"/>
        <v>0</v>
      </c>
      <c r="AH78" s="115">
        <f t="shared" si="104"/>
        <v>0</v>
      </c>
      <c r="AI78" s="115">
        <f t="shared" si="104"/>
        <v>0</v>
      </c>
      <c r="AJ78" s="115">
        <f t="shared" si="105"/>
        <v>0</v>
      </c>
      <c r="AK78" s="115">
        <f t="shared" si="105"/>
        <v>0</v>
      </c>
      <c r="AL78" s="115">
        <f t="shared" si="105"/>
        <v>0</v>
      </c>
      <c r="AM78" s="115">
        <f t="shared" si="105"/>
        <v>0</v>
      </c>
      <c r="AN78" s="115">
        <f t="shared" si="105"/>
        <v>0</v>
      </c>
      <c r="AO78" s="115">
        <f t="shared" si="105"/>
        <v>0</v>
      </c>
      <c r="AP78" s="115">
        <f t="shared" si="105"/>
        <v>0</v>
      </c>
      <c r="AQ78" s="115">
        <f t="shared" si="105"/>
        <v>0</v>
      </c>
      <c r="AR78" s="115">
        <f t="shared" si="105"/>
        <v>0</v>
      </c>
      <c r="AS78" s="115">
        <f t="shared" si="105"/>
        <v>0</v>
      </c>
      <c r="AT78" s="115">
        <f t="shared" si="106"/>
        <v>0</v>
      </c>
      <c r="AU78" s="115">
        <f t="shared" si="106"/>
        <v>0</v>
      </c>
      <c r="AV78" s="115" t="e">
        <f t="shared" si="106"/>
        <v>#VALUE!</v>
      </c>
      <c r="AW78" s="115" t="e">
        <f t="shared" si="106"/>
        <v>#VALUE!</v>
      </c>
      <c r="AX78" s="115" t="e">
        <f t="shared" si="106"/>
        <v>#VALUE!</v>
      </c>
      <c r="AY78" s="115" t="e">
        <f t="shared" si="106"/>
        <v>#VALUE!</v>
      </c>
      <c r="AZ78" s="115" t="e">
        <f t="shared" si="106"/>
        <v>#VALUE!</v>
      </c>
      <c r="BA78" s="115" t="e">
        <f t="shared" si="106"/>
        <v>#VALUE!</v>
      </c>
      <c r="BB78" s="115" t="e">
        <f t="shared" si="106"/>
        <v>#VALUE!</v>
      </c>
      <c r="BC78" s="115" t="e">
        <f t="shared" si="106"/>
        <v>#VALUE!</v>
      </c>
      <c r="BD78" s="115" t="e">
        <f t="shared" si="107"/>
        <v>#VALUE!</v>
      </c>
      <c r="BE78" s="115" t="e">
        <f t="shared" si="107"/>
        <v>#VALUE!</v>
      </c>
      <c r="BF78" s="115" t="e">
        <f t="shared" si="107"/>
        <v>#VALUE!</v>
      </c>
      <c r="BG78" s="115" t="e">
        <f t="shared" si="107"/>
        <v>#VALUE!</v>
      </c>
      <c r="BH78" s="115" t="e">
        <f t="shared" si="107"/>
        <v>#VALUE!</v>
      </c>
      <c r="BI78" s="115" t="e">
        <f t="shared" si="107"/>
        <v>#VALUE!</v>
      </c>
      <c r="BJ78" s="115" t="e">
        <f t="shared" si="107"/>
        <v>#VALUE!</v>
      </c>
      <c r="BK78" s="115" t="e">
        <f t="shared" si="107"/>
        <v>#VALUE!</v>
      </c>
      <c r="BL78" s="115" t="e">
        <f t="shared" si="107"/>
        <v>#VALUE!</v>
      </c>
      <c r="BM78" s="115" t="e">
        <f t="shared" si="107"/>
        <v>#VALUE!</v>
      </c>
      <c r="BN78" s="115" t="e">
        <f t="shared" si="108"/>
        <v>#VALUE!</v>
      </c>
      <c r="BO78" s="115" t="e">
        <f t="shared" si="108"/>
        <v>#VALUE!</v>
      </c>
      <c r="BP78" s="115" t="e">
        <f t="shared" si="108"/>
        <v>#VALUE!</v>
      </c>
      <c r="BQ78" s="115" t="e">
        <f t="shared" si="108"/>
        <v>#VALUE!</v>
      </c>
      <c r="BR78" s="115" t="e">
        <f t="shared" si="108"/>
        <v>#VALUE!</v>
      </c>
      <c r="BS78" s="115" t="e">
        <f t="shared" si="108"/>
        <v>#VALUE!</v>
      </c>
      <c r="BT78" s="115" t="e">
        <f t="shared" si="108"/>
        <v>#VALUE!</v>
      </c>
      <c r="BU78" s="115" t="e">
        <f t="shared" si="108"/>
        <v>#VALUE!</v>
      </c>
      <c r="BV78" s="115" t="e">
        <f t="shared" si="108"/>
        <v>#VALUE!</v>
      </c>
      <c r="BW78" s="115" t="e">
        <f t="shared" si="108"/>
        <v>#VALUE!</v>
      </c>
      <c r="BX78" s="115" t="e">
        <f t="shared" si="109"/>
        <v>#VALUE!</v>
      </c>
      <c r="BY78" s="115" t="e">
        <f t="shared" si="109"/>
        <v>#VALUE!</v>
      </c>
      <c r="BZ78" s="115" t="e">
        <f t="shared" si="109"/>
        <v>#VALUE!</v>
      </c>
      <c r="CA78" s="115" t="e">
        <f t="shared" si="109"/>
        <v>#VALUE!</v>
      </c>
      <c r="CB78" s="115" t="e">
        <f t="shared" si="109"/>
        <v>#VALUE!</v>
      </c>
      <c r="CC78" s="115" t="e">
        <f t="shared" si="109"/>
        <v>#VALUE!</v>
      </c>
      <c r="CD78" s="115" t="e">
        <f t="shared" si="109"/>
        <v>#VALUE!</v>
      </c>
      <c r="CE78" s="115" t="e">
        <f t="shared" si="109"/>
        <v>#VALUE!</v>
      </c>
      <c r="CF78" s="115" t="e">
        <f t="shared" si="109"/>
        <v>#VALUE!</v>
      </c>
      <c r="CG78" s="115" t="e">
        <f t="shared" si="109"/>
        <v>#VALUE!</v>
      </c>
      <c r="CH78" s="115" t="e">
        <f t="shared" si="110"/>
        <v>#VALUE!</v>
      </c>
      <c r="CI78" s="115" t="e">
        <f t="shared" si="110"/>
        <v>#VALUE!</v>
      </c>
      <c r="CJ78" s="115" t="e">
        <f t="shared" si="110"/>
        <v>#VALUE!</v>
      </c>
      <c r="CK78" s="115" t="e">
        <f t="shared" si="110"/>
        <v>#VALUE!</v>
      </c>
      <c r="CL78" s="115" t="e">
        <f t="shared" si="110"/>
        <v>#VALUE!</v>
      </c>
      <c r="CM78" s="115" t="e">
        <f t="shared" si="110"/>
        <v>#VALUE!</v>
      </c>
      <c r="CN78" s="115" t="e">
        <f t="shared" si="110"/>
        <v>#VALUE!</v>
      </c>
      <c r="CO78" s="115" t="e">
        <f t="shared" si="110"/>
        <v>#VALUE!</v>
      </c>
      <c r="CP78" s="115" t="e">
        <f t="shared" si="110"/>
        <v>#VALUE!</v>
      </c>
      <c r="CQ78" s="115" t="e">
        <f t="shared" si="110"/>
        <v>#VALUE!</v>
      </c>
      <c r="CR78" s="115" t="e">
        <f t="shared" si="111"/>
        <v>#VALUE!</v>
      </c>
      <c r="CS78" s="115" t="e">
        <f t="shared" si="111"/>
        <v>#VALUE!</v>
      </c>
      <c r="CT78" s="115" t="e">
        <f t="shared" si="111"/>
        <v>#VALUE!</v>
      </c>
      <c r="CU78" s="115" t="e">
        <f t="shared" si="111"/>
        <v>#VALUE!</v>
      </c>
      <c r="CV78" s="115" t="e">
        <f t="shared" si="111"/>
        <v>#VALUE!</v>
      </c>
      <c r="CW78" s="115" t="e">
        <f t="shared" si="111"/>
        <v>#VALUE!</v>
      </c>
      <c r="CX78" s="115" t="e">
        <f t="shared" si="111"/>
        <v>#VALUE!</v>
      </c>
      <c r="CY78" s="115" t="e">
        <f t="shared" si="111"/>
        <v>#VALUE!</v>
      </c>
      <c r="CZ78" s="115" t="e">
        <f t="shared" si="111"/>
        <v>#VALUE!</v>
      </c>
      <c r="DA78" s="115" t="e">
        <f t="shared" si="111"/>
        <v>#VALUE!</v>
      </c>
      <c r="DB78" s="115" t="e">
        <f t="shared" si="112"/>
        <v>#VALUE!</v>
      </c>
      <c r="DC78" s="115" t="e">
        <f t="shared" si="112"/>
        <v>#VALUE!</v>
      </c>
      <c r="DD78" s="115" t="e">
        <f t="shared" si="112"/>
        <v>#VALUE!</v>
      </c>
      <c r="DE78" s="115" t="e">
        <f t="shared" si="112"/>
        <v>#VALUE!</v>
      </c>
      <c r="DF78" s="115" t="e">
        <f t="shared" si="112"/>
        <v>#VALUE!</v>
      </c>
      <c r="DG78" s="115" t="e">
        <f t="shared" si="112"/>
        <v>#VALUE!</v>
      </c>
      <c r="DH78" s="115" t="e">
        <f t="shared" si="112"/>
        <v>#VALUE!</v>
      </c>
      <c r="DI78" s="115" t="e">
        <f t="shared" si="112"/>
        <v>#VALUE!</v>
      </c>
      <c r="DJ78" s="115" t="e">
        <f t="shared" si="112"/>
        <v>#VALUE!</v>
      </c>
      <c r="DK78" s="115" t="e">
        <f t="shared" si="112"/>
        <v>#VALUE!</v>
      </c>
      <c r="DL78" s="115" t="e">
        <f t="shared" si="112"/>
        <v>#VALUE!</v>
      </c>
      <c r="DM78" s="115" t="e">
        <f t="shared" si="112"/>
        <v>#VALUE!</v>
      </c>
    </row>
    <row r="79" spans="1:117" ht="15" customHeight="1" thickBot="1">
      <c r="A79" s="55">
        <v>7000</v>
      </c>
      <c r="B79" s="194" t="s">
        <v>728</v>
      </c>
      <c r="C79" s="194" t="s">
        <v>808</v>
      </c>
      <c r="D79" s="194" t="s">
        <v>608</v>
      </c>
      <c r="E79" s="194"/>
      <c r="F79" s="194" t="s">
        <v>615</v>
      </c>
      <c r="G79" s="291">
        <f t="shared" si="102"/>
        <v>0</v>
      </c>
      <c r="H79" s="292">
        <f>VLOOKUP("FASSRKTa",Reinigung,5,0)</f>
        <v>0</v>
      </c>
      <c r="I79" s="168"/>
      <c r="J79" s="194" t="s">
        <v>727</v>
      </c>
      <c r="K79" s="378" t="s">
        <v>732</v>
      </c>
      <c r="L79" s="379" t="s">
        <v>361</v>
      </c>
      <c r="M79" s="325">
        <f>VLOOKUP(L79,Finanzielle_Parameter,5,0)</f>
        <v>2.67</v>
      </c>
      <c r="N79" s="380">
        <f>(1+VLOOKUP(L79,Finanzielle_Parameter,5,0)/100)/(1+VLOOKUP("R",Finanzielle_Parameter,5,0)/100)</f>
        <v>1.0095378564405113</v>
      </c>
      <c r="O79" s="381">
        <f t="shared" si="103"/>
        <v>0</v>
      </c>
      <c r="P79" s="169" t="s">
        <v>103</v>
      </c>
      <c r="Q79" s="114">
        <f t="shared" si="103"/>
        <v>0</v>
      </c>
      <c r="R79" s="115">
        <f t="shared" si="103"/>
        <v>0</v>
      </c>
      <c r="S79" s="115">
        <f t="shared" si="103"/>
        <v>0</v>
      </c>
      <c r="T79" s="115">
        <f t="shared" si="103"/>
        <v>0</v>
      </c>
      <c r="U79" s="115">
        <f t="shared" si="103"/>
        <v>0</v>
      </c>
      <c r="V79" s="115">
        <f t="shared" si="103"/>
        <v>0</v>
      </c>
      <c r="W79" s="115">
        <f t="shared" si="103"/>
        <v>0</v>
      </c>
      <c r="X79" s="115">
        <f t="shared" si="103"/>
        <v>0</v>
      </c>
      <c r="Y79" s="115">
        <f t="shared" si="103"/>
        <v>0</v>
      </c>
      <c r="Z79" s="115">
        <f t="shared" si="104"/>
        <v>0</v>
      </c>
      <c r="AA79" s="115">
        <f t="shared" si="104"/>
        <v>0</v>
      </c>
      <c r="AB79" s="115">
        <f t="shared" si="104"/>
        <v>0</v>
      </c>
      <c r="AC79" s="115">
        <f t="shared" si="104"/>
        <v>0</v>
      </c>
      <c r="AD79" s="115">
        <f t="shared" si="104"/>
        <v>0</v>
      </c>
      <c r="AE79" s="115">
        <f t="shared" si="104"/>
        <v>0</v>
      </c>
      <c r="AF79" s="115">
        <f t="shared" si="104"/>
        <v>0</v>
      </c>
      <c r="AG79" s="115">
        <f t="shared" si="104"/>
        <v>0</v>
      </c>
      <c r="AH79" s="115">
        <f t="shared" si="104"/>
        <v>0</v>
      </c>
      <c r="AI79" s="115">
        <f t="shared" si="104"/>
        <v>0</v>
      </c>
      <c r="AJ79" s="115">
        <f t="shared" si="105"/>
        <v>0</v>
      </c>
      <c r="AK79" s="115">
        <f t="shared" si="105"/>
        <v>0</v>
      </c>
      <c r="AL79" s="115">
        <f t="shared" si="105"/>
        <v>0</v>
      </c>
      <c r="AM79" s="115">
        <f t="shared" si="105"/>
        <v>0</v>
      </c>
      <c r="AN79" s="115">
        <f t="shared" si="105"/>
        <v>0</v>
      </c>
      <c r="AO79" s="115">
        <f t="shared" si="105"/>
        <v>0</v>
      </c>
      <c r="AP79" s="115">
        <f t="shared" si="105"/>
        <v>0</v>
      </c>
      <c r="AQ79" s="115">
        <f t="shared" si="105"/>
        <v>0</v>
      </c>
      <c r="AR79" s="115">
        <f t="shared" si="105"/>
        <v>0</v>
      </c>
      <c r="AS79" s="115">
        <f t="shared" si="105"/>
        <v>0</v>
      </c>
      <c r="AT79" s="115">
        <f t="shared" si="106"/>
        <v>0</v>
      </c>
      <c r="AU79" s="115">
        <f t="shared" si="106"/>
        <v>0</v>
      </c>
      <c r="AV79" s="115" t="e">
        <f t="shared" si="106"/>
        <v>#VALUE!</v>
      </c>
      <c r="AW79" s="115" t="e">
        <f t="shared" si="106"/>
        <v>#VALUE!</v>
      </c>
      <c r="AX79" s="115" t="e">
        <f t="shared" si="106"/>
        <v>#VALUE!</v>
      </c>
      <c r="AY79" s="115" t="e">
        <f t="shared" si="106"/>
        <v>#VALUE!</v>
      </c>
      <c r="AZ79" s="115" t="e">
        <f t="shared" si="106"/>
        <v>#VALUE!</v>
      </c>
      <c r="BA79" s="115" t="e">
        <f t="shared" si="106"/>
        <v>#VALUE!</v>
      </c>
      <c r="BB79" s="115" t="e">
        <f t="shared" si="106"/>
        <v>#VALUE!</v>
      </c>
      <c r="BC79" s="115" t="e">
        <f t="shared" si="106"/>
        <v>#VALUE!</v>
      </c>
      <c r="BD79" s="115" t="e">
        <f t="shared" si="107"/>
        <v>#VALUE!</v>
      </c>
      <c r="BE79" s="115" t="e">
        <f t="shared" si="107"/>
        <v>#VALUE!</v>
      </c>
      <c r="BF79" s="115" t="e">
        <f t="shared" si="107"/>
        <v>#VALUE!</v>
      </c>
      <c r="BG79" s="115" t="e">
        <f t="shared" si="107"/>
        <v>#VALUE!</v>
      </c>
      <c r="BH79" s="115" t="e">
        <f t="shared" si="107"/>
        <v>#VALUE!</v>
      </c>
      <c r="BI79" s="115" t="e">
        <f t="shared" si="107"/>
        <v>#VALUE!</v>
      </c>
      <c r="BJ79" s="115" t="e">
        <f t="shared" si="107"/>
        <v>#VALUE!</v>
      </c>
      <c r="BK79" s="115" t="e">
        <f t="shared" si="107"/>
        <v>#VALUE!</v>
      </c>
      <c r="BL79" s="115" t="e">
        <f t="shared" si="107"/>
        <v>#VALUE!</v>
      </c>
      <c r="BM79" s="115" t="e">
        <f t="shared" si="107"/>
        <v>#VALUE!</v>
      </c>
      <c r="BN79" s="115" t="e">
        <f t="shared" si="108"/>
        <v>#VALUE!</v>
      </c>
      <c r="BO79" s="115" t="e">
        <f t="shared" si="108"/>
        <v>#VALUE!</v>
      </c>
      <c r="BP79" s="115" t="e">
        <f t="shared" si="108"/>
        <v>#VALUE!</v>
      </c>
      <c r="BQ79" s="115" t="e">
        <f t="shared" si="108"/>
        <v>#VALUE!</v>
      </c>
      <c r="BR79" s="115" t="e">
        <f t="shared" si="108"/>
        <v>#VALUE!</v>
      </c>
      <c r="BS79" s="115" t="e">
        <f t="shared" si="108"/>
        <v>#VALUE!</v>
      </c>
      <c r="BT79" s="115" t="e">
        <f t="shared" si="108"/>
        <v>#VALUE!</v>
      </c>
      <c r="BU79" s="115" t="e">
        <f t="shared" si="108"/>
        <v>#VALUE!</v>
      </c>
      <c r="BV79" s="115" t="e">
        <f t="shared" si="108"/>
        <v>#VALUE!</v>
      </c>
      <c r="BW79" s="115" t="e">
        <f t="shared" si="108"/>
        <v>#VALUE!</v>
      </c>
      <c r="BX79" s="115" t="e">
        <f t="shared" si="109"/>
        <v>#VALUE!</v>
      </c>
      <c r="BY79" s="115" t="e">
        <f t="shared" si="109"/>
        <v>#VALUE!</v>
      </c>
      <c r="BZ79" s="115" t="e">
        <f t="shared" si="109"/>
        <v>#VALUE!</v>
      </c>
      <c r="CA79" s="115" t="e">
        <f t="shared" si="109"/>
        <v>#VALUE!</v>
      </c>
      <c r="CB79" s="115" t="e">
        <f t="shared" si="109"/>
        <v>#VALUE!</v>
      </c>
      <c r="CC79" s="115" t="e">
        <f t="shared" si="109"/>
        <v>#VALUE!</v>
      </c>
      <c r="CD79" s="115" t="e">
        <f t="shared" si="109"/>
        <v>#VALUE!</v>
      </c>
      <c r="CE79" s="115" t="e">
        <f t="shared" si="109"/>
        <v>#VALUE!</v>
      </c>
      <c r="CF79" s="115" t="e">
        <f t="shared" si="109"/>
        <v>#VALUE!</v>
      </c>
      <c r="CG79" s="115" t="e">
        <f t="shared" si="109"/>
        <v>#VALUE!</v>
      </c>
      <c r="CH79" s="115" t="e">
        <f t="shared" si="110"/>
        <v>#VALUE!</v>
      </c>
      <c r="CI79" s="115" t="e">
        <f t="shared" si="110"/>
        <v>#VALUE!</v>
      </c>
      <c r="CJ79" s="115" t="e">
        <f t="shared" si="110"/>
        <v>#VALUE!</v>
      </c>
      <c r="CK79" s="115" t="e">
        <f t="shared" si="110"/>
        <v>#VALUE!</v>
      </c>
      <c r="CL79" s="115" t="e">
        <f t="shared" si="110"/>
        <v>#VALUE!</v>
      </c>
      <c r="CM79" s="115" t="e">
        <f t="shared" si="110"/>
        <v>#VALUE!</v>
      </c>
      <c r="CN79" s="115" t="e">
        <f t="shared" si="110"/>
        <v>#VALUE!</v>
      </c>
      <c r="CO79" s="115" t="e">
        <f t="shared" si="110"/>
        <v>#VALUE!</v>
      </c>
      <c r="CP79" s="115" t="e">
        <f t="shared" si="110"/>
        <v>#VALUE!</v>
      </c>
      <c r="CQ79" s="115" t="e">
        <f t="shared" si="110"/>
        <v>#VALUE!</v>
      </c>
      <c r="CR79" s="115" t="e">
        <f t="shared" si="111"/>
        <v>#VALUE!</v>
      </c>
      <c r="CS79" s="115" t="e">
        <f t="shared" si="111"/>
        <v>#VALUE!</v>
      </c>
      <c r="CT79" s="115" t="e">
        <f t="shared" si="111"/>
        <v>#VALUE!</v>
      </c>
      <c r="CU79" s="115" t="e">
        <f t="shared" si="111"/>
        <v>#VALUE!</v>
      </c>
      <c r="CV79" s="115" t="e">
        <f t="shared" si="111"/>
        <v>#VALUE!</v>
      </c>
      <c r="CW79" s="115" t="e">
        <f t="shared" si="111"/>
        <v>#VALUE!</v>
      </c>
      <c r="CX79" s="115" t="e">
        <f t="shared" si="111"/>
        <v>#VALUE!</v>
      </c>
      <c r="CY79" s="115" t="e">
        <f t="shared" si="111"/>
        <v>#VALUE!</v>
      </c>
      <c r="CZ79" s="115" t="e">
        <f t="shared" si="111"/>
        <v>#VALUE!</v>
      </c>
      <c r="DA79" s="115" t="e">
        <f t="shared" si="111"/>
        <v>#VALUE!</v>
      </c>
      <c r="DB79" s="115" t="e">
        <f t="shared" si="112"/>
        <v>#VALUE!</v>
      </c>
      <c r="DC79" s="115" t="e">
        <f t="shared" si="112"/>
        <v>#VALUE!</v>
      </c>
      <c r="DD79" s="115" t="e">
        <f t="shared" si="112"/>
        <v>#VALUE!</v>
      </c>
      <c r="DE79" s="115" t="e">
        <f t="shared" si="112"/>
        <v>#VALUE!</v>
      </c>
      <c r="DF79" s="115" t="e">
        <f t="shared" si="112"/>
        <v>#VALUE!</v>
      </c>
      <c r="DG79" s="115" t="e">
        <f t="shared" si="112"/>
        <v>#VALUE!</v>
      </c>
      <c r="DH79" s="115" t="e">
        <f t="shared" si="112"/>
        <v>#VALUE!</v>
      </c>
      <c r="DI79" s="115" t="e">
        <f t="shared" si="112"/>
        <v>#VALUE!</v>
      </c>
      <c r="DJ79" s="115" t="e">
        <f t="shared" si="112"/>
        <v>#VALUE!</v>
      </c>
      <c r="DK79" s="115" t="e">
        <f t="shared" si="112"/>
        <v>#VALUE!</v>
      </c>
      <c r="DL79" s="115" t="e">
        <f t="shared" si="112"/>
        <v>#VALUE!</v>
      </c>
      <c r="DM79" s="115" t="e">
        <f t="shared" si="112"/>
        <v>#VALUE!</v>
      </c>
    </row>
    <row r="80" spans="1:117" ht="15" customHeight="1" thickBot="1">
      <c r="A80" s="293">
        <v>7200</v>
      </c>
      <c r="B80" s="172" t="s">
        <v>743</v>
      </c>
      <c r="C80" s="172" t="s">
        <v>809</v>
      </c>
      <c r="D80" s="172" t="s">
        <v>810</v>
      </c>
      <c r="E80" s="172"/>
      <c r="F80" s="172" t="s">
        <v>117</v>
      </c>
      <c r="G80" s="171">
        <f>SUM(G81:G82)</f>
        <v>0</v>
      </c>
      <c r="H80" s="171"/>
      <c r="I80" s="171"/>
      <c r="J80" s="172" t="s">
        <v>727</v>
      </c>
      <c r="K80" s="11"/>
      <c r="L80" s="172"/>
      <c r="M80" s="293"/>
      <c r="N80" s="293"/>
      <c r="O80" s="376">
        <f>SUM(O81:O82)</f>
        <v>0</v>
      </c>
      <c r="P80" s="377" t="s">
        <v>103</v>
      </c>
      <c r="Q80" s="116"/>
      <c r="R80" s="116"/>
      <c r="S80" s="116"/>
      <c r="T80" s="116"/>
      <c r="U80" s="116"/>
      <c r="V80" s="116"/>
      <c r="W80" s="116"/>
      <c r="X80" s="116"/>
      <c r="Y80" s="116"/>
      <c r="Z80" s="116"/>
      <c r="AA80" s="116"/>
      <c r="AB80" s="116"/>
      <c r="AC80" s="116"/>
      <c r="AD80" s="116"/>
      <c r="AE80" s="116"/>
      <c r="AF80" s="116"/>
      <c r="AG80" s="116"/>
      <c r="AH80" s="116"/>
      <c r="AI80" s="116"/>
      <c r="AJ80" s="116"/>
      <c r="AK80" s="116"/>
      <c r="AL80" s="116"/>
      <c r="AM80" s="116"/>
      <c r="AN80" s="116"/>
      <c r="AO80" s="116"/>
      <c r="AP80" s="116"/>
      <c r="AQ80" s="116"/>
      <c r="AR80" s="116"/>
      <c r="AS80" s="116"/>
      <c r="AT80" s="116"/>
      <c r="AU80" s="116"/>
      <c r="AV80" s="116"/>
      <c r="AW80" s="116"/>
      <c r="AX80" s="116"/>
      <c r="AY80" s="116"/>
      <c r="AZ80" s="116"/>
      <c r="BA80" s="116"/>
      <c r="BB80" s="116"/>
      <c r="BC80" s="116"/>
      <c r="BD80" s="116"/>
      <c r="BE80" s="116"/>
      <c r="BF80" s="116"/>
      <c r="BG80" s="116"/>
      <c r="BH80" s="116"/>
      <c r="BI80" s="116"/>
      <c r="BJ80" s="116"/>
      <c r="BK80" s="116"/>
      <c r="BL80" s="116"/>
      <c r="BM80" s="116"/>
      <c r="BN80" s="116"/>
      <c r="BO80" s="116"/>
      <c r="BP80" s="116"/>
      <c r="BQ80" s="116"/>
      <c r="BR80" s="116"/>
      <c r="BS80" s="116"/>
      <c r="BT80" s="116"/>
      <c r="BU80" s="116"/>
      <c r="BV80" s="116"/>
      <c r="BW80" s="116"/>
      <c r="BX80" s="116"/>
      <c r="BY80" s="116"/>
      <c r="BZ80" s="116"/>
      <c r="CA80" s="116"/>
      <c r="CB80" s="116"/>
      <c r="CC80" s="116"/>
      <c r="CD80" s="116"/>
      <c r="CE80" s="116"/>
      <c r="CF80" s="116"/>
      <c r="CG80" s="116"/>
      <c r="CH80" s="116"/>
      <c r="CI80" s="116"/>
      <c r="CJ80" s="116"/>
      <c r="CK80" s="116"/>
      <c r="CL80" s="116"/>
      <c r="CM80" s="116"/>
      <c r="CN80" s="116"/>
      <c r="CO80" s="116"/>
      <c r="CP80" s="116"/>
      <c r="CQ80" s="116"/>
      <c r="CR80" s="116"/>
      <c r="CS80" s="116"/>
      <c r="CT80" s="116"/>
      <c r="CU80" s="116"/>
      <c r="CV80" s="116"/>
      <c r="CW80" s="116"/>
      <c r="CX80" s="116"/>
      <c r="CY80" s="116"/>
      <c r="CZ80" s="116"/>
      <c r="DA80" s="116"/>
      <c r="DB80" s="116"/>
      <c r="DC80" s="116"/>
      <c r="DD80" s="116"/>
      <c r="DE80" s="116"/>
      <c r="DF80" s="116"/>
      <c r="DG80" s="116"/>
      <c r="DH80" s="116"/>
      <c r="DI80" s="116"/>
      <c r="DJ80" s="116"/>
      <c r="DK80" s="116"/>
      <c r="DL80" s="116"/>
      <c r="DM80" s="116"/>
    </row>
    <row r="81" spans="1:117" ht="15" customHeight="1" thickBot="1">
      <c r="A81" s="55">
        <v>7300</v>
      </c>
      <c r="B81" s="194" t="s">
        <v>728</v>
      </c>
      <c r="C81" s="194" t="s">
        <v>811</v>
      </c>
      <c r="D81" s="194" t="s">
        <v>812</v>
      </c>
      <c r="E81" s="194"/>
      <c r="F81" s="194" t="s">
        <v>604</v>
      </c>
      <c r="G81" s="291">
        <f t="shared" ref="G81:G85" si="113">IF(I81="",H81,I81)</f>
        <v>0</v>
      </c>
      <c r="H81" s="292">
        <f>VLOOKUP("JALRKa",Reinigung,5,0)</f>
        <v>0</v>
      </c>
      <c r="I81" s="168"/>
      <c r="J81" s="194" t="s">
        <v>727</v>
      </c>
      <c r="K81" s="378" t="s">
        <v>732</v>
      </c>
      <c r="L81" s="379" t="s">
        <v>361</v>
      </c>
      <c r="M81" s="325">
        <f>VLOOKUP(L81,Finanzielle_Parameter,5,0)</f>
        <v>2.67</v>
      </c>
      <c r="N81" s="380">
        <f>(1+VLOOKUP(L81,Finanzielle_Parameter,5,0)/100)/(1+VLOOKUP("R",Finanzielle_Parameter,5,0)/100)</f>
        <v>1.0095378564405113</v>
      </c>
      <c r="O81" s="381">
        <f t="shared" ref="O81:Y85" si="114">IF($N81&lt;&gt;1,$G81*($N81^$K81)*(($N81^($K81*INT(O$2/$K81))-1)/($N81^$K81-1)),$G81*INT(O$2/$K81))</f>
        <v>0</v>
      </c>
      <c r="P81" s="169" t="s">
        <v>103</v>
      </c>
      <c r="Q81" s="114">
        <f t="shared" si="114"/>
        <v>0</v>
      </c>
      <c r="R81" s="115">
        <f t="shared" si="114"/>
        <v>0</v>
      </c>
      <c r="S81" s="115">
        <f t="shared" si="114"/>
        <v>0</v>
      </c>
      <c r="T81" s="115">
        <f t="shared" si="114"/>
        <v>0</v>
      </c>
      <c r="U81" s="115">
        <f t="shared" si="114"/>
        <v>0</v>
      </c>
      <c r="V81" s="115">
        <f t="shared" si="114"/>
        <v>0</v>
      </c>
      <c r="W81" s="115">
        <f t="shared" si="114"/>
        <v>0</v>
      </c>
      <c r="X81" s="115">
        <f t="shared" si="114"/>
        <v>0</v>
      </c>
      <c r="Y81" s="115">
        <f t="shared" si="114"/>
        <v>0</v>
      </c>
      <c r="Z81" s="115">
        <f t="shared" ref="Z81:AI85" si="115">IF($N81&lt;&gt;1,$G81*($N81^$K81)*(($N81^($K81*INT(Z$2/$K81))-1)/($N81^$K81-1)),$G81*INT(Z$2/$K81))</f>
        <v>0</v>
      </c>
      <c r="AA81" s="115">
        <f t="shared" si="115"/>
        <v>0</v>
      </c>
      <c r="AB81" s="115">
        <f t="shared" si="115"/>
        <v>0</v>
      </c>
      <c r="AC81" s="115">
        <f t="shared" si="115"/>
        <v>0</v>
      </c>
      <c r="AD81" s="115">
        <f t="shared" si="115"/>
        <v>0</v>
      </c>
      <c r="AE81" s="115">
        <f t="shared" si="115"/>
        <v>0</v>
      </c>
      <c r="AF81" s="115">
        <f t="shared" si="115"/>
        <v>0</v>
      </c>
      <c r="AG81" s="115">
        <f t="shared" si="115"/>
        <v>0</v>
      </c>
      <c r="AH81" s="115">
        <f t="shared" si="115"/>
        <v>0</v>
      </c>
      <c r="AI81" s="115">
        <f t="shared" si="115"/>
        <v>0</v>
      </c>
      <c r="AJ81" s="115">
        <f t="shared" ref="AJ81:AS85" si="116">IF($N81&lt;&gt;1,$G81*($N81^$K81)*(($N81^($K81*INT(AJ$2/$K81))-1)/($N81^$K81-1)),$G81*INT(AJ$2/$K81))</f>
        <v>0</v>
      </c>
      <c r="AK81" s="115">
        <f t="shared" si="116"/>
        <v>0</v>
      </c>
      <c r="AL81" s="115">
        <f t="shared" si="116"/>
        <v>0</v>
      </c>
      <c r="AM81" s="115">
        <f t="shared" si="116"/>
        <v>0</v>
      </c>
      <c r="AN81" s="115">
        <f t="shared" si="116"/>
        <v>0</v>
      </c>
      <c r="AO81" s="115">
        <f t="shared" si="116"/>
        <v>0</v>
      </c>
      <c r="AP81" s="115">
        <f t="shared" si="116"/>
        <v>0</v>
      </c>
      <c r="AQ81" s="115">
        <f t="shared" si="116"/>
        <v>0</v>
      </c>
      <c r="AR81" s="115">
        <f t="shared" si="116"/>
        <v>0</v>
      </c>
      <c r="AS81" s="115">
        <f t="shared" si="116"/>
        <v>0</v>
      </c>
      <c r="AT81" s="115">
        <f t="shared" ref="AT81:BC85" si="117">IF($N81&lt;&gt;1,$G81*($N81^$K81)*(($N81^($K81*INT(AT$2/$K81))-1)/($N81^$K81-1)),$G81*INT(AT$2/$K81))</f>
        <v>0</v>
      </c>
      <c r="AU81" s="115">
        <f t="shared" si="117"/>
        <v>0</v>
      </c>
      <c r="AV81" s="115" t="e">
        <f t="shared" si="117"/>
        <v>#VALUE!</v>
      </c>
      <c r="AW81" s="115" t="e">
        <f t="shared" si="117"/>
        <v>#VALUE!</v>
      </c>
      <c r="AX81" s="115" t="e">
        <f t="shared" si="117"/>
        <v>#VALUE!</v>
      </c>
      <c r="AY81" s="115" t="e">
        <f t="shared" si="117"/>
        <v>#VALUE!</v>
      </c>
      <c r="AZ81" s="115" t="e">
        <f t="shared" si="117"/>
        <v>#VALUE!</v>
      </c>
      <c r="BA81" s="115" t="e">
        <f t="shared" si="117"/>
        <v>#VALUE!</v>
      </c>
      <c r="BB81" s="115" t="e">
        <f t="shared" si="117"/>
        <v>#VALUE!</v>
      </c>
      <c r="BC81" s="115" t="e">
        <f t="shared" si="117"/>
        <v>#VALUE!</v>
      </c>
      <c r="BD81" s="115" t="e">
        <f t="shared" ref="BD81:BM85" si="118">IF($N81&lt;&gt;1,$G81*($N81^$K81)*(($N81^($K81*INT(BD$2/$K81))-1)/($N81^$K81-1)),$G81*INT(BD$2/$K81))</f>
        <v>#VALUE!</v>
      </c>
      <c r="BE81" s="115" t="e">
        <f t="shared" si="118"/>
        <v>#VALUE!</v>
      </c>
      <c r="BF81" s="115" t="e">
        <f t="shared" si="118"/>
        <v>#VALUE!</v>
      </c>
      <c r="BG81" s="115" t="e">
        <f t="shared" si="118"/>
        <v>#VALUE!</v>
      </c>
      <c r="BH81" s="115" t="e">
        <f t="shared" si="118"/>
        <v>#VALUE!</v>
      </c>
      <c r="BI81" s="115" t="e">
        <f t="shared" si="118"/>
        <v>#VALUE!</v>
      </c>
      <c r="BJ81" s="115" t="e">
        <f t="shared" si="118"/>
        <v>#VALUE!</v>
      </c>
      <c r="BK81" s="115" t="e">
        <f t="shared" si="118"/>
        <v>#VALUE!</v>
      </c>
      <c r="BL81" s="115" t="e">
        <f t="shared" si="118"/>
        <v>#VALUE!</v>
      </c>
      <c r="BM81" s="115" t="e">
        <f t="shared" si="118"/>
        <v>#VALUE!</v>
      </c>
      <c r="BN81" s="115" t="e">
        <f t="shared" ref="BN81:BW85" si="119">IF($N81&lt;&gt;1,$G81*($N81^$K81)*(($N81^($K81*INT(BN$2/$K81))-1)/($N81^$K81-1)),$G81*INT(BN$2/$K81))</f>
        <v>#VALUE!</v>
      </c>
      <c r="BO81" s="115" t="e">
        <f t="shared" si="119"/>
        <v>#VALUE!</v>
      </c>
      <c r="BP81" s="115" t="e">
        <f t="shared" si="119"/>
        <v>#VALUE!</v>
      </c>
      <c r="BQ81" s="115" t="e">
        <f t="shared" si="119"/>
        <v>#VALUE!</v>
      </c>
      <c r="BR81" s="115" t="e">
        <f t="shared" si="119"/>
        <v>#VALUE!</v>
      </c>
      <c r="BS81" s="115" t="e">
        <f t="shared" si="119"/>
        <v>#VALUE!</v>
      </c>
      <c r="BT81" s="115" t="e">
        <f t="shared" si="119"/>
        <v>#VALUE!</v>
      </c>
      <c r="BU81" s="115" t="e">
        <f t="shared" si="119"/>
        <v>#VALUE!</v>
      </c>
      <c r="BV81" s="115" t="e">
        <f t="shared" si="119"/>
        <v>#VALUE!</v>
      </c>
      <c r="BW81" s="115" t="e">
        <f t="shared" si="119"/>
        <v>#VALUE!</v>
      </c>
      <c r="BX81" s="115" t="e">
        <f t="shared" ref="BX81:CG85" si="120">IF($N81&lt;&gt;1,$G81*($N81^$K81)*(($N81^($K81*INT(BX$2/$K81))-1)/($N81^$K81-1)),$G81*INT(BX$2/$K81))</f>
        <v>#VALUE!</v>
      </c>
      <c r="BY81" s="115" t="e">
        <f t="shared" si="120"/>
        <v>#VALUE!</v>
      </c>
      <c r="BZ81" s="115" t="e">
        <f t="shared" si="120"/>
        <v>#VALUE!</v>
      </c>
      <c r="CA81" s="115" t="e">
        <f t="shared" si="120"/>
        <v>#VALUE!</v>
      </c>
      <c r="CB81" s="115" t="e">
        <f t="shared" si="120"/>
        <v>#VALUE!</v>
      </c>
      <c r="CC81" s="115" t="e">
        <f t="shared" si="120"/>
        <v>#VALUE!</v>
      </c>
      <c r="CD81" s="115" t="e">
        <f t="shared" si="120"/>
        <v>#VALUE!</v>
      </c>
      <c r="CE81" s="115" t="e">
        <f t="shared" si="120"/>
        <v>#VALUE!</v>
      </c>
      <c r="CF81" s="115" t="e">
        <f t="shared" si="120"/>
        <v>#VALUE!</v>
      </c>
      <c r="CG81" s="115" t="e">
        <f t="shared" si="120"/>
        <v>#VALUE!</v>
      </c>
      <c r="CH81" s="115" t="e">
        <f t="shared" ref="CH81:CQ85" si="121">IF($N81&lt;&gt;1,$G81*($N81^$K81)*(($N81^($K81*INT(CH$2/$K81))-1)/($N81^$K81-1)),$G81*INT(CH$2/$K81))</f>
        <v>#VALUE!</v>
      </c>
      <c r="CI81" s="115" t="e">
        <f t="shared" si="121"/>
        <v>#VALUE!</v>
      </c>
      <c r="CJ81" s="115" t="e">
        <f t="shared" si="121"/>
        <v>#VALUE!</v>
      </c>
      <c r="CK81" s="115" t="e">
        <f t="shared" si="121"/>
        <v>#VALUE!</v>
      </c>
      <c r="CL81" s="115" t="e">
        <f t="shared" si="121"/>
        <v>#VALUE!</v>
      </c>
      <c r="CM81" s="115" t="e">
        <f t="shared" si="121"/>
        <v>#VALUE!</v>
      </c>
      <c r="CN81" s="115" t="e">
        <f t="shared" si="121"/>
        <v>#VALUE!</v>
      </c>
      <c r="CO81" s="115" t="e">
        <f t="shared" si="121"/>
        <v>#VALUE!</v>
      </c>
      <c r="CP81" s="115" t="e">
        <f t="shared" si="121"/>
        <v>#VALUE!</v>
      </c>
      <c r="CQ81" s="115" t="e">
        <f t="shared" si="121"/>
        <v>#VALUE!</v>
      </c>
      <c r="CR81" s="115" t="e">
        <f t="shared" ref="CR81:DA85" si="122">IF($N81&lt;&gt;1,$G81*($N81^$K81)*(($N81^($K81*INT(CR$2/$K81))-1)/($N81^$K81-1)),$G81*INT(CR$2/$K81))</f>
        <v>#VALUE!</v>
      </c>
      <c r="CS81" s="115" t="e">
        <f t="shared" si="122"/>
        <v>#VALUE!</v>
      </c>
      <c r="CT81" s="115" t="e">
        <f t="shared" si="122"/>
        <v>#VALUE!</v>
      </c>
      <c r="CU81" s="115" t="e">
        <f t="shared" si="122"/>
        <v>#VALUE!</v>
      </c>
      <c r="CV81" s="115" t="e">
        <f t="shared" si="122"/>
        <v>#VALUE!</v>
      </c>
      <c r="CW81" s="115" t="e">
        <f t="shared" si="122"/>
        <v>#VALUE!</v>
      </c>
      <c r="CX81" s="115" t="e">
        <f t="shared" si="122"/>
        <v>#VALUE!</v>
      </c>
      <c r="CY81" s="115" t="e">
        <f t="shared" si="122"/>
        <v>#VALUE!</v>
      </c>
      <c r="CZ81" s="115" t="e">
        <f t="shared" si="122"/>
        <v>#VALUE!</v>
      </c>
      <c r="DA81" s="115" t="e">
        <f t="shared" si="122"/>
        <v>#VALUE!</v>
      </c>
      <c r="DB81" s="115" t="e">
        <f t="shared" ref="DB81:DM85" si="123">IF($N81&lt;&gt;1,$G81*($N81^$K81)*(($N81^($K81*INT(DB$2/$K81))-1)/($N81^$K81-1)),$G81*INT(DB$2/$K81))</f>
        <v>#VALUE!</v>
      </c>
      <c r="DC81" s="115" t="e">
        <f t="shared" si="123"/>
        <v>#VALUE!</v>
      </c>
      <c r="DD81" s="115" t="e">
        <f t="shared" si="123"/>
        <v>#VALUE!</v>
      </c>
      <c r="DE81" s="115" t="e">
        <f t="shared" si="123"/>
        <v>#VALUE!</v>
      </c>
      <c r="DF81" s="115" t="e">
        <f t="shared" si="123"/>
        <v>#VALUE!</v>
      </c>
      <c r="DG81" s="115" t="e">
        <f t="shared" si="123"/>
        <v>#VALUE!</v>
      </c>
      <c r="DH81" s="115" t="e">
        <f t="shared" si="123"/>
        <v>#VALUE!</v>
      </c>
      <c r="DI81" s="115" t="e">
        <f t="shared" si="123"/>
        <v>#VALUE!</v>
      </c>
      <c r="DJ81" s="115" t="e">
        <f t="shared" si="123"/>
        <v>#VALUE!</v>
      </c>
      <c r="DK81" s="115" t="e">
        <f t="shared" si="123"/>
        <v>#VALUE!</v>
      </c>
      <c r="DL81" s="115" t="e">
        <f t="shared" si="123"/>
        <v>#VALUE!</v>
      </c>
      <c r="DM81" s="115" t="e">
        <f t="shared" si="123"/>
        <v>#VALUE!</v>
      </c>
    </row>
    <row r="82" spans="1:117" ht="15" customHeight="1" thickBot="1">
      <c r="A82" s="55"/>
      <c r="B82" s="194" t="s">
        <v>728</v>
      </c>
      <c r="C82" s="194" t="s">
        <v>2351</v>
      </c>
      <c r="D82" s="194" t="s">
        <v>2352</v>
      </c>
      <c r="E82" s="194"/>
      <c r="F82" s="194" t="s">
        <v>2349</v>
      </c>
      <c r="G82" s="291">
        <f t="shared" si="113"/>
        <v>0</v>
      </c>
      <c r="H82" s="292">
        <f>VLOOKUP("PVSOLRKa",Reinigung,5,0)</f>
        <v>0</v>
      </c>
      <c r="I82" s="168"/>
      <c r="J82" s="194" t="s">
        <v>727</v>
      </c>
      <c r="K82" s="378" t="s">
        <v>732</v>
      </c>
      <c r="L82" s="379" t="s">
        <v>361</v>
      </c>
      <c r="M82" s="325">
        <f>VLOOKUP(L82,Finanzielle_Parameter,5,0)</f>
        <v>2.67</v>
      </c>
      <c r="N82" s="380">
        <f>(1+VLOOKUP(L82,Finanzielle_Parameter,5,0)/100)/(1+VLOOKUP("R",Finanzielle_Parameter,5,0)/100)</f>
        <v>1.0095378564405113</v>
      </c>
      <c r="O82" s="381">
        <f t="shared" si="114"/>
        <v>0</v>
      </c>
      <c r="P82" s="169" t="s">
        <v>103</v>
      </c>
      <c r="Q82" s="114">
        <f t="shared" si="114"/>
        <v>0</v>
      </c>
      <c r="R82" s="115">
        <f t="shared" si="114"/>
        <v>0</v>
      </c>
      <c r="S82" s="115">
        <f t="shared" si="114"/>
        <v>0</v>
      </c>
      <c r="T82" s="115">
        <f t="shared" si="114"/>
        <v>0</v>
      </c>
      <c r="U82" s="115">
        <f t="shared" si="114"/>
        <v>0</v>
      </c>
      <c r="V82" s="115">
        <f t="shared" si="114"/>
        <v>0</v>
      </c>
      <c r="W82" s="115">
        <f t="shared" si="114"/>
        <v>0</v>
      </c>
      <c r="X82" s="115">
        <f t="shared" si="114"/>
        <v>0</v>
      </c>
      <c r="Y82" s="115">
        <f t="shared" si="114"/>
        <v>0</v>
      </c>
      <c r="Z82" s="115">
        <f t="shared" si="115"/>
        <v>0</v>
      </c>
      <c r="AA82" s="115">
        <f t="shared" si="115"/>
        <v>0</v>
      </c>
      <c r="AB82" s="115">
        <f t="shared" si="115"/>
        <v>0</v>
      </c>
      <c r="AC82" s="115">
        <f t="shared" si="115"/>
        <v>0</v>
      </c>
      <c r="AD82" s="115">
        <f t="shared" si="115"/>
        <v>0</v>
      </c>
      <c r="AE82" s="115">
        <f t="shared" si="115"/>
        <v>0</v>
      </c>
      <c r="AF82" s="115">
        <f t="shared" si="115"/>
        <v>0</v>
      </c>
      <c r="AG82" s="115">
        <f t="shared" si="115"/>
        <v>0</v>
      </c>
      <c r="AH82" s="115">
        <f t="shared" si="115"/>
        <v>0</v>
      </c>
      <c r="AI82" s="115">
        <f t="shared" si="115"/>
        <v>0</v>
      </c>
      <c r="AJ82" s="115">
        <f t="shared" si="116"/>
        <v>0</v>
      </c>
      <c r="AK82" s="115">
        <f t="shared" si="116"/>
        <v>0</v>
      </c>
      <c r="AL82" s="115">
        <f t="shared" si="116"/>
        <v>0</v>
      </c>
      <c r="AM82" s="115">
        <f t="shared" si="116"/>
        <v>0</v>
      </c>
      <c r="AN82" s="115">
        <f t="shared" si="116"/>
        <v>0</v>
      </c>
      <c r="AO82" s="115">
        <f t="shared" si="116"/>
        <v>0</v>
      </c>
      <c r="AP82" s="115">
        <f t="shared" si="116"/>
        <v>0</v>
      </c>
      <c r="AQ82" s="115">
        <f t="shared" si="116"/>
        <v>0</v>
      </c>
      <c r="AR82" s="115">
        <f t="shared" si="116"/>
        <v>0</v>
      </c>
      <c r="AS82" s="115">
        <f t="shared" si="116"/>
        <v>0</v>
      </c>
      <c r="AT82" s="115">
        <f t="shared" si="117"/>
        <v>0</v>
      </c>
      <c r="AU82" s="115">
        <f t="shared" si="117"/>
        <v>0</v>
      </c>
      <c r="AV82" s="115" t="e">
        <f t="shared" si="117"/>
        <v>#VALUE!</v>
      </c>
      <c r="AW82" s="115" t="e">
        <f t="shared" si="117"/>
        <v>#VALUE!</v>
      </c>
      <c r="AX82" s="115" t="e">
        <f t="shared" si="117"/>
        <v>#VALUE!</v>
      </c>
      <c r="AY82" s="115" t="e">
        <f t="shared" si="117"/>
        <v>#VALUE!</v>
      </c>
      <c r="AZ82" s="115" t="e">
        <f t="shared" si="117"/>
        <v>#VALUE!</v>
      </c>
      <c r="BA82" s="115" t="e">
        <f t="shared" si="117"/>
        <v>#VALUE!</v>
      </c>
      <c r="BB82" s="115" t="e">
        <f t="shared" si="117"/>
        <v>#VALUE!</v>
      </c>
      <c r="BC82" s="115" t="e">
        <f t="shared" si="117"/>
        <v>#VALUE!</v>
      </c>
      <c r="BD82" s="115" t="e">
        <f t="shared" si="118"/>
        <v>#VALUE!</v>
      </c>
      <c r="BE82" s="115" t="e">
        <f t="shared" si="118"/>
        <v>#VALUE!</v>
      </c>
      <c r="BF82" s="115" t="e">
        <f t="shared" si="118"/>
        <v>#VALUE!</v>
      </c>
      <c r="BG82" s="115" t="e">
        <f t="shared" si="118"/>
        <v>#VALUE!</v>
      </c>
      <c r="BH82" s="115" t="e">
        <f t="shared" si="118"/>
        <v>#VALUE!</v>
      </c>
      <c r="BI82" s="115" t="e">
        <f t="shared" si="118"/>
        <v>#VALUE!</v>
      </c>
      <c r="BJ82" s="115" t="e">
        <f t="shared" si="118"/>
        <v>#VALUE!</v>
      </c>
      <c r="BK82" s="115" t="e">
        <f t="shared" si="118"/>
        <v>#VALUE!</v>
      </c>
      <c r="BL82" s="115" t="e">
        <f t="shared" si="118"/>
        <v>#VALUE!</v>
      </c>
      <c r="BM82" s="115" t="e">
        <f t="shared" si="118"/>
        <v>#VALUE!</v>
      </c>
      <c r="BN82" s="115" t="e">
        <f t="shared" si="119"/>
        <v>#VALUE!</v>
      </c>
      <c r="BO82" s="115" t="e">
        <f t="shared" si="119"/>
        <v>#VALUE!</v>
      </c>
      <c r="BP82" s="115" t="e">
        <f t="shared" si="119"/>
        <v>#VALUE!</v>
      </c>
      <c r="BQ82" s="115" t="e">
        <f t="shared" si="119"/>
        <v>#VALUE!</v>
      </c>
      <c r="BR82" s="115" t="e">
        <f t="shared" si="119"/>
        <v>#VALUE!</v>
      </c>
      <c r="BS82" s="115" t="e">
        <f t="shared" si="119"/>
        <v>#VALUE!</v>
      </c>
      <c r="BT82" s="115" t="e">
        <f t="shared" si="119"/>
        <v>#VALUE!</v>
      </c>
      <c r="BU82" s="115" t="e">
        <f t="shared" si="119"/>
        <v>#VALUE!</v>
      </c>
      <c r="BV82" s="115" t="e">
        <f t="shared" si="119"/>
        <v>#VALUE!</v>
      </c>
      <c r="BW82" s="115" t="e">
        <f t="shared" si="119"/>
        <v>#VALUE!</v>
      </c>
      <c r="BX82" s="115" t="e">
        <f t="shared" si="120"/>
        <v>#VALUE!</v>
      </c>
      <c r="BY82" s="115" t="e">
        <f t="shared" si="120"/>
        <v>#VALUE!</v>
      </c>
      <c r="BZ82" s="115" t="e">
        <f t="shared" si="120"/>
        <v>#VALUE!</v>
      </c>
      <c r="CA82" s="115" t="e">
        <f t="shared" si="120"/>
        <v>#VALUE!</v>
      </c>
      <c r="CB82" s="115" t="e">
        <f t="shared" si="120"/>
        <v>#VALUE!</v>
      </c>
      <c r="CC82" s="115" t="e">
        <f t="shared" si="120"/>
        <v>#VALUE!</v>
      </c>
      <c r="CD82" s="115" t="e">
        <f t="shared" si="120"/>
        <v>#VALUE!</v>
      </c>
      <c r="CE82" s="115" t="e">
        <f t="shared" si="120"/>
        <v>#VALUE!</v>
      </c>
      <c r="CF82" s="115" t="e">
        <f t="shared" si="120"/>
        <v>#VALUE!</v>
      </c>
      <c r="CG82" s="115" t="e">
        <f t="shared" si="120"/>
        <v>#VALUE!</v>
      </c>
      <c r="CH82" s="115" t="e">
        <f t="shared" si="121"/>
        <v>#VALUE!</v>
      </c>
      <c r="CI82" s="115" t="e">
        <f t="shared" si="121"/>
        <v>#VALUE!</v>
      </c>
      <c r="CJ82" s="115" t="e">
        <f t="shared" si="121"/>
        <v>#VALUE!</v>
      </c>
      <c r="CK82" s="115" t="e">
        <f t="shared" si="121"/>
        <v>#VALUE!</v>
      </c>
      <c r="CL82" s="115" t="e">
        <f t="shared" si="121"/>
        <v>#VALUE!</v>
      </c>
      <c r="CM82" s="115" t="e">
        <f t="shared" si="121"/>
        <v>#VALUE!</v>
      </c>
      <c r="CN82" s="115" t="e">
        <f t="shared" si="121"/>
        <v>#VALUE!</v>
      </c>
      <c r="CO82" s="115" t="e">
        <f t="shared" si="121"/>
        <v>#VALUE!</v>
      </c>
      <c r="CP82" s="115" t="e">
        <f t="shared" si="121"/>
        <v>#VALUE!</v>
      </c>
      <c r="CQ82" s="115" t="e">
        <f t="shared" si="121"/>
        <v>#VALUE!</v>
      </c>
      <c r="CR82" s="115" t="e">
        <f t="shared" si="122"/>
        <v>#VALUE!</v>
      </c>
      <c r="CS82" s="115" t="e">
        <f t="shared" si="122"/>
        <v>#VALUE!</v>
      </c>
      <c r="CT82" s="115" t="e">
        <f t="shared" si="122"/>
        <v>#VALUE!</v>
      </c>
      <c r="CU82" s="115" t="e">
        <f t="shared" si="122"/>
        <v>#VALUE!</v>
      </c>
      <c r="CV82" s="115" t="e">
        <f t="shared" si="122"/>
        <v>#VALUE!</v>
      </c>
      <c r="CW82" s="115" t="e">
        <f t="shared" si="122"/>
        <v>#VALUE!</v>
      </c>
      <c r="CX82" s="115" t="e">
        <f t="shared" si="122"/>
        <v>#VALUE!</v>
      </c>
      <c r="CY82" s="115" t="e">
        <f t="shared" si="122"/>
        <v>#VALUE!</v>
      </c>
      <c r="CZ82" s="115" t="e">
        <f t="shared" si="122"/>
        <v>#VALUE!</v>
      </c>
      <c r="DA82" s="115" t="e">
        <f t="shared" si="122"/>
        <v>#VALUE!</v>
      </c>
      <c r="DB82" s="115" t="e">
        <f t="shared" si="123"/>
        <v>#VALUE!</v>
      </c>
      <c r="DC82" s="115" t="e">
        <f t="shared" si="123"/>
        <v>#VALUE!</v>
      </c>
      <c r="DD82" s="115" t="e">
        <f t="shared" si="123"/>
        <v>#VALUE!</v>
      </c>
      <c r="DE82" s="115" t="e">
        <f t="shared" si="123"/>
        <v>#VALUE!</v>
      </c>
      <c r="DF82" s="115" t="e">
        <f t="shared" si="123"/>
        <v>#VALUE!</v>
      </c>
      <c r="DG82" s="115" t="e">
        <f t="shared" si="123"/>
        <v>#VALUE!</v>
      </c>
      <c r="DH82" s="115" t="e">
        <f t="shared" si="123"/>
        <v>#VALUE!</v>
      </c>
      <c r="DI82" s="115" t="e">
        <f t="shared" si="123"/>
        <v>#VALUE!</v>
      </c>
      <c r="DJ82" s="115" t="e">
        <f t="shared" si="123"/>
        <v>#VALUE!</v>
      </c>
      <c r="DK82" s="115" t="e">
        <f t="shared" si="123"/>
        <v>#VALUE!</v>
      </c>
      <c r="DL82" s="115" t="e">
        <f t="shared" si="123"/>
        <v>#VALUE!</v>
      </c>
      <c r="DM82" s="115" t="e">
        <f t="shared" si="123"/>
        <v>#VALUE!</v>
      </c>
    </row>
    <row r="83" spans="1:117" ht="15" customHeight="1" thickBot="1">
      <c r="A83" s="55">
        <v>7500</v>
      </c>
      <c r="B83" s="194" t="s">
        <v>728</v>
      </c>
      <c r="C83" s="194" t="s">
        <v>813</v>
      </c>
      <c r="D83" s="194" t="s">
        <v>814</v>
      </c>
      <c r="E83" s="194"/>
      <c r="F83" s="194" t="s">
        <v>815</v>
      </c>
      <c r="G83" s="291">
        <f t="shared" si="113"/>
        <v>0</v>
      </c>
      <c r="H83" s="292">
        <f>VLOOKUP("SRKm2a",Reinigung,5,0)*VLOOKUP("BEFAF",Objektkenndaten,5,0)</f>
        <v>0</v>
      </c>
      <c r="I83" s="168"/>
      <c r="J83" s="194" t="s">
        <v>727</v>
      </c>
      <c r="K83" s="378" t="s">
        <v>732</v>
      </c>
      <c r="L83" s="379" t="s">
        <v>361</v>
      </c>
      <c r="M83" s="325">
        <f>VLOOKUP(L83,Finanzielle_Parameter,5,0)</f>
        <v>2.67</v>
      </c>
      <c r="N83" s="380">
        <f>(1+VLOOKUP(L83,Finanzielle_Parameter,5,0)/100)/(1+VLOOKUP("R",Finanzielle_Parameter,5,0)/100)</f>
        <v>1.0095378564405113</v>
      </c>
      <c r="O83" s="381">
        <f t="shared" si="114"/>
        <v>0</v>
      </c>
      <c r="P83" s="169" t="s">
        <v>103</v>
      </c>
      <c r="Q83" s="114">
        <f t="shared" si="114"/>
        <v>0</v>
      </c>
      <c r="R83" s="115">
        <f t="shared" si="114"/>
        <v>0</v>
      </c>
      <c r="S83" s="115">
        <f t="shared" si="114"/>
        <v>0</v>
      </c>
      <c r="T83" s="115">
        <f t="shared" si="114"/>
        <v>0</v>
      </c>
      <c r="U83" s="115">
        <f t="shared" si="114"/>
        <v>0</v>
      </c>
      <c r="V83" s="115">
        <f t="shared" si="114"/>
        <v>0</v>
      </c>
      <c r="W83" s="115">
        <f t="shared" si="114"/>
        <v>0</v>
      </c>
      <c r="X83" s="115">
        <f t="shared" si="114"/>
        <v>0</v>
      </c>
      <c r="Y83" s="115">
        <f t="shared" si="114"/>
        <v>0</v>
      </c>
      <c r="Z83" s="115">
        <f t="shared" si="115"/>
        <v>0</v>
      </c>
      <c r="AA83" s="115">
        <f t="shared" si="115"/>
        <v>0</v>
      </c>
      <c r="AB83" s="115">
        <f t="shared" si="115"/>
        <v>0</v>
      </c>
      <c r="AC83" s="115">
        <f t="shared" si="115"/>
        <v>0</v>
      </c>
      <c r="AD83" s="115">
        <f t="shared" si="115"/>
        <v>0</v>
      </c>
      <c r="AE83" s="115">
        <f t="shared" si="115"/>
        <v>0</v>
      </c>
      <c r="AF83" s="115">
        <f t="shared" si="115"/>
        <v>0</v>
      </c>
      <c r="AG83" s="115">
        <f t="shared" si="115"/>
        <v>0</v>
      </c>
      <c r="AH83" s="115">
        <f t="shared" si="115"/>
        <v>0</v>
      </c>
      <c r="AI83" s="115">
        <f t="shared" si="115"/>
        <v>0</v>
      </c>
      <c r="AJ83" s="115">
        <f t="shared" si="116"/>
        <v>0</v>
      </c>
      <c r="AK83" s="115">
        <f t="shared" si="116"/>
        <v>0</v>
      </c>
      <c r="AL83" s="115">
        <f t="shared" si="116"/>
        <v>0</v>
      </c>
      <c r="AM83" s="115">
        <f t="shared" si="116"/>
        <v>0</v>
      </c>
      <c r="AN83" s="115">
        <f t="shared" si="116"/>
        <v>0</v>
      </c>
      <c r="AO83" s="115">
        <f t="shared" si="116"/>
        <v>0</v>
      </c>
      <c r="AP83" s="115">
        <f t="shared" si="116"/>
        <v>0</v>
      </c>
      <c r="AQ83" s="115">
        <f t="shared" si="116"/>
        <v>0</v>
      </c>
      <c r="AR83" s="115">
        <f t="shared" si="116"/>
        <v>0</v>
      </c>
      <c r="AS83" s="115">
        <f t="shared" si="116"/>
        <v>0</v>
      </c>
      <c r="AT83" s="115">
        <f t="shared" si="117"/>
        <v>0</v>
      </c>
      <c r="AU83" s="115">
        <f t="shared" si="117"/>
        <v>0</v>
      </c>
      <c r="AV83" s="115" t="e">
        <f t="shared" si="117"/>
        <v>#VALUE!</v>
      </c>
      <c r="AW83" s="115" t="e">
        <f t="shared" si="117"/>
        <v>#VALUE!</v>
      </c>
      <c r="AX83" s="115" t="e">
        <f t="shared" si="117"/>
        <v>#VALUE!</v>
      </c>
      <c r="AY83" s="115" t="e">
        <f t="shared" si="117"/>
        <v>#VALUE!</v>
      </c>
      <c r="AZ83" s="115" t="e">
        <f t="shared" si="117"/>
        <v>#VALUE!</v>
      </c>
      <c r="BA83" s="115" t="e">
        <f t="shared" si="117"/>
        <v>#VALUE!</v>
      </c>
      <c r="BB83" s="115" t="e">
        <f t="shared" si="117"/>
        <v>#VALUE!</v>
      </c>
      <c r="BC83" s="115" t="e">
        <f t="shared" si="117"/>
        <v>#VALUE!</v>
      </c>
      <c r="BD83" s="115" t="e">
        <f t="shared" si="118"/>
        <v>#VALUE!</v>
      </c>
      <c r="BE83" s="115" t="e">
        <f t="shared" si="118"/>
        <v>#VALUE!</v>
      </c>
      <c r="BF83" s="115" t="e">
        <f t="shared" si="118"/>
        <v>#VALUE!</v>
      </c>
      <c r="BG83" s="115" t="e">
        <f t="shared" si="118"/>
        <v>#VALUE!</v>
      </c>
      <c r="BH83" s="115" t="e">
        <f t="shared" si="118"/>
        <v>#VALUE!</v>
      </c>
      <c r="BI83" s="115" t="e">
        <f t="shared" si="118"/>
        <v>#VALUE!</v>
      </c>
      <c r="BJ83" s="115" t="e">
        <f t="shared" si="118"/>
        <v>#VALUE!</v>
      </c>
      <c r="BK83" s="115" t="e">
        <f t="shared" si="118"/>
        <v>#VALUE!</v>
      </c>
      <c r="BL83" s="115" t="e">
        <f t="shared" si="118"/>
        <v>#VALUE!</v>
      </c>
      <c r="BM83" s="115" t="e">
        <f t="shared" si="118"/>
        <v>#VALUE!</v>
      </c>
      <c r="BN83" s="115" t="e">
        <f t="shared" si="119"/>
        <v>#VALUE!</v>
      </c>
      <c r="BO83" s="115" t="e">
        <f t="shared" si="119"/>
        <v>#VALUE!</v>
      </c>
      <c r="BP83" s="115" t="e">
        <f t="shared" si="119"/>
        <v>#VALUE!</v>
      </c>
      <c r="BQ83" s="115" t="e">
        <f t="shared" si="119"/>
        <v>#VALUE!</v>
      </c>
      <c r="BR83" s="115" t="e">
        <f t="shared" si="119"/>
        <v>#VALUE!</v>
      </c>
      <c r="BS83" s="115" t="e">
        <f t="shared" si="119"/>
        <v>#VALUE!</v>
      </c>
      <c r="BT83" s="115" t="e">
        <f t="shared" si="119"/>
        <v>#VALUE!</v>
      </c>
      <c r="BU83" s="115" t="e">
        <f t="shared" si="119"/>
        <v>#VALUE!</v>
      </c>
      <c r="BV83" s="115" t="e">
        <f t="shared" si="119"/>
        <v>#VALUE!</v>
      </c>
      <c r="BW83" s="115" t="e">
        <f t="shared" si="119"/>
        <v>#VALUE!</v>
      </c>
      <c r="BX83" s="115" t="e">
        <f t="shared" si="120"/>
        <v>#VALUE!</v>
      </c>
      <c r="BY83" s="115" t="e">
        <f t="shared" si="120"/>
        <v>#VALUE!</v>
      </c>
      <c r="BZ83" s="115" t="e">
        <f t="shared" si="120"/>
        <v>#VALUE!</v>
      </c>
      <c r="CA83" s="115" t="e">
        <f t="shared" si="120"/>
        <v>#VALUE!</v>
      </c>
      <c r="CB83" s="115" t="e">
        <f t="shared" si="120"/>
        <v>#VALUE!</v>
      </c>
      <c r="CC83" s="115" t="e">
        <f t="shared" si="120"/>
        <v>#VALUE!</v>
      </c>
      <c r="CD83" s="115" t="e">
        <f t="shared" si="120"/>
        <v>#VALUE!</v>
      </c>
      <c r="CE83" s="115" t="e">
        <f t="shared" si="120"/>
        <v>#VALUE!</v>
      </c>
      <c r="CF83" s="115" t="e">
        <f t="shared" si="120"/>
        <v>#VALUE!</v>
      </c>
      <c r="CG83" s="115" t="e">
        <f t="shared" si="120"/>
        <v>#VALUE!</v>
      </c>
      <c r="CH83" s="115" t="e">
        <f t="shared" si="121"/>
        <v>#VALUE!</v>
      </c>
      <c r="CI83" s="115" t="e">
        <f t="shared" si="121"/>
        <v>#VALUE!</v>
      </c>
      <c r="CJ83" s="115" t="e">
        <f t="shared" si="121"/>
        <v>#VALUE!</v>
      </c>
      <c r="CK83" s="115" t="e">
        <f t="shared" si="121"/>
        <v>#VALUE!</v>
      </c>
      <c r="CL83" s="115" t="e">
        <f t="shared" si="121"/>
        <v>#VALUE!</v>
      </c>
      <c r="CM83" s="115" t="e">
        <f t="shared" si="121"/>
        <v>#VALUE!</v>
      </c>
      <c r="CN83" s="115" t="e">
        <f t="shared" si="121"/>
        <v>#VALUE!</v>
      </c>
      <c r="CO83" s="115" t="e">
        <f t="shared" si="121"/>
        <v>#VALUE!</v>
      </c>
      <c r="CP83" s="115" t="e">
        <f t="shared" si="121"/>
        <v>#VALUE!</v>
      </c>
      <c r="CQ83" s="115" t="e">
        <f t="shared" si="121"/>
        <v>#VALUE!</v>
      </c>
      <c r="CR83" s="115" t="e">
        <f t="shared" si="122"/>
        <v>#VALUE!</v>
      </c>
      <c r="CS83" s="115" t="e">
        <f t="shared" si="122"/>
        <v>#VALUE!</v>
      </c>
      <c r="CT83" s="115" t="e">
        <f t="shared" si="122"/>
        <v>#VALUE!</v>
      </c>
      <c r="CU83" s="115" t="e">
        <f t="shared" si="122"/>
        <v>#VALUE!</v>
      </c>
      <c r="CV83" s="115" t="e">
        <f t="shared" si="122"/>
        <v>#VALUE!</v>
      </c>
      <c r="CW83" s="115" t="e">
        <f t="shared" si="122"/>
        <v>#VALUE!</v>
      </c>
      <c r="CX83" s="115" t="e">
        <f t="shared" si="122"/>
        <v>#VALUE!</v>
      </c>
      <c r="CY83" s="115" t="e">
        <f t="shared" si="122"/>
        <v>#VALUE!</v>
      </c>
      <c r="CZ83" s="115" t="e">
        <f t="shared" si="122"/>
        <v>#VALUE!</v>
      </c>
      <c r="DA83" s="115" t="e">
        <f t="shared" si="122"/>
        <v>#VALUE!</v>
      </c>
      <c r="DB83" s="115" t="e">
        <f t="shared" si="123"/>
        <v>#VALUE!</v>
      </c>
      <c r="DC83" s="115" t="e">
        <f t="shared" si="123"/>
        <v>#VALUE!</v>
      </c>
      <c r="DD83" s="115" t="e">
        <f t="shared" si="123"/>
        <v>#VALUE!</v>
      </c>
      <c r="DE83" s="115" t="e">
        <f t="shared" si="123"/>
        <v>#VALUE!</v>
      </c>
      <c r="DF83" s="115" t="e">
        <f t="shared" si="123"/>
        <v>#VALUE!</v>
      </c>
      <c r="DG83" s="115" t="e">
        <f t="shared" si="123"/>
        <v>#VALUE!</v>
      </c>
      <c r="DH83" s="115" t="e">
        <f t="shared" si="123"/>
        <v>#VALUE!</v>
      </c>
      <c r="DI83" s="115" t="e">
        <f t="shared" si="123"/>
        <v>#VALUE!</v>
      </c>
      <c r="DJ83" s="115" t="e">
        <f t="shared" si="123"/>
        <v>#VALUE!</v>
      </c>
      <c r="DK83" s="115" t="e">
        <f t="shared" si="123"/>
        <v>#VALUE!</v>
      </c>
      <c r="DL83" s="115" t="e">
        <f t="shared" si="123"/>
        <v>#VALUE!</v>
      </c>
      <c r="DM83" s="115" t="e">
        <f t="shared" si="123"/>
        <v>#VALUE!</v>
      </c>
    </row>
    <row r="84" spans="1:117" ht="15" customHeight="1" thickBot="1">
      <c r="A84" s="55">
        <v>7600</v>
      </c>
      <c r="B84" s="194" t="s">
        <v>728</v>
      </c>
      <c r="C84" s="194" t="s">
        <v>816</v>
      </c>
      <c r="D84" s="194" t="s">
        <v>817</v>
      </c>
      <c r="E84" s="194"/>
      <c r="F84" s="194" t="s">
        <v>818</v>
      </c>
      <c r="G84" s="291">
        <f t="shared" si="113"/>
        <v>0</v>
      </c>
      <c r="H84" s="292">
        <f>VLOOKUP("AufKm2a",Reinigung,5,0)*VLOOKUP("BEFAF",Objektkenndaten,5,0)</f>
        <v>0</v>
      </c>
      <c r="I84" s="168"/>
      <c r="J84" s="194" t="s">
        <v>727</v>
      </c>
      <c r="K84" s="378" t="s">
        <v>732</v>
      </c>
      <c r="L84" s="379" t="s">
        <v>359</v>
      </c>
      <c r="M84" s="325">
        <f>VLOOKUP(L84,Finanzielle_Parameter,5,0)</f>
        <v>2.25</v>
      </c>
      <c r="N84" s="380">
        <f>(1+VLOOKUP(L84,Finanzielle_Parameter,5,0)/100)/(1+VLOOKUP("R",Finanzielle_Parameter,5,0)/100)</f>
        <v>1.0054080629301869</v>
      </c>
      <c r="O84" s="381">
        <f t="shared" si="114"/>
        <v>0</v>
      </c>
      <c r="P84" s="169" t="s">
        <v>103</v>
      </c>
      <c r="Q84" s="114">
        <f t="shared" si="114"/>
        <v>0</v>
      </c>
      <c r="R84" s="115">
        <f t="shared" si="114"/>
        <v>0</v>
      </c>
      <c r="S84" s="115">
        <f t="shared" si="114"/>
        <v>0</v>
      </c>
      <c r="T84" s="115">
        <f t="shared" si="114"/>
        <v>0</v>
      </c>
      <c r="U84" s="115">
        <f t="shared" si="114"/>
        <v>0</v>
      </c>
      <c r="V84" s="115">
        <f t="shared" si="114"/>
        <v>0</v>
      </c>
      <c r="W84" s="115">
        <f t="shared" si="114"/>
        <v>0</v>
      </c>
      <c r="X84" s="115">
        <f t="shared" si="114"/>
        <v>0</v>
      </c>
      <c r="Y84" s="115">
        <f t="shared" si="114"/>
        <v>0</v>
      </c>
      <c r="Z84" s="115">
        <f t="shared" si="115"/>
        <v>0</v>
      </c>
      <c r="AA84" s="115">
        <f t="shared" si="115"/>
        <v>0</v>
      </c>
      <c r="AB84" s="115">
        <f t="shared" si="115"/>
        <v>0</v>
      </c>
      <c r="AC84" s="115">
        <f t="shared" si="115"/>
        <v>0</v>
      </c>
      <c r="AD84" s="115">
        <f t="shared" si="115"/>
        <v>0</v>
      </c>
      <c r="AE84" s="115">
        <f t="shared" si="115"/>
        <v>0</v>
      </c>
      <c r="AF84" s="115">
        <f t="shared" si="115"/>
        <v>0</v>
      </c>
      <c r="AG84" s="115">
        <f t="shared" si="115"/>
        <v>0</v>
      </c>
      <c r="AH84" s="115">
        <f t="shared" si="115"/>
        <v>0</v>
      </c>
      <c r="AI84" s="115">
        <f t="shared" si="115"/>
        <v>0</v>
      </c>
      <c r="AJ84" s="115">
        <f t="shared" si="116"/>
        <v>0</v>
      </c>
      <c r="AK84" s="115">
        <f t="shared" si="116"/>
        <v>0</v>
      </c>
      <c r="AL84" s="115">
        <f t="shared" si="116"/>
        <v>0</v>
      </c>
      <c r="AM84" s="115">
        <f t="shared" si="116"/>
        <v>0</v>
      </c>
      <c r="AN84" s="115">
        <f t="shared" si="116"/>
        <v>0</v>
      </c>
      <c r="AO84" s="115">
        <f t="shared" si="116"/>
        <v>0</v>
      </c>
      <c r="AP84" s="115">
        <f t="shared" si="116"/>
        <v>0</v>
      </c>
      <c r="AQ84" s="115">
        <f t="shared" si="116"/>
        <v>0</v>
      </c>
      <c r="AR84" s="115">
        <f t="shared" si="116"/>
        <v>0</v>
      </c>
      <c r="AS84" s="115">
        <f t="shared" si="116"/>
        <v>0</v>
      </c>
      <c r="AT84" s="115">
        <f t="shared" si="117"/>
        <v>0</v>
      </c>
      <c r="AU84" s="115">
        <f t="shared" si="117"/>
        <v>0</v>
      </c>
      <c r="AV84" s="115" t="e">
        <f t="shared" si="117"/>
        <v>#VALUE!</v>
      </c>
      <c r="AW84" s="115" t="e">
        <f t="shared" si="117"/>
        <v>#VALUE!</v>
      </c>
      <c r="AX84" s="115" t="e">
        <f t="shared" si="117"/>
        <v>#VALUE!</v>
      </c>
      <c r="AY84" s="115" t="e">
        <f t="shared" si="117"/>
        <v>#VALUE!</v>
      </c>
      <c r="AZ84" s="115" t="e">
        <f t="shared" si="117"/>
        <v>#VALUE!</v>
      </c>
      <c r="BA84" s="115" t="e">
        <f t="shared" si="117"/>
        <v>#VALUE!</v>
      </c>
      <c r="BB84" s="115" t="e">
        <f t="shared" si="117"/>
        <v>#VALUE!</v>
      </c>
      <c r="BC84" s="115" t="e">
        <f t="shared" si="117"/>
        <v>#VALUE!</v>
      </c>
      <c r="BD84" s="115" t="e">
        <f t="shared" si="118"/>
        <v>#VALUE!</v>
      </c>
      <c r="BE84" s="115" t="e">
        <f t="shared" si="118"/>
        <v>#VALUE!</v>
      </c>
      <c r="BF84" s="115" t="e">
        <f t="shared" si="118"/>
        <v>#VALUE!</v>
      </c>
      <c r="BG84" s="115" t="e">
        <f t="shared" si="118"/>
        <v>#VALUE!</v>
      </c>
      <c r="BH84" s="115" t="e">
        <f t="shared" si="118"/>
        <v>#VALUE!</v>
      </c>
      <c r="BI84" s="115" t="e">
        <f t="shared" si="118"/>
        <v>#VALUE!</v>
      </c>
      <c r="BJ84" s="115" t="e">
        <f t="shared" si="118"/>
        <v>#VALUE!</v>
      </c>
      <c r="BK84" s="115" t="e">
        <f t="shared" si="118"/>
        <v>#VALUE!</v>
      </c>
      <c r="BL84" s="115" t="e">
        <f t="shared" si="118"/>
        <v>#VALUE!</v>
      </c>
      <c r="BM84" s="115" t="e">
        <f t="shared" si="118"/>
        <v>#VALUE!</v>
      </c>
      <c r="BN84" s="115" t="e">
        <f t="shared" si="119"/>
        <v>#VALUE!</v>
      </c>
      <c r="BO84" s="115" t="e">
        <f t="shared" si="119"/>
        <v>#VALUE!</v>
      </c>
      <c r="BP84" s="115" t="e">
        <f t="shared" si="119"/>
        <v>#VALUE!</v>
      </c>
      <c r="BQ84" s="115" t="e">
        <f t="shared" si="119"/>
        <v>#VALUE!</v>
      </c>
      <c r="BR84" s="115" t="e">
        <f t="shared" si="119"/>
        <v>#VALUE!</v>
      </c>
      <c r="BS84" s="115" t="e">
        <f t="shared" si="119"/>
        <v>#VALUE!</v>
      </c>
      <c r="BT84" s="115" t="e">
        <f t="shared" si="119"/>
        <v>#VALUE!</v>
      </c>
      <c r="BU84" s="115" t="e">
        <f t="shared" si="119"/>
        <v>#VALUE!</v>
      </c>
      <c r="BV84" s="115" t="e">
        <f t="shared" si="119"/>
        <v>#VALUE!</v>
      </c>
      <c r="BW84" s="115" t="e">
        <f t="shared" si="119"/>
        <v>#VALUE!</v>
      </c>
      <c r="BX84" s="115" t="e">
        <f t="shared" si="120"/>
        <v>#VALUE!</v>
      </c>
      <c r="BY84" s="115" t="e">
        <f t="shared" si="120"/>
        <v>#VALUE!</v>
      </c>
      <c r="BZ84" s="115" t="e">
        <f t="shared" si="120"/>
        <v>#VALUE!</v>
      </c>
      <c r="CA84" s="115" t="e">
        <f t="shared" si="120"/>
        <v>#VALUE!</v>
      </c>
      <c r="CB84" s="115" t="e">
        <f t="shared" si="120"/>
        <v>#VALUE!</v>
      </c>
      <c r="CC84" s="115" t="e">
        <f t="shared" si="120"/>
        <v>#VALUE!</v>
      </c>
      <c r="CD84" s="115" t="e">
        <f t="shared" si="120"/>
        <v>#VALUE!</v>
      </c>
      <c r="CE84" s="115" t="e">
        <f t="shared" si="120"/>
        <v>#VALUE!</v>
      </c>
      <c r="CF84" s="115" t="e">
        <f t="shared" si="120"/>
        <v>#VALUE!</v>
      </c>
      <c r="CG84" s="115" t="e">
        <f t="shared" si="120"/>
        <v>#VALUE!</v>
      </c>
      <c r="CH84" s="115" t="e">
        <f t="shared" si="121"/>
        <v>#VALUE!</v>
      </c>
      <c r="CI84" s="115" t="e">
        <f t="shared" si="121"/>
        <v>#VALUE!</v>
      </c>
      <c r="CJ84" s="115" t="e">
        <f t="shared" si="121"/>
        <v>#VALUE!</v>
      </c>
      <c r="CK84" s="115" t="e">
        <f t="shared" si="121"/>
        <v>#VALUE!</v>
      </c>
      <c r="CL84" s="115" t="e">
        <f t="shared" si="121"/>
        <v>#VALUE!</v>
      </c>
      <c r="CM84" s="115" t="e">
        <f t="shared" si="121"/>
        <v>#VALUE!</v>
      </c>
      <c r="CN84" s="115" t="e">
        <f t="shared" si="121"/>
        <v>#VALUE!</v>
      </c>
      <c r="CO84" s="115" t="e">
        <f t="shared" si="121"/>
        <v>#VALUE!</v>
      </c>
      <c r="CP84" s="115" t="e">
        <f t="shared" si="121"/>
        <v>#VALUE!</v>
      </c>
      <c r="CQ84" s="115" t="e">
        <f t="shared" si="121"/>
        <v>#VALUE!</v>
      </c>
      <c r="CR84" s="115" t="e">
        <f t="shared" si="122"/>
        <v>#VALUE!</v>
      </c>
      <c r="CS84" s="115" t="e">
        <f t="shared" si="122"/>
        <v>#VALUE!</v>
      </c>
      <c r="CT84" s="115" t="e">
        <f t="shared" si="122"/>
        <v>#VALUE!</v>
      </c>
      <c r="CU84" s="115" t="e">
        <f t="shared" si="122"/>
        <v>#VALUE!</v>
      </c>
      <c r="CV84" s="115" t="e">
        <f t="shared" si="122"/>
        <v>#VALUE!</v>
      </c>
      <c r="CW84" s="115" t="e">
        <f t="shared" si="122"/>
        <v>#VALUE!</v>
      </c>
      <c r="CX84" s="115" t="e">
        <f t="shared" si="122"/>
        <v>#VALUE!</v>
      </c>
      <c r="CY84" s="115" t="e">
        <f t="shared" si="122"/>
        <v>#VALUE!</v>
      </c>
      <c r="CZ84" s="115" t="e">
        <f t="shared" si="122"/>
        <v>#VALUE!</v>
      </c>
      <c r="DA84" s="115" t="e">
        <f t="shared" si="122"/>
        <v>#VALUE!</v>
      </c>
      <c r="DB84" s="115" t="e">
        <f t="shared" si="123"/>
        <v>#VALUE!</v>
      </c>
      <c r="DC84" s="115" t="e">
        <f t="shared" si="123"/>
        <v>#VALUE!</v>
      </c>
      <c r="DD84" s="115" t="e">
        <f t="shared" si="123"/>
        <v>#VALUE!</v>
      </c>
      <c r="DE84" s="115" t="e">
        <f t="shared" si="123"/>
        <v>#VALUE!</v>
      </c>
      <c r="DF84" s="115" t="e">
        <f t="shared" si="123"/>
        <v>#VALUE!</v>
      </c>
      <c r="DG84" s="115" t="e">
        <f t="shared" si="123"/>
        <v>#VALUE!</v>
      </c>
      <c r="DH84" s="115" t="e">
        <f t="shared" si="123"/>
        <v>#VALUE!</v>
      </c>
      <c r="DI84" s="115" t="e">
        <f t="shared" si="123"/>
        <v>#VALUE!</v>
      </c>
      <c r="DJ84" s="115" t="e">
        <f t="shared" si="123"/>
        <v>#VALUE!</v>
      </c>
      <c r="DK84" s="115" t="e">
        <f t="shared" si="123"/>
        <v>#VALUE!</v>
      </c>
      <c r="DL84" s="115" t="e">
        <f t="shared" si="123"/>
        <v>#VALUE!</v>
      </c>
      <c r="DM84" s="115" t="e">
        <f t="shared" si="123"/>
        <v>#VALUE!</v>
      </c>
    </row>
    <row r="85" spans="1:117" ht="15" customHeight="1" thickBot="1">
      <c r="A85" s="55">
        <v>7700</v>
      </c>
      <c r="B85" s="194" t="s">
        <v>728</v>
      </c>
      <c r="C85" s="194" t="s">
        <v>819</v>
      </c>
      <c r="D85" s="194" t="s">
        <v>820</v>
      </c>
      <c r="E85" s="194"/>
      <c r="F85" s="194" t="s">
        <v>624</v>
      </c>
      <c r="G85" s="291">
        <f t="shared" si="113"/>
        <v>0</v>
      </c>
      <c r="H85" s="292">
        <f>VLOOKUP("RAPKm2a",Reinigung,5,0)*VLOOKUP("GRÜNF",Objektkenndaten,5,0)</f>
        <v>0</v>
      </c>
      <c r="I85" s="168"/>
      <c r="J85" s="194" t="s">
        <v>727</v>
      </c>
      <c r="K85" s="378" t="s">
        <v>732</v>
      </c>
      <c r="L85" s="379" t="s">
        <v>361</v>
      </c>
      <c r="M85" s="325">
        <f>VLOOKUP(L85,Finanzielle_Parameter,5,0)</f>
        <v>2.67</v>
      </c>
      <c r="N85" s="380">
        <f>(1+VLOOKUP(L85,Finanzielle_Parameter,5,0)/100)/(1+VLOOKUP("R",Finanzielle_Parameter,5,0)/100)</f>
        <v>1.0095378564405113</v>
      </c>
      <c r="O85" s="381">
        <f t="shared" si="114"/>
        <v>0</v>
      </c>
      <c r="P85" s="169" t="s">
        <v>103</v>
      </c>
      <c r="Q85" s="114">
        <f t="shared" si="114"/>
        <v>0</v>
      </c>
      <c r="R85" s="115">
        <f t="shared" si="114"/>
        <v>0</v>
      </c>
      <c r="S85" s="115">
        <f t="shared" si="114"/>
        <v>0</v>
      </c>
      <c r="T85" s="115">
        <f t="shared" si="114"/>
        <v>0</v>
      </c>
      <c r="U85" s="115">
        <f t="shared" si="114"/>
        <v>0</v>
      </c>
      <c r="V85" s="115">
        <f t="shared" si="114"/>
        <v>0</v>
      </c>
      <c r="W85" s="115">
        <f t="shared" si="114"/>
        <v>0</v>
      </c>
      <c r="X85" s="115">
        <f t="shared" si="114"/>
        <v>0</v>
      </c>
      <c r="Y85" s="115">
        <f t="shared" si="114"/>
        <v>0</v>
      </c>
      <c r="Z85" s="115">
        <f t="shared" si="115"/>
        <v>0</v>
      </c>
      <c r="AA85" s="115">
        <f t="shared" si="115"/>
        <v>0</v>
      </c>
      <c r="AB85" s="115">
        <f t="shared" si="115"/>
        <v>0</v>
      </c>
      <c r="AC85" s="115">
        <f t="shared" si="115"/>
        <v>0</v>
      </c>
      <c r="AD85" s="115">
        <f t="shared" si="115"/>
        <v>0</v>
      </c>
      <c r="AE85" s="115">
        <f t="shared" si="115"/>
        <v>0</v>
      </c>
      <c r="AF85" s="115">
        <f t="shared" si="115"/>
        <v>0</v>
      </c>
      <c r="AG85" s="115">
        <f t="shared" si="115"/>
        <v>0</v>
      </c>
      <c r="AH85" s="115">
        <f t="shared" si="115"/>
        <v>0</v>
      </c>
      <c r="AI85" s="115">
        <f t="shared" si="115"/>
        <v>0</v>
      </c>
      <c r="AJ85" s="115">
        <f t="shared" si="116"/>
        <v>0</v>
      </c>
      <c r="AK85" s="115">
        <f t="shared" si="116"/>
        <v>0</v>
      </c>
      <c r="AL85" s="115">
        <f t="shared" si="116"/>
        <v>0</v>
      </c>
      <c r="AM85" s="115">
        <f t="shared" si="116"/>
        <v>0</v>
      </c>
      <c r="AN85" s="115">
        <f t="shared" si="116"/>
        <v>0</v>
      </c>
      <c r="AO85" s="115">
        <f t="shared" si="116"/>
        <v>0</v>
      </c>
      <c r="AP85" s="115">
        <f t="shared" si="116"/>
        <v>0</v>
      </c>
      <c r="AQ85" s="115">
        <f t="shared" si="116"/>
        <v>0</v>
      </c>
      <c r="AR85" s="115">
        <f t="shared" si="116"/>
        <v>0</v>
      </c>
      <c r="AS85" s="115">
        <f t="shared" si="116"/>
        <v>0</v>
      </c>
      <c r="AT85" s="115">
        <f t="shared" si="117"/>
        <v>0</v>
      </c>
      <c r="AU85" s="115">
        <f t="shared" si="117"/>
        <v>0</v>
      </c>
      <c r="AV85" s="115" t="e">
        <f t="shared" si="117"/>
        <v>#VALUE!</v>
      </c>
      <c r="AW85" s="115" t="e">
        <f t="shared" si="117"/>
        <v>#VALUE!</v>
      </c>
      <c r="AX85" s="115" t="e">
        <f t="shared" si="117"/>
        <v>#VALUE!</v>
      </c>
      <c r="AY85" s="115" t="e">
        <f t="shared" si="117"/>
        <v>#VALUE!</v>
      </c>
      <c r="AZ85" s="115" t="e">
        <f t="shared" si="117"/>
        <v>#VALUE!</v>
      </c>
      <c r="BA85" s="115" t="e">
        <f t="shared" si="117"/>
        <v>#VALUE!</v>
      </c>
      <c r="BB85" s="115" t="e">
        <f t="shared" si="117"/>
        <v>#VALUE!</v>
      </c>
      <c r="BC85" s="115" t="e">
        <f t="shared" si="117"/>
        <v>#VALUE!</v>
      </c>
      <c r="BD85" s="115" t="e">
        <f t="shared" si="118"/>
        <v>#VALUE!</v>
      </c>
      <c r="BE85" s="115" t="e">
        <f t="shared" si="118"/>
        <v>#VALUE!</v>
      </c>
      <c r="BF85" s="115" t="e">
        <f t="shared" si="118"/>
        <v>#VALUE!</v>
      </c>
      <c r="BG85" s="115" t="e">
        <f t="shared" si="118"/>
        <v>#VALUE!</v>
      </c>
      <c r="BH85" s="115" t="e">
        <f t="shared" si="118"/>
        <v>#VALUE!</v>
      </c>
      <c r="BI85" s="115" t="e">
        <f t="shared" si="118"/>
        <v>#VALUE!</v>
      </c>
      <c r="BJ85" s="115" t="e">
        <f t="shared" si="118"/>
        <v>#VALUE!</v>
      </c>
      <c r="BK85" s="115" t="e">
        <f t="shared" si="118"/>
        <v>#VALUE!</v>
      </c>
      <c r="BL85" s="115" t="e">
        <f t="shared" si="118"/>
        <v>#VALUE!</v>
      </c>
      <c r="BM85" s="115" t="e">
        <f t="shared" si="118"/>
        <v>#VALUE!</v>
      </c>
      <c r="BN85" s="115" t="e">
        <f t="shared" si="119"/>
        <v>#VALUE!</v>
      </c>
      <c r="BO85" s="115" t="e">
        <f t="shared" si="119"/>
        <v>#VALUE!</v>
      </c>
      <c r="BP85" s="115" t="e">
        <f t="shared" si="119"/>
        <v>#VALUE!</v>
      </c>
      <c r="BQ85" s="115" t="e">
        <f t="shared" si="119"/>
        <v>#VALUE!</v>
      </c>
      <c r="BR85" s="115" t="e">
        <f t="shared" si="119"/>
        <v>#VALUE!</v>
      </c>
      <c r="BS85" s="115" t="e">
        <f t="shared" si="119"/>
        <v>#VALUE!</v>
      </c>
      <c r="BT85" s="115" t="e">
        <f t="shared" si="119"/>
        <v>#VALUE!</v>
      </c>
      <c r="BU85" s="115" t="e">
        <f t="shared" si="119"/>
        <v>#VALUE!</v>
      </c>
      <c r="BV85" s="115" t="e">
        <f t="shared" si="119"/>
        <v>#VALUE!</v>
      </c>
      <c r="BW85" s="115" t="e">
        <f t="shared" si="119"/>
        <v>#VALUE!</v>
      </c>
      <c r="BX85" s="115" t="e">
        <f t="shared" si="120"/>
        <v>#VALUE!</v>
      </c>
      <c r="BY85" s="115" t="e">
        <f t="shared" si="120"/>
        <v>#VALUE!</v>
      </c>
      <c r="BZ85" s="115" t="e">
        <f t="shared" si="120"/>
        <v>#VALUE!</v>
      </c>
      <c r="CA85" s="115" t="e">
        <f t="shared" si="120"/>
        <v>#VALUE!</v>
      </c>
      <c r="CB85" s="115" t="e">
        <f t="shared" si="120"/>
        <v>#VALUE!</v>
      </c>
      <c r="CC85" s="115" t="e">
        <f t="shared" si="120"/>
        <v>#VALUE!</v>
      </c>
      <c r="CD85" s="115" t="e">
        <f t="shared" si="120"/>
        <v>#VALUE!</v>
      </c>
      <c r="CE85" s="115" t="e">
        <f t="shared" si="120"/>
        <v>#VALUE!</v>
      </c>
      <c r="CF85" s="115" t="e">
        <f t="shared" si="120"/>
        <v>#VALUE!</v>
      </c>
      <c r="CG85" s="115" t="e">
        <f t="shared" si="120"/>
        <v>#VALUE!</v>
      </c>
      <c r="CH85" s="115" t="e">
        <f t="shared" si="121"/>
        <v>#VALUE!</v>
      </c>
      <c r="CI85" s="115" t="e">
        <f t="shared" si="121"/>
        <v>#VALUE!</v>
      </c>
      <c r="CJ85" s="115" t="e">
        <f t="shared" si="121"/>
        <v>#VALUE!</v>
      </c>
      <c r="CK85" s="115" t="e">
        <f t="shared" si="121"/>
        <v>#VALUE!</v>
      </c>
      <c r="CL85" s="115" t="e">
        <f t="shared" si="121"/>
        <v>#VALUE!</v>
      </c>
      <c r="CM85" s="115" t="e">
        <f t="shared" si="121"/>
        <v>#VALUE!</v>
      </c>
      <c r="CN85" s="115" t="e">
        <f t="shared" si="121"/>
        <v>#VALUE!</v>
      </c>
      <c r="CO85" s="115" t="e">
        <f t="shared" si="121"/>
        <v>#VALUE!</v>
      </c>
      <c r="CP85" s="115" t="e">
        <f t="shared" si="121"/>
        <v>#VALUE!</v>
      </c>
      <c r="CQ85" s="115" t="e">
        <f t="shared" si="121"/>
        <v>#VALUE!</v>
      </c>
      <c r="CR85" s="115" t="e">
        <f t="shared" si="122"/>
        <v>#VALUE!</v>
      </c>
      <c r="CS85" s="115" t="e">
        <f t="shared" si="122"/>
        <v>#VALUE!</v>
      </c>
      <c r="CT85" s="115" t="e">
        <f t="shared" si="122"/>
        <v>#VALUE!</v>
      </c>
      <c r="CU85" s="115" t="e">
        <f t="shared" si="122"/>
        <v>#VALUE!</v>
      </c>
      <c r="CV85" s="115" t="e">
        <f t="shared" si="122"/>
        <v>#VALUE!</v>
      </c>
      <c r="CW85" s="115" t="e">
        <f t="shared" si="122"/>
        <v>#VALUE!</v>
      </c>
      <c r="CX85" s="115" t="e">
        <f t="shared" si="122"/>
        <v>#VALUE!</v>
      </c>
      <c r="CY85" s="115" t="e">
        <f t="shared" si="122"/>
        <v>#VALUE!</v>
      </c>
      <c r="CZ85" s="115" t="e">
        <f t="shared" si="122"/>
        <v>#VALUE!</v>
      </c>
      <c r="DA85" s="115" t="e">
        <f t="shared" si="122"/>
        <v>#VALUE!</v>
      </c>
      <c r="DB85" s="115" t="e">
        <f t="shared" si="123"/>
        <v>#VALUE!</v>
      </c>
      <c r="DC85" s="115" t="e">
        <f t="shared" si="123"/>
        <v>#VALUE!</v>
      </c>
      <c r="DD85" s="115" t="e">
        <f t="shared" si="123"/>
        <v>#VALUE!</v>
      </c>
      <c r="DE85" s="115" t="e">
        <f t="shared" si="123"/>
        <v>#VALUE!</v>
      </c>
      <c r="DF85" s="115" t="e">
        <f t="shared" si="123"/>
        <v>#VALUE!</v>
      </c>
      <c r="DG85" s="115" t="e">
        <f t="shared" si="123"/>
        <v>#VALUE!</v>
      </c>
      <c r="DH85" s="115" t="e">
        <f t="shared" si="123"/>
        <v>#VALUE!</v>
      </c>
      <c r="DI85" s="115" t="e">
        <f t="shared" si="123"/>
        <v>#VALUE!</v>
      </c>
      <c r="DJ85" s="115" t="e">
        <f t="shared" si="123"/>
        <v>#VALUE!</v>
      </c>
      <c r="DK85" s="115" t="e">
        <f t="shared" si="123"/>
        <v>#VALUE!</v>
      </c>
      <c r="DL85" s="115" t="e">
        <f t="shared" si="123"/>
        <v>#VALUE!</v>
      </c>
      <c r="DM85" s="115" t="e">
        <f t="shared" si="123"/>
        <v>#VALUE!</v>
      </c>
    </row>
    <row r="86" spans="1:117" ht="15" customHeight="1" thickBot="1">
      <c r="A86" s="293">
        <v>7900</v>
      </c>
      <c r="B86" s="172" t="s">
        <v>724</v>
      </c>
      <c r="C86" s="172" t="s">
        <v>821</v>
      </c>
      <c r="D86" s="172" t="s">
        <v>648</v>
      </c>
      <c r="E86" s="172"/>
      <c r="F86" s="172" t="s">
        <v>117</v>
      </c>
      <c r="G86" s="171">
        <f>SUM(G87:G88)</f>
        <v>0</v>
      </c>
      <c r="H86" s="171"/>
      <c r="I86" s="171"/>
      <c r="J86" s="172" t="s">
        <v>727</v>
      </c>
      <c r="K86" s="373"/>
      <c r="L86" s="172"/>
      <c r="M86" s="293"/>
      <c r="N86" s="293"/>
      <c r="O86" s="376">
        <f>SUM(O87:O88)</f>
        <v>0</v>
      </c>
      <c r="P86" s="377" t="s">
        <v>103</v>
      </c>
      <c r="Q86" s="116"/>
      <c r="R86" s="116"/>
      <c r="S86" s="116"/>
      <c r="T86" s="116"/>
      <c r="U86" s="116"/>
      <c r="V86" s="116"/>
      <c r="W86" s="116"/>
      <c r="X86" s="116"/>
      <c r="Y86" s="116"/>
      <c r="Z86" s="116"/>
      <c r="AA86" s="116"/>
      <c r="AB86" s="116"/>
      <c r="AC86" s="116"/>
      <c r="AD86" s="116"/>
      <c r="AE86" s="116"/>
      <c r="AF86" s="116"/>
      <c r="AG86" s="116"/>
      <c r="AH86" s="116"/>
      <c r="AI86" s="116"/>
      <c r="AJ86" s="116"/>
      <c r="AK86" s="116"/>
      <c r="AL86" s="116"/>
      <c r="AM86" s="116"/>
      <c r="AN86" s="116"/>
      <c r="AO86" s="116"/>
      <c r="AP86" s="116"/>
      <c r="AQ86" s="116"/>
      <c r="AR86" s="116"/>
      <c r="AS86" s="116"/>
      <c r="AT86" s="116"/>
      <c r="AU86" s="116"/>
      <c r="AV86" s="116"/>
      <c r="AW86" s="116"/>
      <c r="AX86" s="116"/>
      <c r="AY86" s="116"/>
      <c r="AZ86" s="116"/>
      <c r="BA86" s="116"/>
      <c r="BB86" s="116"/>
      <c r="BC86" s="116"/>
      <c r="BD86" s="116"/>
      <c r="BE86" s="116"/>
      <c r="BF86" s="116"/>
      <c r="BG86" s="116"/>
      <c r="BH86" s="116"/>
      <c r="BI86" s="116"/>
      <c r="BJ86" s="116"/>
      <c r="BK86" s="116"/>
      <c r="BL86" s="116"/>
      <c r="BM86" s="116"/>
      <c r="BN86" s="116"/>
      <c r="BO86" s="116"/>
      <c r="BP86" s="116"/>
      <c r="BQ86" s="116"/>
      <c r="BR86" s="116"/>
      <c r="BS86" s="116"/>
      <c r="BT86" s="116"/>
      <c r="BU86" s="116"/>
      <c r="BV86" s="116"/>
      <c r="BW86" s="116"/>
      <c r="BX86" s="116"/>
      <c r="BY86" s="116"/>
      <c r="BZ86" s="116"/>
      <c r="CA86" s="116"/>
      <c r="CB86" s="116"/>
      <c r="CC86" s="116"/>
      <c r="CD86" s="116"/>
      <c r="CE86" s="116"/>
      <c r="CF86" s="116"/>
      <c r="CG86" s="116"/>
      <c r="CH86" s="116"/>
      <c r="CI86" s="116"/>
      <c r="CJ86" s="116"/>
      <c r="CK86" s="116"/>
      <c r="CL86" s="116"/>
      <c r="CM86" s="116"/>
      <c r="CN86" s="116"/>
      <c r="CO86" s="116"/>
      <c r="CP86" s="116"/>
      <c r="CQ86" s="116"/>
      <c r="CR86" s="116"/>
      <c r="CS86" s="116"/>
      <c r="CT86" s="116"/>
      <c r="CU86" s="116"/>
      <c r="CV86" s="116"/>
      <c r="CW86" s="116"/>
      <c r="CX86" s="116"/>
      <c r="CY86" s="116"/>
      <c r="CZ86" s="116"/>
      <c r="DA86" s="116"/>
      <c r="DB86" s="116"/>
      <c r="DC86" s="116"/>
      <c r="DD86" s="116"/>
      <c r="DE86" s="116"/>
      <c r="DF86" s="116"/>
      <c r="DG86" s="116"/>
      <c r="DH86" s="116"/>
      <c r="DI86" s="116"/>
      <c r="DJ86" s="116"/>
      <c r="DK86" s="116"/>
      <c r="DL86" s="116"/>
      <c r="DM86" s="116"/>
    </row>
    <row r="87" spans="1:117" ht="15" customHeight="1" thickBot="1">
      <c r="A87" s="55">
        <v>8000</v>
      </c>
      <c r="B87" s="194" t="s">
        <v>728</v>
      </c>
      <c r="C87" s="194" t="s">
        <v>822</v>
      </c>
      <c r="D87" s="194" t="s">
        <v>823</v>
      </c>
      <c r="E87" s="194"/>
      <c r="F87" s="194" t="s">
        <v>824</v>
      </c>
      <c r="G87" s="291">
        <f t="shared" ref="G87:G88" si="124">IF(I87="",H87,I87)</f>
        <v>0</v>
      </c>
      <c r="H87" s="292">
        <f>0.02*365/60*VLOOKUP("SKh",Dienstleistungen,5,0)*VLOOKUP("NF",Objektkenndaten,5,0)</f>
        <v>0</v>
      </c>
      <c r="I87" s="168"/>
      <c r="J87" s="194" t="s">
        <v>727</v>
      </c>
      <c r="K87" s="378" t="s">
        <v>732</v>
      </c>
      <c r="L87" s="379" t="s">
        <v>361</v>
      </c>
      <c r="M87" s="325">
        <f>VLOOKUP(L87,Finanzielle_Parameter,5,0)</f>
        <v>2.67</v>
      </c>
      <c r="N87" s="380">
        <f>(1+VLOOKUP(L87,Finanzielle_Parameter,5,0)/100)/(1+VLOOKUP("R",Finanzielle_Parameter,5,0)/100)</f>
        <v>1.0095378564405113</v>
      </c>
      <c r="O87" s="381">
        <f t="shared" ref="O87:Y88" si="125">IF($N87&lt;&gt;1,$G87*($N87^$K87)*(($N87^($K87*INT(O$2/$K87))-1)/($N87^$K87-1)),$G87*INT(O$2/$K87))</f>
        <v>0</v>
      </c>
      <c r="P87" s="169" t="s">
        <v>103</v>
      </c>
      <c r="Q87" s="114">
        <f t="shared" si="125"/>
        <v>0</v>
      </c>
      <c r="R87" s="115">
        <f t="shared" si="125"/>
        <v>0</v>
      </c>
      <c r="S87" s="115">
        <f t="shared" si="125"/>
        <v>0</v>
      </c>
      <c r="T87" s="115">
        <f t="shared" si="125"/>
        <v>0</v>
      </c>
      <c r="U87" s="115">
        <f t="shared" si="125"/>
        <v>0</v>
      </c>
      <c r="V87" s="115">
        <f t="shared" si="125"/>
        <v>0</v>
      </c>
      <c r="W87" s="115">
        <f t="shared" si="125"/>
        <v>0</v>
      </c>
      <c r="X87" s="115">
        <f t="shared" si="125"/>
        <v>0</v>
      </c>
      <c r="Y87" s="115">
        <f t="shared" si="125"/>
        <v>0</v>
      </c>
      <c r="Z87" s="115">
        <f t="shared" ref="Z87:AI88" si="126">IF($N87&lt;&gt;1,$G87*($N87^$K87)*(($N87^($K87*INT(Z$2/$K87))-1)/($N87^$K87-1)),$G87*INT(Z$2/$K87))</f>
        <v>0</v>
      </c>
      <c r="AA87" s="115">
        <f t="shared" si="126"/>
        <v>0</v>
      </c>
      <c r="AB87" s="115">
        <f t="shared" si="126"/>
        <v>0</v>
      </c>
      <c r="AC87" s="115">
        <f t="shared" si="126"/>
        <v>0</v>
      </c>
      <c r="AD87" s="115">
        <f t="shared" si="126"/>
        <v>0</v>
      </c>
      <c r="AE87" s="115">
        <f t="shared" si="126"/>
        <v>0</v>
      </c>
      <c r="AF87" s="115">
        <f t="shared" si="126"/>
        <v>0</v>
      </c>
      <c r="AG87" s="115">
        <f t="shared" si="126"/>
        <v>0</v>
      </c>
      <c r="AH87" s="115">
        <f t="shared" si="126"/>
        <v>0</v>
      </c>
      <c r="AI87" s="115">
        <f t="shared" si="126"/>
        <v>0</v>
      </c>
      <c r="AJ87" s="115">
        <f t="shared" ref="AJ87:AS88" si="127">IF($N87&lt;&gt;1,$G87*($N87^$K87)*(($N87^($K87*INT(AJ$2/$K87))-1)/($N87^$K87-1)),$G87*INT(AJ$2/$K87))</f>
        <v>0</v>
      </c>
      <c r="AK87" s="115">
        <f t="shared" si="127"/>
        <v>0</v>
      </c>
      <c r="AL87" s="115">
        <f t="shared" si="127"/>
        <v>0</v>
      </c>
      <c r="AM87" s="115">
        <f t="shared" si="127"/>
        <v>0</v>
      </c>
      <c r="AN87" s="115">
        <f t="shared" si="127"/>
        <v>0</v>
      </c>
      <c r="AO87" s="115">
        <f t="shared" si="127"/>
        <v>0</v>
      </c>
      <c r="AP87" s="115">
        <f t="shared" si="127"/>
        <v>0</v>
      </c>
      <c r="AQ87" s="115">
        <f t="shared" si="127"/>
        <v>0</v>
      </c>
      <c r="AR87" s="115">
        <f t="shared" si="127"/>
        <v>0</v>
      </c>
      <c r="AS87" s="115">
        <f t="shared" si="127"/>
        <v>0</v>
      </c>
      <c r="AT87" s="115">
        <f t="shared" ref="AT87:BC88" si="128">IF($N87&lt;&gt;1,$G87*($N87^$K87)*(($N87^($K87*INT(AT$2/$K87))-1)/($N87^$K87-1)),$G87*INT(AT$2/$K87))</f>
        <v>0</v>
      </c>
      <c r="AU87" s="115">
        <f t="shared" si="128"/>
        <v>0</v>
      </c>
      <c r="AV87" s="115" t="e">
        <f t="shared" si="128"/>
        <v>#VALUE!</v>
      </c>
      <c r="AW87" s="115" t="e">
        <f t="shared" si="128"/>
        <v>#VALUE!</v>
      </c>
      <c r="AX87" s="115" t="e">
        <f t="shared" si="128"/>
        <v>#VALUE!</v>
      </c>
      <c r="AY87" s="115" t="e">
        <f t="shared" si="128"/>
        <v>#VALUE!</v>
      </c>
      <c r="AZ87" s="115" t="e">
        <f t="shared" si="128"/>
        <v>#VALUE!</v>
      </c>
      <c r="BA87" s="115" t="e">
        <f t="shared" si="128"/>
        <v>#VALUE!</v>
      </c>
      <c r="BB87" s="115" t="e">
        <f t="shared" si="128"/>
        <v>#VALUE!</v>
      </c>
      <c r="BC87" s="115" t="e">
        <f t="shared" si="128"/>
        <v>#VALUE!</v>
      </c>
      <c r="BD87" s="115" t="e">
        <f t="shared" ref="BD87:BM88" si="129">IF($N87&lt;&gt;1,$G87*($N87^$K87)*(($N87^($K87*INT(BD$2/$K87))-1)/($N87^$K87-1)),$G87*INT(BD$2/$K87))</f>
        <v>#VALUE!</v>
      </c>
      <c r="BE87" s="115" t="e">
        <f t="shared" si="129"/>
        <v>#VALUE!</v>
      </c>
      <c r="BF87" s="115" t="e">
        <f t="shared" si="129"/>
        <v>#VALUE!</v>
      </c>
      <c r="BG87" s="115" t="e">
        <f t="shared" si="129"/>
        <v>#VALUE!</v>
      </c>
      <c r="BH87" s="115" t="e">
        <f t="shared" si="129"/>
        <v>#VALUE!</v>
      </c>
      <c r="BI87" s="115" t="e">
        <f t="shared" si="129"/>
        <v>#VALUE!</v>
      </c>
      <c r="BJ87" s="115" t="e">
        <f t="shared" si="129"/>
        <v>#VALUE!</v>
      </c>
      <c r="BK87" s="115" t="e">
        <f t="shared" si="129"/>
        <v>#VALUE!</v>
      </c>
      <c r="BL87" s="115" t="e">
        <f t="shared" si="129"/>
        <v>#VALUE!</v>
      </c>
      <c r="BM87" s="115" t="e">
        <f t="shared" si="129"/>
        <v>#VALUE!</v>
      </c>
      <c r="BN87" s="115" t="e">
        <f t="shared" ref="BN87:BW88" si="130">IF($N87&lt;&gt;1,$G87*($N87^$K87)*(($N87^($K87*INT(BN$2/$K87))-1)/($N87^$K87-1)),$G87*INT(BN$2/$K87))</f>
        <v>#VALUE!</v>
      </c>
      <c r="BO87" s="115" t="e">
        <f t="shared" si="130"/>
        <v>#VALUE!</v>
      </c>
      <c r="BP87" s="115" t="e">
        <f t="shared" si="130"/>
        <v>#VALUE!</v>
      </c>
      <c r="BQ87" s="115" t="e">
        <f t="shared" si="130"/>
        <v>#VALUE!</v>
      </c>
      <c r="BR87" s="115" t="e">
        <f t="shared" si="130"/>
        <v>#VALUE!</v>
      </c>
      <c r="BS87" s="115" t="e">
        <f t="shared" si="130"/>
        <v>#VALUE!</v>
      </c>
      <c r="BT87" s="115" t="e">
        <f t="shared" si="130"/>
        <v>#VALUE!</v>
      </c>
      <c r="BU87" s="115" t="e">
        <f t="shared" si="130"/>
        <v>#VALUE!</v>
      </c>
      <c r="BV87" s="115" t="e">
        <f t="shared" si="130"/>
        <v>#VALUE!</v>
      </c>
      <c r="BW87" s="115" t="e">
        <f t="shared" si="130"/>
        <v>#VALUE!</v>
      </c>
      <c r="BX87" s="115" t="e">
        <f t="shared" ref="BX87:CG88" si="131">IF($N87&lt;&gt;1,$G87*($N87^$K87)*(($N87^($K87*INT(BX$2/$K87))-1)/($N87^$K87-1)),$G87*INT(BX$2/$K87))</f>
        <v>#VALUE!</v>
      </c>
      <c r="BY87" s="115" t="e">
        <f t="shared" si="131"/>
        <v>#VALUE!</v>
      </c>
      <c r="BZ87" s="115" t="e">
        <f t="shared" si="131"/>
        <v>#VALUE!</v>
      </c>
      <c r="CA87" s="115" t="e">
        <f t="shared" si="131"/>
        <v>#VALUE!</v>
      </c>
      <c r="CB87" s="115" t="e">
        <f t="shared" si="131"/>
        <v>#VALUE!</v>
      </c>
      <c r="CC87" s="115" t="e">
        <f t="shared" si="131"/>
        <v>#VALUE!</v>
      </c>
      <c r="CD87" s="115" t="e">
        <f t="shared" si="131"/>
        <v>#VALUE!</v>
      </c>
      <c r="CE87" s="115" t="e">
        <f t="shared" si="131"/>
        <v>#VALUE!</v>
      </c>
      <c r="CF87" s="115" t="e">
        <f t="shared" si="131"/>
        <v>#VALUE!</v>
      </c>
      <c r="CG87" s="115" t="e">
        <f t="shared" si="131"/>
        <v>#VALUE!</v>
      </c>
      <c r="CH87" s="115" t="e">
        <f t="shared" ref="CH87:CQ88" si="132">IF($N87&lt;&gt;1,$G87*($N87^$K87)*(($N87^($K87*INT(CH$2/$K87))-1)/($N87^$K87-1)),$G87*INT(CH$2/$K87))</f>
        <v>#VALUE!</v>
      </c>
      <c r="CI87" s="115" t="e">
        <f t="shared" si="132"/>
        <v>#VALUE!</v>
      </c>
      <c r="CJ87" s="115" t="e">
        <f t="shared" si="132"/>
        <v>#VALUE!</v>
      </c>
      <c r="CK87" s="115" t="e">
        <f t="shared" si="132"/>
        <v>#VALUE!</v>
      </c>
      <c r="CL87" s="115" t="e">
        <f t="shared" si="132"/>
        <v>#VALUE!</v>
      </c>
      <c r="CM87" s="115" t="e">
        <f t="shared" si="132"/>
        <v>#VALUE!</v>
      </c>
      <c r="CN87" s="115" t="e">
        <f t="shared" si="132"/>
        <v>#VALUE!</v>
      </c>
      <c r="CO87" s="115" t="e">
        <f t="shared" si="132"/>
        <v>#VALUE!</v>
      </c>
      <c r="CP87" s="115" t="e">
        <f t="shared" si="132"/>
        <v>#VALUE!</v>
      </c>
      <c r="CQ87" s="115" t="e">
        <f t="shared" si="132"/>
        <v>#VALUE!</v>
      </c>
      <c r="CR87" s="115" t="e">
        <f t="shared" ref="CR87:DA88" si="133">IF($N87&lt;&gt;1,$G87*($N87^$K87)*(($N87^($K87*INT(CR$2/$K87))-1)/($N87^$K87-1)),$G87*INT(CR$2/$K87))</f>
        <v>#VALUE!</v>
      </c>
      <c r="CS87" s="115" t="e">
        <f t="shared" si="133"/>
        <v>#VALUE!</v>
      </c>
      <c r="CT87" s="115" t="e">
        <f t="shared" si="133"/>
        <v>#VALUE!</v>
      </c>
      <c r="CU87" s="115" t="e">
        <f t="shared" si="133"/>
        <v>#VALUE!</v>
      </c>
      <c r="CV87" s="115" t="e">
        <f t="shared" si="133"/>
        <v>#VALUE!</v>
      </c>
      <c r="CW87" s="115" t="e">
        <f t="shared" si="133"/>
        <v>#VALUE!</v>
      </c>
      <c r="CX87" s="115" t="e">
        <f t="shared" si="133"/>
        <v>#VALUE!</v>
      </c>
      <c r="CY87" s="115" t="e">
        <f t="shared" si="133"/>
        <v>#VALUE!</v>
      </c>
      <c r="CZ87" s="115" t="e">
        <f t="shared" si="133"/>
        <v>#VALUE!</v>
      </c>
      <c r="DA87" s="115" t="e">
        <f t="shared" si="133"/>
        <v>#VALUE!</v>
      </c>
      <c r="DB87" s="115" t="e">
        <f t="shared" ref="DB87:DM88" si="134">IF($N87&lt;&gt;1,$G87*($N87^$K87)*(($N87^($K87*INT(DB$2/$K87))-1)/($N87^$K87-1)),$G87*INT(DB$2/$K87))</f>
        <v>#VALUE!</v>
      </c>
      <c r="DC87" s="115" t="e">
        <f t="shared" si="134"/>
        <v>#VALUE!</v>
      </c>
      <c r="DD87" s="115" t="e">
        <f t="shared" si="134"/>
        <v>#VALUE!</v>
      </c>
      <c r="DE87" s="115" t="e">
        <f t="shared" si="134"/>
        <v>#VALUE!</v>
      </c>
      <c r="DF87" s="115" t="e">
        <f t="shared" si="134"/>
        <v>#VALUE!</v>
      </c>
      <c r="DG87" s="115" t="e">
        <f t="shared" si="134"/>
        <v>#VALUE!</v>
      </c>
      <c r="DH87" s="115" t="e">
        <f t="shared" si="134"/>
        <v>#VALUE!</v>
      </c>
      <c r="DI87" s="115" t="e">
        <f t="shared" si="134"/>
        <v>#VALUE!</v>
      </c>
      <c r="DJ87" s="115" t="e">
        <f t="shared" si="134"/>
        <v>#VALUE!</v>
      </c>
      <c r="DK87" s="115" t="e">
        <f t="shared" si="134"/>
        <v>#VALUE!</v>
      </c>
      <c r="DL87" s="115" t="e">
        <f t="shared" si="134"/>
        <v>#VALUE!</v>
      </c>
      <c r="DM87" s="115" t="e">
        <f t="shared" si="134"/>
        <v>#VALUE!</v>
      </c>
    </row>
    <row r="88" spans="1:117" ht="15" customHeight="1" thickBot="1">
      <c r="A88" s="55">
        <v>8100</v>
      </c>
      <c r="B88" s="194" t="s">
        <v>728</v>
      </c>
      <c r="C88" s="194" t="s">
        <v>825</v>
      </c>
      <c r="D88" s="194" t="s">
        <v>826</v>
      </c>
      <c r="E88" s="194"/>
      <c r="F88" s="194"/>
      <c r="G88" s="291">
        <f t="shared" si="124"/>
        <v>0</v>
      </c>
      <c r="H88" s="292"/>
      <c r="I88" s="306"/>
      <c r="J88" s="194" t="s">
        <v>727</v>
      </c>
      <c r="K88" s="378" t="s">
        <v>732</v>
      </c>
      <c r="L88" s="379" t="s">
        <v>361</v>
      </c>
      <c r="M88" s="325">
        <f>VLOOKUP(L88,Finanzielle_Parameter,5,0)</f>
        <v>2.67</v>
      </c>
      <c r="N88" s="380">
        <f>(1+VLOOKUP(L88,Finanzielle_Parameter,5,0)/100)/(1+VLOOKUP("R",Finanzielle_Parameter,5,0)/100)</f>
        <v>1.0095378564405113</v>
      </c>
      <c r="O88" s="381">
        <f t="shared" si="125"/>
        <v>0</v>
      </c>
      <c r="P88" s="169" t="s">
        <v>103</v>
      </c>
      <c r="Q88" s="114">
        <f t="shared" si="125"/>
        <v>0</v>
      </c>
      <c r="R88" s="115">
        <f t="shared" si="125"/>
        <v>0</v>
      </c>
      <c r="S88" s="115">
        <f t="shared" si="125"/>
        <v>0</v>
      </c>
      <c r="T88" s="115">
        <f t="shared" si="125"/>
        <v>0</v>
      </c>
      <c r="U88" s="115">
        <f t="shared" si="125"/>
        <v>0</v>
      </c>
      <c r="V88" s="115">
        <f t="shared" si="125"/>
        <v>0</v>
      </c>
      <c r="W88" s="115">
        <f t="shared" si="125"/>
        <v>0</v>
      </c>
      <c r="X88" s="115">
        <f t="shared" si="125"/>
        <v>0</v>
      </c>
      <c r="Y88" s="115">
        <f t="shared" si="125"/>
        <v>0</v>
      </c>
      <c r="Z88" s="115">
        <f t="shared" si="126"/>
        <v>0</v>
      </c>
      <c r="AA88" s="115">
        <f t="shared" si="126"/>
        <v>0</v>
      </c>
      <c r="AB88" s="115">
        <f t="shared" si="126"/>
        <v>0</v>
      </c>
      <c r="AC88" s="115">
        <f t="shared" si="126"/>
        <v>0</v>
      </c>
      <c r="AD88" s="115">
        <f t="shared" si="126"/>
        <v>0</v>
      </c>
      <c r="AE88" s="115">
        <f t="shared" si="126"/>
        <v>0</v>
      </c>
      <c r="AF88" s="115">
        <f t="shared" si="126"/>
        <v>0</v>
      </c>
      <c r="AG88" s="115">
        <f t="shared" si="126"/>
        <v>0</v>
      </c>
      <c r="AH88" s="115">
        <f t="shared" si="126"/>
        <v>0</v>
      </c>
      <c r="AI88" s="115">
        <f t="shared" si="126"/>
        <v>0</v>
      </c>
      <c r="AJ88" s="115">
        <f t="shared" si="127"/>
        <v>0</v>
      </c>
      <c r="AK88" s="115">
        <f t="shared" si="127"/>
        <v>0</v>
      </c>
      <c r="AL88" s="115">
        <f t="shared" si="127"/>
        <v>0</v>
      </c>
      <c r="AM88" s="115">
        <f t="shared" si="127"/>
        <v>0</v>
      </c>
      <c r="AN88" s="115">
        <f t="shared" si="127"/>
        <v>0</v>
      </c>
      <c r="AO88" s="115">
        <f t="shared" si="127"/>
        <v>0</v>
      </c>
      <c r="AP88" s="115">
        <f t="shared" si="127"/>
        <v>0</v>
      </c>
      <c r="AQ88" s="115">
        <f t="shared" si="127"/>
        <v>0</v>
      </c>
      <c r="AR88" s="115">
        <f t="shared" si="127"/>
        <v>0</v>
      </c>
      <c r="AS88" s="115">
        <f t="shared" si="127"/>
        <v>0</v>
      </c>
      <c r="AT88" s="115">
        <f t="shared" si="128"/>
        <v>0</v>
      </c>
      <c r="AU88" s="115">
        <f t="shared" si="128"/>
        <v>0</v>
      </c>
      <c r="AV88" s="115" t="e">
        <f t="shared" si="128"/>
        <v>#VALUE!</v>
      </c>
      <c r="AW88" s="115" t="e">
        <f t="shared" si="128"/>
        <v>#VALUE!</v>
      </c>
      <c r="AX88" s="115" t="e">
        <f t="shared" si="128"/>
        <v>#VALUE!</v>
      </c>
      <c r="AY88" s="115" t="e">
        <f t="shared" si="128"/>
        <v>#VALUE!</v>
      </c>
      <c r="AZ88" s="115" t="e">
        <f t="shared" si="128"/>
        <v>#VALUE!</v>
      </c>
      <c r="BA88" s="115" t="e">
        <f t="shared" si="128"/>
        <v>#VALUE!</v>
      </c>
      <c r="BB88" s="115" t="e">
        <f t="shared" si="128"/>
        <v>#VALUE!</v>
      </c>
      <c r="BC88" s="115" t="e">
        <f t="shared" si="128"/>
        <v>#VALUE!</v>
      </c>
      <c r="BD88" s="115" t="e">
        <f t="shared" si="129"/>
        <v>#VALUE!</v>
      </c>
      <c r="BE88" s="115" t="e">
        <f t="shared" si="129"/>
        <v>#VALUE!</v>
      </c>
      <c r="BF88" s="115" t="e">
        <f t="shared" si="129"/>
        <v>#VALUE!</v>
      </c>
      <c r="BG88" s="115" t="e">
        <f t="shared" si="129"/>
        <v>#VALUE!</v>
      </c>
      <c r="BH88" s="115" t="e">
        <f t="shared" si="129"/>
        <v>#VALUE!</v>
      </c>
      <c r="BI88" s="115" t="e">
        <f t="shared" si="129"/>
        <v>#VALUE!</v>
      </c>
      <c r="BJ88" s="115" t="e">
        <f t="shared" si="129"/>
        <v>#VALUE!</v>
      </c>
      <c r="BK88" s="115" t="e">
        <f t="shared" si="129"/>
        <v>#VALUE!</v>
      </c>
      <c r="BL88" s="115" t="e">
        <f t="shared" si="129"/>
        <v>#VALUE!</v>
      </c>
      <c r="BM88" s="115" t="e">
        <f t="shared" si="129"/>
        <v>#VALUE!</v>
      </c>
      <c r="BN88" s="115" t="e">
        <f t="shared" si="130"/>
        <v>#VALUE!</v>
      </c>
      <c r="BO88" s="115" t="e">
        <f t="shared" si="130"/>
        <v>#VALUE!</v>
      </c>
      <c r="BP88" s="115" t="e">
        <f t="shared" si="130"/>
        <v>#VALUE!</v>
      </c>
      <c r="BQ88" s="115" t="e">
        <f t="shared" si="130"/>
        <v>#VALUE!</v>
      </c>
      <c r="BR88" s="115" t="e">
        <f t="shared" si="130"/>
        <v>#VALUE!</v>
      </c>
      <c r="BS88" s="115" t="e">
        <f t="shared" si="130"/>
        <v>#VALUE!</v>
      </c>
      <c r="BT88" s="115" t="e">
        <f t="shared" si="130"/>
        <v>#VALUE!</v>
      </c>
      <c r="BU88" s="115" t="e">
        <f t="shared" si="130"/>
        <v>#VALUE!</v>
      </c>
      <c r="BV88" s="115" t="e">
        <f t="shared" si="130"/>
        <v>#VALUE!</v>
      </c>
      <c r="BW88" s="115" t="e">
        <f t="shared" si="130"/>
        <v>#VALUE!</v>
      </c>
      <c r="BX88" s="115" t="e">
        <f t="shared" si="131"/>
        <v>#VALUE!</v>
      </c>
      <c r="BY88" s="115" t="e">
        <f t="shared" si="131"/>
        <v>#VALUE!</v>
      </c>
      <c r="BZ88" s="115" t="e">
        <f t="shared" si="131"/>
        <v>#VALUE!</v>
      </c>
      <c r="CA88" s="115" t="e">
        <f t="shared" si="131"/>
        <v>#VALUE!</v>
      </c>
      <c r="CB88" s="115" t="e">
        <f t="shared" si="131"/>
        <v>#VALUE!</v>
      </c>
      <c r="CC88" s="115" t="e">
        <f t="shared" si="131"/>
        <v>#VALUE!</v>
      </c>
      <c r="CD88" s="115" t="e">
        <f t="shared" si="131"/>
        <v>#VALUE!</v>
      </c>
      <c r="CE88" s="115" t="e">
        <f t="shared" si="131"/>
        <v>#VALUE!</v>
      </c>
      <c r="CF88" s="115" t="e">
        <f t="shared" si="131"/>
        <v>#VALUE!</v>
      </c>
      <c r="CG88" s="115" t="e">
        <f t="shared" si="131"/>
        <v>#VALUE!</v>
      </c>
      <c r="CH88" s="115" t="e">
        <f t="shared" si="132"/>
        <v>#VALUE!</v>
      </c>
      <c r="CI88" s="115" t="e">
        <f t="shared" si="132"/>
        <v>#VALUE!</v>
      </c>
      <c r="CJ88" s="115" t="e">
        <f t="shared" si="132"/>
        <v>#VALUE!</v>
      </c>
      <c r="CK88" s="115" t="e">
        <f t="shared" si="132"/>
        <v>#VALUE!</v>
      </c>
      <c r="CL88" s="115" t="e">
        <f t="shared" si="132"/>
        <v>#VALUE!</v>
      </c>
      <c r="CM88" s="115" t="e">
        <f t="shared" si="132"/>
        <v>#VALUE!</v>
      </c>
      <c r="CN88" s="115" t="e">
        <f t="shared" si="132"/>
        <v>#VALUE!</v>
      </c>
      <c r="CO88" s="115" t="e">
        <f t="shared" si="132"/>
        <v>#VALUE!</v>
      </c>
      <c r="CP88" s="115" t="e">
        <f t="shared" si="132"/>
        <v>#VALUE!</v>
      </c>
      <c r="CQ88" s="115" t="e">
        <f t="shared" si="132"/>
        <v>#VALUE!</v>
      </c>
      <c r="CR88" s="115" t="e">
        <f t="shared" si="133"/>
        <v>#VALUE!</v>
      </c>
      <c r="CS88" s="115" t="e">
        <f t="shared" si="133"/>
        <v>#VALUE!</v>
      </c>
      <c r="CT88" s="115" t="e">
        <f t="shared" si="133"/>
        <v>#VALUE!</v>
      </c>
      <c r="CU88" s="115" t="e">
        <f t="shared" si="133"/>
        <v>#VALUE!</v>
      </c>
      <c r="CV88" s="115" t="e">
        <f t="shared" si="133"/>
        <v>#VALUE!</v>
      </c>
      <c r="CW88" s="115" t="e">
        <f t="shared" si="133"/>
        <v>#VALUE!</v>
      </c>
      <c r="CX88" s="115" t="e">
        <f t="shared" si="133"/>
        <v>#VALUE!</v>
      </c>
      <c r="CY88" s="115" t="e">
        <f t="shared" si="133"/>
        <v>#VALUE!</v>
      </c>
      <c r="CZ88" s="115" t="e">
        <f t="shared" si="133"/>
        <v>#VALUE!</v>
      </c>
      <c r="DA88" s="115" t="e">
        <f t="shared" si="133"/>
        <v>#VALUE!</v>
      </c>
      <c r="DB88" s="115" t="e">
        <f t="shared" si="134"/>
        <v>#VALUE!</v>
      </c>
      <c r="DC88" s="115" t="e">
        <f t="shared" si="134"/>
        <v>#VALUE!</v>
      </c>
      <c r="DD88" s="115" t="e">
        <f t="shared" si="134"/>
        <v>#VALUE!</v>
      </c>
      <c r="DE88" s="115" t="e">
        <f t="shared" si="134"/>
        <v>#VALUE!</v>
      </c>
      <c r="DF88" s="115" t="e">
        <f t="shared" si="134"/>
        <v>#VALUE!</v>
      </c>
      <c r="DG88" s="115" t="e">
        <f t="shared" si="134"/>
        <v>#VALUE!</v>
      </c>
      <c r="DH88" s="115" t="e">
        <f t="shared" si="134"/>
        <v>#VALUE!</v>
      </c>
      <c r="DI88" s="115" t="e">
        <f t="shared" si="134"/>
        <v>#VALUE!</v>
      </c>
      <c r="DJ88" s="115" t="e">
        <f t="shared" si="134"/>
        <v>#VALUE!</v>
      </c>
      <c r="DK88" s="115" t="e">
        <f t="shared" si="134"/>
        <v>#VALUE!</v>
      </c>
      <c r="DL88" s="115" t="e">
        <f t="shared" si="134"/>
        <v>#VALUE!</v>
      </c>
      <c r="DM88" s="115" t="e">
        <f t="shared" si="134"/>
        <v>#VALUE!</v>
      </c>
    </row>
    <row r="89" spans="1:117" ht="15" customHeight="1" thickBot="1">
      <c r="A89" s="293">
        <v>8300</v>
      </c>
      <c r="B89" s="172" t="s">
        <v>724</v>
      </c>
      <c r="C89" s="172" t="s">
        <v>827</v>
      </c>
      <c r="D89" s="172" t="s">
        <v>828</v>
      </c>
      <c r="E89" s="172"/>
      <c r="F89" s="172" t="s">
        <v>117</v>
      </c>
      <c r="G89" s="171">
        <f>SUM(G90:G95)</f>
        <v>0</v>
      </c>
      <c r="H89" s="171"/>
      <c r="I89" s="171"/>
      <c r="J89" s="172" t="s">
        <v>727</v>
      </c>
      <c r="K89" s="373"/>
      <c r="L89" s="172"/>
      <c r="M89" s="293"/>
      <c r="N89" s="293"/>
      <c r="O89" s="376">
        <f>SUM(O90:O95)</f>
        <v>0</v>
      </c>
      <c r="P89" s="377" t="s">
        <v>103</v>
      </c>
      <c r="Q89" s="116"/>
      <c r="R89" s="116"/>
      <c r="S89" s="116"/>
      <c r="T89" s="116"/>
      <c r="U89" s="116"/>
      <c r="V89" s="116"/>
      <c r="W89" s="116"/>
      <c r="X89" s="116"/>
      <c r="Y89" s="116"/>
      <c r="Z89" s="116"/>
      <c r="AA89" s="116"/>
      <c r="AB89" s="116"/>
      <c r="AC89" s="116"/>
      <c r="AD89" s="116"/>
      <c r="AE89" s="116"/>
      <c r="AF89" s="116"/>
      <c r="AG89" s="116"/>
      <c r="AH89" s="116"/>
      <c r="AI89" s="116"/>
      <c r="AJ89" s="116"/>
      <c r="AK89" s="116"/>
      <c r="AL89" s="116"/>
      <c r="AM89" s="116"/>
      <c r="AN89" s="116"/>
      <c r="AO89" s="116"/>
      <c r="AP89" s="116"/>
      <c r="AQ89" s="116"/>
      <c r="AR89" s="116"/>
      <c r="AS89" s="116"/>
      <c r="AT89" s="116"/>
      <c r="AU89" s="116"/>
      <c r="AV89" s="116"/>
      <c r="AW89" s="116"/>
      <c r="AX89" s="116"/>
      <c r="AY89" s="116"/>
      <c r="AZ89" s="116"/>
      <c r="BA89" s="116"/>
      <c r="BB89" s="116"/>
      <c r="BC89" s="116"/>
      <c r="BD89" s="116"/>
      <c r="BE89" s="116"/>
      <c r="BF89" s="116"/>
      <c r="BG89" s="116"/>
      <c r="BH89" s="116"/>
      <c r="BI89" s="116"/>
      <c r="BJ89" s="116"/>
      <c r="BK89" s="116"/>
      <c r="BL89" s="116"/>
      <c r="BM89" s="116"/>
      <c r="BN89" s="116"/>
      <c r="BO89" s="116"/>
      <c r="BP89" s="116"/>
      <c r="BQ89" s="116"/>
      <c r="BR89" s="116"/>
      <c r="BS89" s="116"/>
      <c r="BT89" s="116"/>
      <c r="BU89" s="116"/>
      <c r="BV89" s="116"/>
      <c r="BW89" s="116"/>
      <c r="BX89" s="116"/>
      <c r="BY89" s="116"/>
      <c r="BZ89" s="116"/>
      <c r="CA89" s="116"/>
      <c r="CB89" s="116"/>
      <c r="CC89" s="116"/>
      <c r="CD89" s="116"/>
      <c r="CE89" s="116"/>
      <c r="CF89" s="116"/>
      <c r="CG89" s="116"/>
      <c r="CH89" s="116"/>
      <c r="CI89" s="116"/>
      <c r="CJ89" s="116"/>
      <c r="CK89" s="116"/>
      <c r="CL89" s="116"/>
      <c r="CM89" s="116"/>
      <c r="CN89" s="116"/>
      <c r="CO89" s="116"/>
      <c r="CP89" s="116"/>
      <c r="CQ89" s="116"/>
      <c r="CR89" s="116"/>
      <c r="CS89" s="116"/>
      <c r="CT89" s="116"/>
      <c r="CU89" s="116"/>
      <c r="CV89" s="116"/>
      <c r="CW89" s="116"/>
      <c r="CX89" s="116"/>
      <c r="CY89" s="116"/>
      <c r="CZ89" s="116"/>
      <c r="DA89" s="116"/>
      <c r="DB89" s="116"/>
      <c r="DC89" s="116"/>
      <c r="DD89" s="116"/>
      <c r="DE89" s="116"/>
      <c r="DF89" s="116"/>
      <c r="DG89" s="116"/>
      <c r="DH89" s="116"/>
      <c r="DI89" s="116"/>
      <c r="DJ89" s="116"/>
      <c r="DK89" s="116"/>
      <c r="DL89" s="116"/>
      <c r="DM89" s="116"/>
    </row>
    <row r="90" spans="1:117" ht="15" customHeight="1" thickBot="1">
      <c r="A90" s="55">
        <v>8400</v>
      </c>
      <c r="B90" s="194" t="s">
        <v>728</v>
      </c>
      <c r="C90" s="194" t="s">
        <v>829</v>
      </c>
      <c r="D90" s="194" t="s">
        <v>830</v>
      </c>
      <c r="E90" s="194"/>
      <c r="F90" s="194"/>
      <c r="G90" s="291">
        <f t="shared" ref="G90:G95" si="135">IF(I90="",H90,I90)</f>
        <v>0</v>
      </c>
      <c r="H90" s="292"/>
      <c r="I90" s="306"/>
      <c r="J90" s="194" t="s">
        <v>727</v>
      </c>
      <c r="K90" s="378" t="s">
        <v>732</v>
      </c>
      <c r="L90" s="379" t="s">
        <v>361</v>
      </c>
      <c r="M90" s="325">
        <f t="shared" ref="M90:M95" si="136">VLOOKUP(L90,Finanzielle_Parameter,5,0)</f>
        <v>2.67</v>
      </c>
      <c r="N90" s="380">
        <f t="shared" ref="N90:N95" si="137">(1+VLOOKUP(L90,Finanzielle_Parameter,5,0)/100)/(1+VLOOKUP("R",Finanzielle_Parameter,5,0)/100)</f>
        <v>1.0095378564405113</v>
      </c>
      <c r="O90" s="381">
        <f t="shared" ref="O90:Y95" si="138">IF($N90&lt;&gt;1,$G90*($N90^$K90)*(($N90^($K90*INT(O$2/$K90))-1)/($N90^$K90-1)),$G90*INT(O$2/$K90))</f>
        <v>0</v>
      </c>
      <c r="P90" s="169" t="s">
        <v>103</v>
      </c>
      <c r="Q90" s="114">
        <f t="shared" si="138"/>
        <v>0</v>
      </c>
      <c r="R90" s="115">
        <f t="shared" si="138"/>
        <v>0</v>
      </c>
      <c r="S90" s="115">
        <f t="shared" si="138"/>
        <v>0</v>
      </c>
      <c r="T90" s="115">
        <f t="shared" si="138"/>
        <v>0</v>
      </c>
      <c r="U90" s="115">
        <f t="shared" si="138"/>
        <v>0</v>
      </c>
      <c r="V90" s="115">
        <f t="shared" si="138"/>
        <v>0</v>
      </c>
      <c r="W90" s="115">
        <f t="shared" si="138"/>
        <v>0</v>
      </c>
      <c r="X90" s="115">
        <f t="shared" si="138"/>
        <v>0</v>
      </c>
      <c r="Y90" s="115">
        <f t="shared" si="138"/>
        <v>0</v>
      </c>
      <c r="Z90" s="115">
        <f t="shared" ref="Z90:AI95" si="139">IF($N90&lt;&gt;1,$G90*($N90^$K90)*(($N90^($K90*INT(Z$2/$K90))-1)/($N90^$K90-1)),$G90*INT(Z$2/$K90))</f>
        <v>0</v>
      </c>
      <c r="AA90" s="115">
        <f t="shared" si="139"/>
        <v>0</v>
      </c>
      <c r="AB90" s="115">
        <f t="shared" si="139"/>
        <v>0</v>
      </c>
      <c r="AC90" s="115">
        <f t="shared" si="139"/>
        <v>0</v>
      </c>
      <c r="AD90" s="115">
        <f t="shared" si="139"/>
        <v>0</v>
      </c>
      <c r="AE90" s="115">
        <f t="shared" si="139"/>
        <v>0</v>
      </c>
      <c r="AF90" s="115">
        <f t="shared" si="139"/>
        <v>0</v>
      </c>
      <c r="AG90" s="115">
        <f t="shared" si="139"/>
        <v>0</v>
      </c>
      <c r="AH90" s="115">
        <f t="shared" si="139"/>
        <v>0</v>
      </c>
      <c r="AI90" s="115">
        <f t="shared" si="139"/>
        <v>0</v>
      </c>
      <c r="AJ90" s="115">
        <f t="shared" ref="AJ90:AS95" si="140">IF($N90&lt;&gt;1,$G90*($N90^$K90)*(($N90^($K90*INT(AJ$2/$K90))-1)/($N90^$K90-1)),$G90*INT(AJ$2/$K90))</f>
        <v>0</v>
      </c>
      <c r="AK90" s="115">
        <f t="shared" si="140"/>
        <v>0</v>
      </c>
      <c r="AL90" s="115">
        <f t="shared" si="140"/>
        <v>0</v>
      </c>
      <c r="AM90" s="115">
        <f t="shared" si="140"/>
        <v>0</v>
      </c>
      <c r="AN90" s="115">
        <f t="shared" si="140"/>
        <v>0</v>
      </c>
      <c r="AO90" s="115">
        <f t="shared" si="140"/>
        <v>0</v>
      </c>
      <c r="AP90" s="115">
        <f t="shared" si="140"/>
        <v>0</v>
      </c>
      <c r="AQ90" s="115">
        <f t="shared" si="140"/>
        <v>0</v>
      </c>
      <c r="AR90" s="115">
        <f t="shared" si="140"/>
        <v>0</v>
      </c>
      <c r="AS90" s="115">
        <f t="shared" si="140"/>
        <v>0</v>
      </c>
      <c r="AT90" s="115">
        <f t="shared" ref="AT90:BC95" si="141">IF($N90&lt;&gt;1,$G90*($N90^$K90)*(($N90^($K90*INT(AT$2/$K90))-1)/($N90^$K90-1)),$G90*INT(AT$2/$K90))</f>
        <v>0</v>
      </c>
      <c r="AU90" s="115">
        <f t="shared" si="141"/>
        <v>0</v>
      </c>
      <c r="AV90" s="115" t="e">
        <f t="shared" si="141"/>
        <v>#VALUE!</v>
      </c>
      <c r="AW90" s="115" t="e">
        <f t="shared" si="141"/>
        <v>#VALUE!</v>
      </c>
      <c r="AX90" s="115" t="e">
        <f t="shared" si="141"/>
        <v>#VALUE!</v>
      </c>
      <c r="AY90" s="115" t="e">
        <f t="shared" si="141"/>
        <v>#VALUE!</v>
      </c>
      <c r="AZ90" s="115" t="e">
        <f t="shared" si="141"/>
        <v>#VALUE!</v>
      </c>
      <c r="BA90" s="115" t="e">
        <f t="shared" si="141"/>
        <v>#VALUE!</v>
      </c>
      <c r="BB90" s="115" t="e">
        <f t="shared" si="141"/>
        <v>#VALUE!</v>
      </c>
      <c r="BC90" s="115" t="e">
        <f t="shared" si="141"/>
        <v>#VALUE!</v>
      </c>
      <c r="BD90" s="115" t="e">
        <f t="shared" ref="BD90:BM95" si="142">IF($N90&lt;&gt;1,$G90*($N90^$K90)*(($N90^($K90*INT(BD$2/$K90))-1)/($N90^$K90-1)),$G90*INT(BD$2/$K90))</f>
        <v>#VALUE!</v>
      </c>
      <c r="BE90" s="115" t="e">
        <f t="shared" si="142"/>
        <v>#VALUE!</v>
      </c>
      <c r="BF90" s="115" t="e">
        <f t="shared" si="142"/>
        <v>#VALUE!</v>
      </c>
      <c r="BG90" s="115" t="e">
        <f t="shared" si="142"/>
        <v>#VALUE!</v>
      </c>
      <c r="BH90" s="115" t="e">
        <f t="shared" si="142"/>
        <v>#VALUE!</v>
      </c>
      <c r="BI90" s="115" t="e">
        <f t="shared" si="142"/>
        <v>#VALUE!</v>
      </c>
      <c r="BJ90" s="115" t="e">
        <f t="shared" si="142"/>
        <v>#VALUE!</v>
      </c>
      <c r="BK90" s="115" t="e">
        <f t="shared" si="142"/>
        <v>#VALUE!</v>
      </c>
      <c r="BL90" s="115" t="e">
        <f t="shared" si="142"/>
        <v>#VALUE!</v>
      </c>
      <c r="BM90" s="115" t="e">
        <f t="shared" si="142"/>
        <v>#VALUE!</v>
      </c>
      <c r="BN90" s="115" t="e">
        <f t="shared" ref="BN90:BW95" si="143">IF($N90&lt;&gt;1,$G90*($N90^$K90)*(($N90^($K90*INT(BN$2/$K90))-1)/($N90^$K90-1)),$G90*INT(BN$2/$K90))</f>
        <v>#VALUE!</v>
      </c>
      <c r="BO90" s="115" t="e">
        <f t="shared" si="143"/>
        <v>#VALUE!</v>
      </c>
      <c r="BP90" s="115" t="e">
        <f t="shared" si="143"/>
        <v>#VALUE!</v>
      </c>
      <c r="BQ90" s="115" t="e">
        <f t="shared" si="143"/>
        <v>#VALUE!</v>
      </c>
      <c r="BR90" s="115" t="e">
        <f t="shared" si="143"/>
        <v>#VALUE!</v>
      </c>
      <c r="BS90" s="115" t="e">
        <f t="shared" si="143"/>
        <v>#VALUE!</v>
      </c>
      <c r="BT90" s="115" t="e">
        <f t="shared" si="143"/>
        <v>#VALUE!</v>
      </c>
      <c r="BU90" s="115" t="e">
        <f t="shared" si="143"/>
        <v>#VALUE!</v>
      </c>
      <c r="BV90" s="115" t="e">
        <f t="shared" si="143"/>
        <v>#VALUE!</v>
      </c>
      <c r="BW90" s="115" t="e">
        <f t="shared" si="143"/>
        <v>#VALUE!</v>
      </c>
      <c r="BX90" s="115" t="e">
        <f t="shared" ref="BX90:CG95" si="144">IF($N90&lt;&gt;1,$G90*($N90^$K90)*(($N90^($K90*INT(BX$2/$K90))-1)/($N90^$K90-1)),$G90*INT(BX$2/$K90))</f>
        <v>#VALUE!</v>
      </c>
      <c r="BY90" s="115" t="e">
        <f t="shared" si="144"/>
        <v>#VALUE!</v>
      </c>
      <c r="BZ90" s="115" t="e">
        <f t="shared" si="144"/>
        <v>#VALUE!</v>
      </c>
      <c r="CA90" s="115" t="e">
        <f t="shared" si="144"/>
        <v>#VALUE!</v>
      </c>
      <c r="CB90" s="115" t="e">
        <f t="shared" si="144"/>
        <v>#VALUE!</v>
      </c>
      <c r="CC90" s="115" t="e">
        <f t="shared" si="144"/>
        <v>#VALUE!</v>
      </c>
      <c r="CD90" s="115" t="e">
        <f t="shared" si="144"/>
        <v>#VALUE!</v>
      </c>
      <c r="CE90" s="115" t="e">
        <f t="shared" si="144"/>
        <v>#VALUE!</v>
      </c>
      <c r="CF90" s="115" t="e">
        <f t="shared" si="144"/>
        <v>#VALUE!</v>
      </c>
      <c r="CG90" s="115" t="e">
        <f t="shared" si="144"/>
        <v>#VALUE!</v>
      </c>
      <c r="CH90" s="115" t="e">
        <f t="shared" ref="CH90:CQ95" si="145">IF($N90&lt;&gt;1,$G90*($N90^$K90)*(($N90^($K90*INT(CH$2/$K90))-1)/($N90^$K90-1)),$G90*INT(CH$2/$K90))</f>
        <v>#VALUE!</v>
      </c>
      <c r="CI90" s="115" t="e">
        <f t="shared" si="145"/>
        <v>#VALUE!</v>
      </c>
      <c r="CJ90" s="115" t="e">
        <f t="shared" si="145"/>
        <v>#VALUE!</v>
      </c>
      <c r="CK90" s="115" t="e">
        <f t="shared" si="145"/>
        <v>#VALUE!</v>
      </c>
      <c r="CL90" s="115" t="e">
        <f t="shared" si="145"/>
        <v>#VALUE!</v>
      </c>
      <c r="CM90" s="115" t="e">
        <f t="shared" si="145"/>
        <v>#VALUE!</v>
      </c>
      <c r="CN90" s="115" t="e">
        <f t="shared" si="145"/>
        <v>#VALUE!</v>
      </c>
      <c r="CO90" s="115" t="e">
        <f t="shared" si="145"/>
        <v>#VALUE!</v>
      </c>
      <c r="CP90" s="115" t="e">
        <f t="shared" si="145"/>
        <v>#VALUE!</v>
      </c>
      <c r="CQ90" s="115" t="e">
        <f t="shared" si="145"/>
        <v>#VALUE!</v>
      </c>
      <c r="CR90" s="115" t="e">
        <f t="shared" ref="CR90:DA95" si="146">IF($N90&lt;&gt;1,$G90*($N90^$K90)*(($N90^($K90*INT(CR$2/$K90))-1)/($N90^$K90-1)),$G90*INT(CR$2/$K90))</f>
        <v>#VALUE!</v>
      </c>
      <c r="CS90" s="115" t="e">
        <f t="shared" si="146"/>
        <v>#VALUE!</v>
      </c>
      <c r="CT90" s="115" t="e">
        <f t="shared" si="146"/>
        <v>#VALUE!</v>
      </c>
      <c r="CU90" s="115" t="e">
        <f t="shared" si="146"/>
        <v>#VALUE!</v>
      </c>
      <c r="CV90" s="115" t="e">
        <f t="shared" si="146"/>
        <v>#VALUE!</v>
      </c>
      <c r="CW90" s="115" t="e">
        <f t="shared" si="146"/>
        <v>#VALUE!</v>
      </c>
      <c r="CX90" s="115" t="e">
        <f t="shared" si="146"/>
        <v>#VALUE!</v>
      </c>
      <c r="CY90" s="115" t="e">
        <f t="shared" si="146"/>
        <v>#VALUE!</v>
      </c>
      <c r="CZ90" s="115" t="e">
        <f t="shared" si="146"/>
        <v>#VALUE!</v>
      </c>
      <c r="DA90" s="115" t="e">
        <f t="shared" si="146"/>
        <v>#VALUE!</v>
      </c>
      <c r="DB90" s="115" t="e">
        <f t="shared" ref="DB90:DM95" si="147">IF($N90&lt;&gt;1,$G90*($N90^$K90)*(($N90^($K90*INT(DB$2/$K90))-1)/($N90^$K90-1)),$G90*INT(DB$2/$K90))</f>
        <v>#VALUE!</v>
      </c>
      <c r="DC90" s="115" t="e">
        <f t="shared" si="147"/>
        <v>#VALUE!</v>
      </c>
      <c r="DD90" s="115" t="e">
        <f t="shared" si="147"/>
        <v>#VALUE!</v>
      </c>
      <c r="DE90" s="115" t="e">
        <f t="shared" si="147"/>
        <v>#VALUE!</v>
      </c>
      <c r="DF90" s="115" t="e">
        <f t="shared" si="147"/>
        <v>#VALUE!</v>
      </c>
      <c r="DG90" s="115" t="e">
        <f t="shared" si="147"/>
        <v>#VALUE!</v>
      </c>
      <c r="DH90" s="115" t="e">
        <f t="shared" si="147"/>
        <v>#VALUE!</v>
      </c>
      <c r="DI90" s="115" t="e">
        <f t="shared" si="147"/>
        <v>#VALUE!</v>
      </c>
      <c r="DJ90" s="115" t="e">
        <f t="shared" si="147"/>
        <v>#VALUE!</v>
      </c>
      <c r="DK90" s="115" t="e">
        <f t="shared" si="147"/>
        <v>#VALUE!</v>
      </c>
      <c r="DL90" s="115" t="e">
        <f t="shared" si="147"/>
        <v>#VALUE!</v>
      </c>
      <c r="DM90" s="115" t="e">
        <f t="shared" si="147"/>
        <v>#VALUE!</v>
      </c>
    </row>
    <row r="91" spans="1:117" ht="15" customHeight="1" thickBot="1">
      <c r="A91" s="55">
        <v>8500</v>
      </c>
      <c r="B91" s="194" t="s">
        <v>728</v>
      </c>
      <c r="C91" s="194" t="s">
        <v>831</v>
      </c>
      <c r="D91" s="194" t="s">
        <v>832</v>
      </c>
      <c r="E91" s="194"/>
      <c r="F91" s="194"/>
      <c r="G91" s="291">
        <f t="shared" si="135"/>
        <v>0</v>
      </c>
      <c r="H91" s="292"/>
      <c r="I91" s="306"/>
      <c r="J91" s="194" t="s">
        <v>727</v>
      </c>
      <c r="K91" s="378" t="s">
        <v>732</v>
      </c>
      <c r="L91" s="379" t="s">
        <v>358</v>
      </c>
      <c r="M91" s="325">
        <f t="shared" si="136"/>
        <v>1.35</v>
      </c>
      <c r="N91" s="380">
        <f t="shared" si="137"/>
        <v>0.99655850540806312</v>
      </c>
      <c r="O91" s="381">
        <f t="shared" si="138"/>
        <v>0</v>
      </c>
      <c r="P91" s="169" t="s">
        <v>103</v>
      </c>
      <c r="Q91" s="114">
        <f t="shared" si="138"/>
        <v>0</v>
      </c>
      <c r="R91" s="115">
        <f t="shared" si="138"/>
        <v>0</v>
      </c>
      <c r="S91" s="115">
        <f t="shared" si="138"/>
        <v>0</v>
      </c>
      <c r="T91" s="115">
        <f t="shared" si="138"/>
        <v>0</v>
      </c>
      <c r="U91" s="115">
        <f t="shared" si="138"/>
        <v>0</v>
      </c>
      <c r="V91" s="115">
        <f t="shared" si="138"/>
        <v>0</v>
      </c>
      <c r="W91" s="115">
        <f t="shared" si="138"/>
        <v>0</v>
      </c>
      <c r="X91" s="115">
        <f t="shared" si="138"/>
        <v>0</v>
      </c>
      <c r="Y91" s="115">
        <f t="shared" si="138"/>
        <v>0</v>
      </c>
      <c r="Z91" s="115">
        <f t="shared" si="139"/>
        <v>0</v>
      </c>
      <c r="AA91" s="115">
        <f t="shared" si="139"/>
        <v>0</v>
      </c>
      <c r="AB91" s="115">
        <f t="shared" si="139"/>
        <v>0</v>
      </c>
      <c r="AC91" s="115">
        <f t="shared" si="139"/>
        <v>0</v>
      </c>
      <c r="AD91" s="115">
        <f t="shared" si="139"/>
        <v>0</v>
      </c>
      <c r="AE91" s="115">
        <f t="shared" si="139"/>
        <v>0</v>
      </c>
      <c r="AF91" s="115">
        <f t="shared" si="139"/>
        <v>0</v>
      </c>
      <c r="AG91" s="115">
        <f t="shared" si="139"/>
        <v>0</v>
      </c>
      <c r="AH91" s="115">
        <f t="shared" si="139"/>
        <v>0</v>
      </c>
      <c r="AI91" s="115">
        <f t="shared" si="139"/>
        <v>0</v>
      </c>
      <c r="AJ91" s="115">
        <f t="shared" si="140"/>
        <v>0</v>
      </c>
      <c r="AK91" s="115">
        <f t="shared" si="140"/>
        <v>0</v>
      </c>
      <c r="AL91" s="115">
        <f t="shared" si="140"/>
        <v>0</v>
      </c>
      <c r="AM91" s="115">
        <f t="shared" si="140"/>
        <v>0</v>
      </c>
      <c r="AN91" s="115">
        <f t="shared" si="140"/>
        <v>0</v>
      </c>
      <c r="AO91" s="115">
        <f t="shared" si="140"/>
        <v>0</v>
      </c>
      <c r="AP91" s="115">
        <f t="shared" si="140"/>
        <v>0</v>
      </c>
      <c r="AQ91" s="115">
        <f t="shared" si="140"/>
        <v>0</v>
      </c>
      <c r="AR91" s="115">
        <f t="shared" si="140"/>
        <v>0</v>
      </c>
      <c r="AS91" s="115">
        <f t="shared" si="140"/>
        <v>0</v>
      </c>
      <c r="AT91" s="115">
        <f t="shared" si="141"/>
        <v>0</v>
      </c>
      <c r="AU91" s="115">
        <f t="shared" si="141"/>
        <v>0</v>
      </c>
      <c r="AV91" s="115" t="e">
        <f t="shared" si="141"/>
        <v>#VALUE!</v>
      </c>
      <c r="AW91" s="115" t="e">
        <f t="shared" si="141"/>
        <v>#VALUE!</v>
      </c>
      <c r="AX91" s="115" t="e">
        <f t="shared" si="141"/>
        <v>#VALUE!</v>
      </c>
      <c r="AY91" s="115" t="e">
        <f t="shared" si="141"/>
        <v>#VALUE!</v>
      </c>
      <c r="AZ91" s="115" t="e">
        <f t="shared" si="141"/>
        <v>#VALUE!</v>
      </c>
      <c r="BA91" s="115" t="e">
        <f t="shared" si="141"/>
        <v>#VALUE!</v>
      </c>
      <c r="BB91" s="115" t="e">
        <f t="shared" si="141"/>
        <v>#VALUE!</v>
      </c>
      <c r="BC91" s="115" t="e">
        <f t="shared" si="141"/>
        <v>#VALUE!</v>
      </c>
      <c r="BD91" s="115" t="e">
        <f t="shared" si="142"/>
        <v>#VALUE!</v>
      </c>
      <c r="BE91" s="115" t="e">
        <f t="shared" si="142"/>
        <v>#VALUE!</v>
      </c>
      <c r="BF91" s="115" t="e">
        <f t="shared" si="142"/>
        <v>#VALUE!</v>
      </c>
      <c r="BG91" s="115" t="e">
        <f t="shared" si="142"/>
        <v>#VALUE!</v>
      </c>
      <c r="BH91" s="115" t="e">
        <f t="shared" si="142"/>
        <v>#VALUE!</v>
      </c>
      <c r="BI91" s="115" t="e">
        <f t="shared" si="142"/>
        <v>#VALUE!</v>
      </c>
      <c r="BJ91" s="115" t="e">
        <f t="shared" si="142"/>
        <v>#VALUE!</v>
      </c>
      <c r="BK91" s="115" t="e">
        <f t="shared" si="142"/>
        <v>#VALUE!</v>
      </c>
      <c r="BL91" s="115" t="e">
        <f t="shared" si="142"/>
        <v>#VALUE!</v>
      </c>
      <c r="BM91" s="115" t="e">
        <f t="shared" si="142"/>
        <v>#VALUE!</v>
      </c>
      <c r="BN91" s="115" t="e">
        <f t="shared" si="143"/>
        <v>#VALUE!</v>
      </c>
      <c r="BO91" s="115" t="e">
        <f t="shared" si="143"/>
        <v>#VALUE!</v>
      </c>
      <c r="BP91" s="115" t="e">
        <f t="shared" si="143"/>
        <v>#VALUE!</v>
      </c>
      <c r="BQ91" s="115" t="e">
        <f t="shared" si="143"/>
        <v>#VALUE!</v>
      </c>
      <c r="BR91" s="115" t="e">
        <f t="shared" si="143"/>
        <v>#VALUE!</v>
      </c>
      <c r="BS91" s="115" t="e">
        <f t="shared" si="143"/>
        <v>#VALUE!</v>
      </c>
      <c r="BT91" s="115" t="e">
        <f t="shared" si="143"/>
        <v>#VALUE!</v>
      </c>
      <c r="BU91" s="115" t="e">
        <f t="shared" si="143"/>
        <v>#VALUE!</v>
      </c>
      <c r="BV91" s="115" t="e">
        <f t="shared" si="143"/>
        <v>#VALUE!</v>
      </c>
      <c r="BW91" s="115" t="e">
        <f t="shared" si="143"/>
        <v>#VALUE!</v>
      </c>
      <c r="BX91" s="115" t="e">
        <f t="shared" si="144"/>
        <v>#VALUE!</v>
      </c>
      <c r="BY91" s="115" t="e">
        <f t="shared" si="144"/>
        <v>#VALUE!</v>
      </c>
      <c r="BZ91" s="115" t="e">
        <f t="shared" si="144"/>
        <v>#VALUE!</v>
      </c>
      <c r="CA91" s="115" t="e">
        <f t="shared" si="144"/>
        <v>#VALUE!</v>
      </c>
      <c r="CB91" s="115" t="e">
        <f t="shared" si="144"/>
        <v>#VALUE!</v>
      </c>
      <c r="CC91" s="115" t="e">
        <f t="shared" si="144"/>
        <v>#VALUE!</v>
      </c>
      <c r="CD91" s="115" t="e">
        <f t="shared" si="144"/>
        <v>#VALUE!</v>
      </c>
      <c r="CE91" s="115" t="e">
        <f t="shared" si="144"/>
        <v>#VALUE!</v>
      </c>
      <c r="CF91" s="115" t="e">
        <f t="shared" si="144"/>
        <v>#VALUE!</v>
      </c>
      <c r="CG91" s="115" t="e">
        <f t="shared" si="144"/>
        <v>#VALUE!</v>
      </c>
      <c r="CH91" s="115" t="e">
        <f t="shared" si="145"/>
        <v>#VALUE!</v>
      </c>
      <c r="CI91" s="115" t="e">
        <f t="shared" si="145"/>
        <v>#VALUE!</v>
      </c>
      <c r="CJ91" s="115" t="e">
        <f t="shared" si="145"/>
        <v>#VALUE!</v>
      </c>
      <c r="CK91" s="115" t="e">
        <f t="shared" si="145"/>
        <v>#VALUE!</v>
      </c>
      <c r="CL91" s="115" t="e">
        <f t="shared" si="145"/>
        <v>#VALUE!</v>
      </c>
      <c r="CM91" s="115" t="e">
        <f t="shared" si="145"/>
        <v>#VALUE!</v>
      </c>
      <c r="CN91" s="115" t="e">
        <f t="shared" si="145"/>
        <v>#VALUE!</v>
      </c>
      <c r="CO91" s="115" t="e">
        <f t="shared" si="145"/>
        <v>#VALUE!</v>
      </c>
      <c r="CP91" s="115" t="e">
        <f t="shared" si="145"/>
        <v>#VALUE!</v>
      </c>
      <c r="CQ91" s="115" t="e">
        <f t="shared" si="145"/>
        <v>#VALUE!</v>
      </c>
      <c r="CR91" s="115" t="e">
        <f t="shared" si="146"/>
        <v>#VALUE!</v>
      </c>
      <c r="CS91" s="115" t="e">
        <f t="shared" si="146"/>
        <v>#VALUE!</v>
      </c>
      <c r="CT91" s="115" t="e">
        <f t="shared" si="146"/>
        <v>#VALUE!</v>
      </c>
      <c r="CU91" s="115" t="e">
        <f t="shared" si="146"/>
        <v>#VALUE!</v>
      </c>
      <c r="CV91" s="115" t="e">
        <f t="shared" si="146"/>
        <v>#VALUE!</v>
      </c>
      <c r="CW91" s="115" t="e">
        <f t="shared" si="146"/>
        <v>#VALUE!</v>
      </c>
      <c r="CX91" s="115" t="e">
        <f t="shared" si="146"/>
        <v>#VALUE!</v>
      </c>
      <c r="CY91" s="115" t="e">
        <f t="shared" si="146"/>
        <v>#VALUE!</v>
      </c>
      <c r="CZ91" s="115" t="e">
        <f t="shared" si="146"/>
        <v>#VALUE!</v>
      </c>
      <c r="DA91" s="115" t="e">
        <f t="shared" si="146"/>
        <v>#VALUE!</v>
      </c>
      <c r="DB91" s="115" t="e">
        <f t="shared" si="147"/>
        <v>#VALUE!</v>
      </c>
      <c r="DC91" s="115" t="e">
        <f t="shared" si="147"/>
        <v>#VALUE!</v>
      </c>
      <c r="DD91" s="115" t="e">
        <f t="shared" si="147"/>
        <v>#VALUE!</v>
      </c>
      <c r="DE91" s="115" t="e">
        <f t="shared" si="147"/>
        <v>#VALUE!</v>
      </c>
      <c r="DF91" s="115" t="e">
        <f t="shared" si="147"/>
        <v>#VALUE!</v>
      </c>
      <c r="DG91" s="115" t="e">
        <f t="shared" si="147"/>
        <v>#VALUE!</v>
      </c>
      <c r="DH91" s="115" t="e">
        <f t="shared" si="147"/>
        <v>#VALUE!</v>
      </c>
      <c r="DI91" s="115" t="e">
        <f t="shared" si="147"/>
        <v>#VALUE!</v>
      </c>
      <c r="DJ91" s="115" t="e">
        <f t="shared" si="147"/>
        <v>#VALUE!</v>
      </c>
      <c r="DK91" s="115" t="e">
        <f t="shared" si="147"/>
        <v>#VALUE!</v>
      </c>
      <c r="DL91" s="115" t="e">
        <f t="shared" si="147"/>
        <v>#VALUE!</v>
      </c>
      <c r="DM91" s="115" t="e">
        <f t="shared" si="147"/>
        <v>#VALUE!</v>
      </c>
    </row>
    <row r="92" spans="1:117" ht="15" customHeight="1" thickBot="1">
      <c r="A92" s="55">
        <v>8600</v>
      </c>
      <c r="B92" s="194" t="s">
        <v>728</v>
      </c>
      <c r="C92" s="194" t="s">
        <v>833</v>
      </c>
      <c r="D92" s="194" t="s">
        <v>834</v>
      </c>
      <c r="E92" s="194"/>
      <c r="F92" s="194" t="s">
        <v>835</v>
      </c>
      <c r="G92" s="291">
        <f t="shared" si="135"/>
        <v>0</v>
      </c>
      <c r="H92" s="292">
        <f>VLOOKUP("NUE",Objektkenndaten,5,0)*VLOOKUP("UMZUGSrate",Dienstleistungen,5,0)*VLOOKUP("Umzugskosten",Dienstleistungen,5,0)</f>
        <v>0</v>
      </c>
      <c r="I92" s="168"/>
      <c r="J92" s="194" t="s">
        <v>727</v>
      </c>
      <c r="K92" s="378" t="s">
        <v>732</v>
      </c>
      <c r="L92" s="379" t="s">
        <v>359</v>
      </c>
      <c r="M92" s="325">
        <f t="shared" si="136"/>
        <v>2.25</v>
      </c>
      <c r="N92" s="380">
        <f t="shared" si="137"/>
        <v>1.0054080629301869</v>
      </c>
      <c r="O92" s="381">
        <f t="shared" si="138"/>
        <v>0</v>
      </c>
      <c r="P92" s="169" t="s">
        <v>103</v>
      </c>
      <c r="Q92" s="114">
        <f t="shared" si="138"/>
        <v>0</v>
      </c>
      <c r="R92" s="115">
        <f t="shared" si="138"/>
        <v>0</v>
      </c>
      <c r="S92" s="115">
        <f t="shared" si="138"/>
        <v>0</v>
      </c>
      <c r="T92" s="115">
        <f t="shared" si="138"/>
        <v>0</v>
      </c>
      <c r="U92" s="115">
        <f t="shared" si="138"/>
        <v>0</v>
      </c>
      <c r="V92" s="115">
        <f t="shared" si="138"/>
        <v>0</v>
      </c>
      <c r="W92" s="115">
        <f t="shared" si="138"/>
        <v>0</v>
      </c>
      <c r="X92" s="115">
        <f t="shared" si="138"/>
        <v>0</v>
      </c>
      <c r="Y92" s="115">
        <f t="shared" si="138"/>
        <v>0</v>
      </c>
      <c r="Z92" s="115">
        <f t="shared" si="139"/>
        <v>0</v>
      </c>
      <c r="AA92" s="115">
        <f t="shared" si="139"/>
        <v>0</v>
      </c>
      <c r="AB92" s="115">
        <f t="shared" si="139"/>
        <v>0</v>
      </c>
      <c r="AC92" s="115">
        <f t="shared" si="139"/>
        <v>0</v>
      </c>
      <c r="AD92" s="115">
        <f t="shared" si="139"/>
        <v>0</v>
      </c>
      <c r="AE92" s="115">
        <f t="shared" si="139"/>
        <v>0</v>
      </c>
      <c r="AF92" s="115">
        <f t="shared" si="139"/>
        <v>0</v>
      </c>
      <c r="AG92" s="115">
        <f t="shared" si="139"/>
        <v>0</v>
      </c>
      <c r="AH92" s="115">
        <f t="shared" si="139"/>
        <v>0</v>
      </c>
      <c r="AI92" s="115">
        <f t="shared" si="139"/>
        <v>0</v>
      </c>
      <c r="AJ92" s="115">
        <f t="shared" si="140"/>
        <v>0</v>
      </c>
      <c r="AK92" s="115">
        <f t="shared" si="140"/>
        <v>0</v>
      </c>
      <c r="AL92" s="115">
        <f t="shared" si="140"/>
        <v>0</v>
      </c>
      <c r="AM92" s="115">
        <f t="shared" si="140"/>
        <v>0</v>
      </c>
      <c r="AN92" s="115">
        <f t="shared" si="140"/>
        <v>0</v>
      </c>
      <c r="AO92" s="115">
        <f t="shared" si="140"/>
        <v>0</v>
      </c>
      <c r="AP92" s="115">
        <f t="shared" si="140"/>
        <v>0</v>
      </c>
      <c r="AQ92" s="115">
        <f t="shared" si="140"/>
        <v>0</v>
      </c>
      <c r="AR92" s="115">
        <f t="shared" si="140"/>
        <v>0</v>
      </c>
      <c r="AS92" s="115">
        <f t="shared" si="140"/>
        <v>0</v>
      </c>
      <c r="AT92" s="115">
        <f t="shared" si="141"/>
        <v>0</v>
      </c>
      <c r="AU92" s="115">
        <f t="shared" si="141"/>
        <v>0</v>
      </c>
      <c r="AV92" s="115" t="e">
        <f t="shared" si="141"/>
        <v>#VALUE!</v>
      </c>
      <c r="AW92" s="115" t="e">
        <f t="shared" si="141"/>
        <v>#VALUE!</v>
      </c>
      <c r="AX92" s="115" t="e">
        <f t="shared" si="141"/>
        <v>#VALUE!</v>
      </c>
      <c r="AY92" s="115" t="e">
        <f t="shared" si="141"/>
        <v>#VALUE!</v>
      </c>
      <c r="AZ92" s="115" t="e">
        <f t="shared" si="141"/>
        <v>#VALUE!</v>
      </c>
      <c r="BA92" s="115" t="e">
        <f t="shared" si="141"/>
        <v>#VALUE!</v>
      </c>
      <c r="BB92" s="115" t="e">
        <f t="shared" si="141"/>
        <v>#VALUE!</v>
      </c>
      <c r="BC92" s="115" t="e">
        <f t="shared" si="141"/>
        <v>#VALUE!</v>
      </c>
      <c r="BD92" s="115" t="e">
        <f t="shared" si="142"/>
        <v>#VALUE!</v>
      </c>
      <c r="BE92" s="115" t="e">
        <f t="shared" si="142"/>
        <v>#VALUE!</v>
      </c>
      <c r="BF92" s="115" t="e">
        <f t="shared" si="142"/>
        <v>#VALUE!</v>
      </c>
      <c r="BG92" s="115" t="e">
        <f t="shared" si="142"/>
        <v>#VALUE!</v>
      </c>
      <c r="BH92" s="115" t="e">
        <f t="shared" si="142"/>
        <v>#VALUE!</v>
      </c>
      <c r="BI92" s="115" t="e">
        <f t="shared" si="142"/>
        <v>#VALUE!</v>
      </c>
      <c r="BJ92" s="115" t="e">
        <f t="shared" si="142"/>
        <v>#VALUE!</v>
      </c>
      <c r="BK92" s="115" t="e">
        <f t="shared" si="142"/>
        <v>#VALUE!</v>
      </c>
      <c r="BL92" s="115" t="e">
        <f t="shared" si="142"/>
        <v>#VALUE!</v>
      </c>
      <c r="BM92" s="115" t="e">
        <f t="shared" si="142"/>
        <v>#VALUE!</v>
      </c>
      <c r="BN92" s="115" t="e">
        <f t="shared" si="143"/>
        <v>#VALUE!</v>
      </c>
      <c r="BO92" s="115" t="e">
        <f t="shared" si="143"/>
        <v>#VALUE!</v>
      </c>
      <c r="BP92" s="115" t="e">
        <f t="shared" si="143"/>
        <v>#VALUE!</v>
      </c>
      <c r="BQ92" s="115" t="e">
        <f t="shared" si="143"/>
        <v>#VALUE!</v>
      </c>
      <c r="BR92" s="115" t="e">
        <f t="shared" si="143"/>
        <v>#VALUE!</v>
      </c>
      <c r="BS92" s="115" t="e">
        <f t="shared" si="143"/>
        <v>#VALUE!</v>
      </c>
      <c r="BT92" s="115" t="e">
        <f t="shared" si="143"/>
        <v>#VALUE!</v>
      </c>
      <c r="BU92" s="115" t="e">
        <f t="shared" si="143"/>
        <v>#VALUE!</v>
      </c>
      <c r="BV92" s="115" t="e">
        <f t="shared" si="143"/>
        <v>#VALUE!</v>
      </c>
      <c r="BW92" s="115" t="e">
        <f t="shared" si="143"/>
        <v>#VALUE!</v>
      </c>
      <c r="BX92" s="115" t="e">
        <f t="shared" si="144"/>
        <v>#VALUE!</v>
      </c>
      <c r="BY92" s="115" t="e">
        <f t="shared" si="144"/>
        <v>#VALUE!</v>
      </c>
      <c r="BZ92" s="115" t="e">
        <f t="shared" si="144"/>
        <v>#VALUE!</v>
      </c>
      <c r="CA92" s="115" t="e">
        <f t="shared" si="144"/>
        <v>#VALUE!</v>
      </c>
      <c r="CB92" s="115" t="e">
        <f t="shared" si="144"/>
        <v>#VALUE!</v>
      </c>
      <c r="CC92" s="115" t="e">
        <f t="shared" si="144"/>
        <v>#VALUE!</v>
      </c>
      <c r="CD92" s="115" t="e">
        <f t="shared" si="144"/>
        <v>#VALUE!</v>
      </c>
      <c r="CE92" s="115" t="e">
        <f t="shared" si="144"/>
        <v>#VALUE!</v>
      </c>
      <c r="CF92" s="115" t="e">
        <f t="shared" si="144"/>
        <v>#VALUE!</v>
      </c>
      <c r="CG92" s="115" t="e">
        <f t="shared" si="144"/>
        <v>#VALUE!</v>
      </c>
      <c r="CH92" s="115" t="e">
        <f t="shared" si="145"/>
        <v>#VALUE!</v>
      </c>
      <c r="CI92" s="115" t="e">
        <f t="shared" si="145"/>
        <v>#VALUE!</v>
      </c>
      <c r="CJ92" s="115" t="e">
        <f t="shared" si="145"/>
        <v>#VALUE!</v>
      </c>
      <c r="CK92" s="115" t="e">
        <f t="shared" si="145"/>
        <v>#VALUE!</v>
      </c>
      <c r="CL92" s="115" t="e">
        <f t="shared" si="145"/>
        <v>#VALUE!</v>
      </c>
      <c r="CM92" s="115" t="e">
        <f t="shared" si="145"/>
        <v>#VALUE!</v>
      </c>
      <c r="CN92" s="115" t="e">
        <f t="shared" si="145"/>
        <v>#VALUE!</v>
      </c>
      <c r="CO92" s="115" t="e">
        <f t="shared" si="145"/>
        <v>#VALUE!</v>
      </c>
      <c r="CP92" s="115" t="e">
        <f t="shared" si="145"/>
        <v>#VALUE!</v>
      </c>
      <c r="CQ92" s="115" t="e">
        <f t="shared" si="145"/>
        <v>#VALUE!</v>
      </c>
      <c r="CR92" s="115" t="e">
        <f t="shared" si="146"/>
        <v>#VALUE!</v>
      </c>
      <c r="CS92" s="115" t="e">
        <f t="shared" si="146"/>
        <v>#VALUE!</v>
      </c>
      <c r="CT92" s="115" t="e">
        <f t="shared" si="146"/>
        <v>#VALUE!</v>
      </c>
      <c r="CU92" s="115" t="e">
        <f t="shared" si="146"/>
        <v>#VALUE!</v>
      </c>
      <c r="CV92" s="115" t="e">
        <f t="shared" si="146"/>
        <v>#VALUE!</v>
      </c>
      <c r="CW92" s="115" t="e">
        <f t="shared" si="146"/>
        <v>#VALUE!</v>
      </c>
      <c r="CX92" s="115" t="e">
        <f t="shared" si="146"/>
        <v>#VALUE!</v>
      </c>
      <c r="CY92" s="115" t="e">
        <f t="shared" si="146"/>
        <v>#VALUE!</v>
      </c>
      <c r="CZ92" s="115" t="e">
        <f t="shared" si="146"/>
        <v>#VALUE!</v>
      </c>
      <c r="DA92" s="115" t="e">
        <f t="shared" si="146"/>
        <v>#VALUE!</v>
      </c>
      <c r="DB92" s="115" t="e">
        <f t="shared" si="147"/>
        <v>#VALUE!</v>
      </c>
      <c r="DC92" s="115" t="e">
        <f t="shared" si="147"/>
        <v>#VALUE!</v>
      </c>
      <c r="DD92" s="115" t="e">
        <f t="shared" si="147"/>
        <v>#VALUE!</v>
      </c>
      <c r="DE92" s="115" t="e">
        <f t="shared" si="147"/>
        <v>#VALUE!</v>
      </c>
      <c r="DF92" s="115" t="e">
        <f t="shared" si="147"/>
        <v>#VALUE!</v>
      </c>
      <c r="DG92" s="115" t="e">
        <f t="shared" si="147"/>
        <v>#VALUE!</v>
      </c>
      <c r="DH92" s="115" t="e">
        <f t="shared" si="147"/>
        <v>#VALUE!</v>
      </c>
      <c r="DI92" s="115" t="e">
        <f t="shared" si="147"/>
        <v>#VALUE!</v>
      </c>
      <c r="DJ92" s="115" t="e">
        <f t="shared" si="147"/>
        <v>#VALUE!</v>
      </c>
      <c r="DK92" s="115" t="e">
        <f t="shared" si="147"/>
        <v>#VALUE!</v>
      </c>
      <c r="DL92" s="115" t="e">
        <f t="shared" si="147"/>
        <v>#VALUE!</v>
      </c>
      <c r="DM92" s="115" t="e">
        <f t="shared" si="147"/>
        <v>#VALUE!</v>
      </c>
    </row>
    <row r="93" spans="1:117" ht="15" customHeight="1" thickBot="1">
      <c r="A93" s="55">
        <v>8700</v>
      </c>
      <c r="B93" s="194" t="s">
        <v>728</v>
      </c>
      <c r="C93" s="194" t="s">
        <v>836</v>
      </c>
      <c r="D93" s="194" t="s">
        <v>837</v>
      </c>
      <c r="E93" s="194"/>
      <c r="F93" s="194"/>
      <c r="G93" s="291">
        <f t="shared" si="135"/>
        <v>0</v>
      </c>
      <c r="H93" s="292"/>
      <c r="I93" s="306"/>
      <c r="J93" s="194" t="s">
        <v>727</v>
      </c>
      <c r="K93" s="378" t="s">
        <v>732</v>
      </c>
      <c r="L93" s="379" t="s">
        <v>361</v>
      </c>
      <c r="M93" s="325">
        <f t="shared" si="136"/>
        <v>2.67</v>
      </c>
      <c r="N93" s="380">
        <f t="shared" si="137"/>
        <v>1.0095378564405113</v>
      </c>
      <c r="O93" s="381">
        <f t="shared" si="138"/>
        <v>0</v>
      </c>
      <c r="P93" s="169" t="s">
        <v>103</v>
      </c>
      <c r="Q93" s="114">
        <f t="shared" si="138"/>
        <v>0</v>
      </c>
      <c r="R93" s="115">
        <f t="shared" si="138"/>
        <v>0</v>
      </c>
      <c r="S93" s="115">
        <f t="shared" si="138"/>
        <v>0</v>
      </c>
      <c r="T93" s="115">
        <f t="shared" si="138"/>
        <v>0</v>
      </c>
      <c r="U93" s="115">
        <f t="shared" si="138"/>
        <v>0</v>
      </c>
      <c r="V93" s="115">
        <f t="shared" si="138"/>
        <v>0</v>
      </c>
      <c r="W93" s="115">
        <f t="shared" si="138"/>
        <v>0</v>
      </c>
      <c r="X93" s="115">
        <f t="shared" si="138"/>
        <v>0</v>
      </c>
      <c r="Y93" s="115">
        <f t="shared" si="138"/>
        <v>0</v>
      </c>
      <c r="Z93" s="115">
        <f t="shared" si="139"/>
        <v>0</v>
      </c>
      <c r="AA93" s="115">
        <f t="shared" si="139"/>
        <v>0</v>
      </c>
      <c r="AB93" s="115">
        <f t="shared" si="139"/>
        <v>0</v>
      </c>
      <c r="AC93" s="115">
        <f t="shared" si="139"/>
        <v>0</v>
      </c>
      <c r="AD93" s="115">
        <f t="shared" si="139"/>
        <v>0</v>
      </c>
      <c r="AE93" s="115">
        <f t="shared" si="139"/>
        <v>0</v>
      </c>
      <c r="AF93" s="115">
        <f t="shared" si="139"/>
        <v>0</v>
      </c>
      <c r="AG93" s="115">
        <f t="shared" si="139"/>
        <v>0</v>
      </c>
      <c r="AH93" s="115">
        <f t="shared" si="139"/>
        <v>0</v>
      </c>
      <c r="AI93" s="115">
        <f t="shared" si="139"/>
        <v>0</v>
      </c>
      <c r="AJ93" s="115">
        <f t="shared" si="140"/>
        <v>0</v>
      </c>
      <c r="AK93" s="115">
        <f t="shared" si="140"/>
        <v>0</v>
      </c>
      <c r="AL93" s="115">
        <f t="shared" si="140"/>
        <v>0</v>
      </c>
      <c r="AM93" s="115">
        <f t="shared" si="140"/>
        <v>0</v>
      </c>
      <c r="AN93" s="115">
        <f t="shared" si="140"/>
        <v>0</v>
      </c>
      <c r="AO93" s="115">
        <f t="shared" si="140"/>
        <v>0</v>
      </c>
      <c r="AP93" s="115">
        <f t="shared" si="140"/>
        <v>0</v>
      </c>
      <c r="AQ93" s="115">
        <f t="shared" si="140"/>
        <v>0</v>
      </c>
      <c r="AR93" s="115">
        <f t="shared" si="140"/>
        <v>0</v>
      </c>
      <c r="AS93" s="115">
        <f t="shared" si="140"/>
        <v>0</v>
      </c>
      <c r="AT93" s="115">
        <f t="shared" si="141"/>
        <v>0</v>
      </c>
      <c r="AU93" s="115">
        <f t="shared" si="141"/>
        <v>0</v>
      </c>
      <c r="AV93" s="115" t="e">
        <f t="shared" si="141"/>
        <v>#VALUE!</v>
      </c>
      <c r="AW93" s="115" t="e">
        <f t="shared" si="141"/>
        <v>#VALUE!</v>
      </c>
      <c r="AX93" s="115" t="e">
        <f t="shared" si="141"/>
        <v>#VALUE!</v>
      </c>
      <c r="AY93" s="115" t="e">
        <f t="shared" si="141"/>
        <v>#VALUE!</v>
      </c>
      <c r="AZ93" s="115" t="e">
        <f t="shared" si="141"/>
        <v>#VALUE!</v>
      </c>
      <c r="BA93" s="115" t="e">
        <f t="shared" si="141"/>
        <v>#VALUE!</v>
      </c>
      <c r="BB93" s="115" t="e">
        <f t="shared" si="141"/>
        <v>#VALUE!</v>
      </c>
      <c r="BC93" s="115" t="e">
        <f t="shared" si="141"/>
        <v>#VALUE!</v>
      </c>
      <c r="BD93" s="115" t="e">
        <f t="shared" si="142"/>
        <v>#VALUE!</v>
      </c>
      <c r="BE93" s="115" t="e">
        <f t="shared" si="142"/>
        <v>#VALUE!</v>
      </c>
      <c r="BF93" s="115" t="e">
        <f t="shared" si="142"/>
        <v>#VALUE!</v>
      </c>
      <c r="BG93" s="115" t="e">
        <f t="shared" si="142"/>
        <v>#VALUE!</v>
      </c>
      <c r="BH93" s="115" t="e">
        <f t="shared" si="142"/>
        <v>#VALUE!</v>
      </c>
      <c r="BI93" s="115" t="e">
        <f t="shared" si="142"/>
        <v>#VALUE!</v>
      </c>
      <c r="BJ93" s="115" t="e">
        <f t="shared" si="142"/>
        <v>#VALUE!</v>
      </c>
      <c r="BK93" s="115" t="e">
        <f t="shared" si="142"/>
        <v>#VALUE!</v>
      </c>
      <c r="BL93" s="115" t="e">
        <f t="shared" si="142"/>
        <v>#VALUE!</v>
      </c>
      <c r="BM93" s="115" t="e">
        <f t="shared" si="142"/>
        <v>#VALUE!</v>
      </c>
      <c r="BN93" s="115" t="e">
        <f t="shared" si="143"/>
        <v>#VALUE!</v>
      </c>
      <c r="BO93" s="115" t="e">
        <f t="shared" si="143"/>
        <v>#VALUE!</v>
      </c>
      <c r="BP93" s="115" t="e">
        <f t="shared" si="143"/>
        <v>#VALUE!</v>
      </c>
      <c r="BQ93" s="115" t="e">
        <f t="shared" si="143"/>
        <v>#VALUE!</v>
      </c>
      <c r="BR93" s="115" t="e">
        <f t="shared" si="143"/>
        <v>#VALUE!</v>
      </c>
      <c r="BS93" s="115" t="e">
        <f t="shared" si="143"/>
        <v>#VALUE!</v>
      </c>
      <c r="BT93" s="115" t="e">
        <f t="shared" si="143"/>
        <v>#VALUE!</v>
      </c>
      <c r="BU93" s="115" t="e">
        <f t="shared" si="143"/>
        <v>#VALUE!</v>
      </c>
      <c r="BV93" s="115" t="e">
        <f t="shared" si="143"/>
        <v>#VALUE!</v>
      </c>
      <c r="BW93" s="115" t="e">
        <f t="shared" si="143"/>
        <v>#VALUE!</v>
      </c>
      <c r="BX93" s="115" t="e">
        <f t="shared" si="144"/>
        <v>#VALUE!</v>
      </c>
      <c r="BY93" s="115" t="e">
        <f t="shared" si="144"/>
        <v>#VALUE!</v>
      </c>
      <c r="BZ93" s="115" t="e">
        <f t="shared" si="144"/>
        <v>#VALUE!</v>
      </c>
      <c r="CA93" s="115" t="e">
        <f t="shared" si="144"/>
        <v>#VALUE!</v>
      </c>
      <c r="CB93" s="115" t="e">
        <f t="shared" si="144"/>
        <v>#VALUE!</v>
      </c>
      <c r="CC93" s="115" t="e">
        <f t="shared" si="144"/>
        <v>#VALUE!</v>
      </c>
      <c r="CD93" s="115" t="e">
        <f t="shared" si="144"/>
        <v>#VALUE!</v>
      </c>
      <c r="CE93" s="115" t="e">
        <f t="shared" si="144"/>
        <v>#VALUE!</v>
      </c>
      <c r="CF93" s="115" t="e">
        <f t="shared" si="144"/>
        <v>#VALUE!</v>
      </c>
      <c r="CG93" s="115" t="e">
        <f t="shared" si="144"/>
        <v>#VALUE!</v>
      </c>
      <c r="CH93" s="115" t="e">
        <f t="shared" si="145"/>
        <v>#VALUE!</v>
      </c>
      <c r="CI93" s="115" t="e">
        <f t="shared" si="145"/>
        <v>#VALUE!</v>
      </c>
      <c r="CJ93" s="115" t="e">
        <f t="shared" si="145"/>
        <v>#VALUE!</v>
      </c>
      <c r="CK93" s="115" t="e">
        <f t="shared" si="145"/>
        <v>#VALUE!</v>
      </c>
      <c r="CL93" s="115" t="e">
        <f t="shared" si="145"/>
        <v>#VALUE!</v>
      </c>
      <c r="CM93" s="115" t="e">
        <f t="shared" si="145"/>
        <v>#VALUE!</v>
      </c>
      <c r="CN93" s="115" t="e">
        <f t="shared" si="145"/>
        <v>#VALUE!</v>
      </c>
      <c r="CO93" s="115" t="e">
        <f t="shared" si="145"/>
        <v>#VALUE!</v>
      </c>
      <c r="CP93" s="115" t="e">
        <f t="shared" si="145"/>
        <v>#VALUE!</v>
      </c>
      <c r="CQ93" s="115" t="e">
        <f t="shared" si="145"/>
        <v>#VALUE!</v>
      </c>
      <c r="CR93" s="115" t="e">
        <f t="shared" si="146"/>
        <v>#VALUE!</v>
      </c>
      <c r="CS93" s="115" t="e">
        <f t="shared" si="146"/>
        <v>#VALUE!</v>
      </c>
      <c r="CT93" s="115" t="e">
        <f t="shared" si="146"/>
        <v>#VALUE!</v>
      </c>
      <c r="CU93" s="115" t="e">
        <f t="shared" si="146"/>
        <v>#VALUE!</v>
      </c>
      <c r="CV93" s="115" t="e">
        <f t="shared" si="146"/>
        <v>#VALUE!</v>
      </c>
      <c r="CW93" s="115" t="e">
        <f t="shared" si="146"/>
        <v>#VALUE!</v>
      </c>
      <c r="CX93" s="115" t="e">
        <f t="shared" si="146"/>
        <v>#VALUE!</v>
      </c>
      <c r="CY93" s="115" t="e">
        <f t="shared" si="146"/>
        <v>#VALUE!</v>
      </c>
      <c r="CZ93" s="115" t="e">
        <f t="shared" si="146"/>
        <v>#VALUE!</v>
      </c>
      <c r="DA93" s="115" t="e">
        <f t="shared" si="146"/>
        <v>#VALUE!</v>
      </c>
      <c r="DB93" s="115" t="e">
        <f t="shared" si="147"/>
        <v>#VALUE!</v>
      </c>
      <c r="DC93" s="115" t="e">
        <f t="shared" si="147"/>
        <v>#VALUE!</v>
      </c>
      <c r="DD93" s="115" t="e">
        <f t="shared" si="147"/>
        <v>#VALUE!</v>
      </c>
      <c r="DE93" s="115" t="e">
        <f t="shared" si="147"/>
        <v>#VALUE!</v>
      </c>
      <c r="DF93" s="115" t="e">
        <f t="shared" si="147"/>
        <v>#VALUE!</v>
      </c>
      <c r="DG93" s="115" t="e">
        <f t="shared" si="147"/>
        <v>#VALUE!</v>
      </c>
      <c r="DH93" s="115" t="e">
        <f t="shared" si="147"/>
        <v>#VALUE!</v>
      </c>
      <c r="DI93" s="115" t="e">
        <f t="shared" si="147"/>
        <v>#VALUE!</v>
      </c>
      <c r="DJ93" s="115" t="e">
        <f t="shared" si="147"/>
        <v>#VALUE!</v>
      </c>
      <c r="DK93" s="115" t="e">
        <f t="shared" si="147"/>
        <v>#VALUE!</v>
      </c>
      <c r="DL93" s="115" t="e">
        <f t="shared" si="147"/>
        <v>#VALUE!</v>
      </c>
      <c r="DM93" s="115" t="e">
        <f t="shared" si="147"/>
        <v>#VALUE!</v>
      </c>
    </row>
    <row r="94" spans="1:117" ht="15" customHeight="1" thickBot="1">
      <c r="A94" s="55">
        <v>8800</v>
      </c>
      <c r="B94" s="194" t="s">
        <v>728</v>
      </c>
      <c r="C94" s="194" t="s">
        <v>838</v>
      </c>
      <c r="D94" s="194" t="s">
        <v>839</v>
      </c>
      <c r="E94" s="194"/>
      <c r="F94" s="194"/>
      <c r="G94" s="291">
        <f t="shared" si="135"/>
        <v>0</v>
      </c>
      <c r="H94" s="292"/>
      <c r="I94" s="306"/>
      <c r="J94" s="194" t="s">
        <v>727</v>
      </c>
      <c r="K94" s="378" t="s">
        <v>732</v>
      </c>
      <c r="L94" s="379" t="s">
        <v>359</v>
      </c>
      <c r="M94" s="325">
        <f t="shared" si="136"/>
        <v>2.25</v>
      </c>
      <c r="N94" s="380">
        <f t="shared" si="137"/>
        <v>1.0054080629301869</v>
      </c>
      <c r="O94" s="381">
        <f t="shared" si="138"/>
        <v>0</v>
      </c>
      <c r="P94" s="169" t="s">
        <v>103</v>
      </c>
      <c r="Q94" s="114">
        <f t="shared" si="138"/>
        <v>0</v>
      </c>
      <c r="R94" s="115">
        <f t="shared" si="138"/>
        <v>0</v>
      </c>
      <c r="S94" s="115">
        <f t="shared" si="138"/>
        <v>0</v>
      </c>
      <c r="T94" s="115">
        <f t="shared" si="138"/>
        <v>0</v>
      </c>
      <c r="U94" s="115">
        <f t="shared" si="138"/>
        <v>0</v>
      </c>
      <c r="V94" s="115">
        <f t="shared" si="138"/>
        <v>0</v>
      </c>
      <c r="W94" s="115">
        <f t="shared" si="138"/>
        <v>0</v>
      </c>
      <c r="X94" s="115">
        <f t="shared" si="138"/>
        <v>0</v>
      </c>
      <c r="Y94" s="115">
        <f t="shared" si="138"/>
        <v>0</v>
      </c>
      <c r="Z94" s="115">
        <f t="shared" si="139"/>
        <v>0</v>
      </c>
      <c r="AA94" s="115">
        <f t="shared" si="139"/>
        <v>0</v>
      </c>
      <c r="AB94" s="115">
        <f t="shared" si="139"/>
        <v>0</v>
      </c>
      <c r="AC94" s="115">
        <f t="shared" si="139"/>
        <v>0</v>
      </c>
      <c r="AD94" s="115">
        <f t="shared" si="139"/>
        <v>0</v>
      </c>
      <c r="AE94" s="115">
        <f t="shared" si="139"/>
        <v>0</v>
      </c>
      <c r="AF94" s="115">
        <f t="shared" si="139"/>
        <v>0</v>
      </c>
      <c r="AG94" s="115">
        <f t="shared" si="139"/>
        <v>0</v>
      </c>
      <c r="AH94" s="115">
        <f t="shared" si="139"/>
        <v>0</v>
      </c>
      <c r="AI94" s="115">
        <f t="shared" si="139"/>
        <v>0</v>
      </c>
      <c r="AJ94" s="115">
        <f t="shared" si="140"/>
        <v>0</v>
      </c>
      <c r="AK94" s="115">
        <f t="shared" si="140"/>
        <v>0</v>
      </c>
      <c r="AL94" s="115">
        <f t="shared" si="140"/>
        <v>0</v>
      </c>
      <c r="AM94" s="115">
        <f t="shared" si="140"/>
        <v>0</v>
      </c>
      <c r="AN94" s="115">
        <f t="shared" si="140"/>
        <v>0</v>
      </c>
      <c r="AO94" s="115">
        <f t="shared" si="140"/>
        <v>0</v>
      </c>
      <c r="AP94" s="115">
        <f t="shared" si="140"/>
        <v>0</v>
      </c>
      <c r="AQ94" s="115">
        <f t="shared" si="140"/>
        <v>0</v>
      </c>
      <c r="AR94" s="115">
        <f t="shared" si="140"/>
        <v>0</v>
      </c>
      <c r="AS94" s="115">
        <f t="shared" si="140"/>
        <v>0</v>
      </c>
      <c r="AT94" s="115">
        <f t="shared" si="141"/>
        <v>0</v>
      </c>
      <c r="AU94" s="115">
        <f t="shared" si="141"/>
        <v>0</v>
      </c>
      <c r="AV94" s="115" t="e">
        <f t="shared" si="141"/>
        <v>#VALUE!</v>
      </c>
      <c r="AW94" s="115" t="e">
        <f t="shared" si="141"/>
        <v>#VALUE!</v>
      </c>
      <c r="AX94" s="115" t="e">
        <f t="shared" si="141"/>
        <v>#VALUE!</v>
      </c>
      <c r="AY94" s="115" t="e">
        <f t="shared" si="141"/>
        <v>#VALUE!</v>
      </c>
      <c r="AZ94" s="115" t="e">
        <f t="shared" si="141"/>
        <v>#VALUE!</v>
      </c>
      <c r="BA94" s="115" t="e">
        <f t="shared" si="141"/>
        <v>#VALUE!</v>
      </c>
      <c r="BB94" s="115" t="e">
        <f t="shared" si="141"/>
        <v>#VALUE!</v>
      </c>
      <c r="BC94" s="115" t="e">
        <f t="shared" si="141"/>
        <v>#VALUE!</v>
      </c>
      <c r="BD94" s="115" t="e">
        <f t="shared" si="142"/>
        <v>#VALUE!</v>
      </c>
      <c r="BE94" s="115" t="e">
        <f t="shared" si="142"/>
        <v>#VALUE!</v>
      </c>
      <c r="BF94" s="115" t="e">
        <f t="shared" si="142"/>
        <v>#VALUE!</v>
      </c>
      <c r="BG94" s="115" t="e">
        <f t="shared" si="142"/>
        <v>#VALUE!</v>
      </c>
      <c r="BH94" s="115" t="e">
        <f t="shared" si="142"/>
        <v>#VALUE!</v>
      </c>
      <c r="BI94" s="115" t="e">
        <f t="shared" si="142"/>
        <v>#VALUE!</v>
      </c>
      <c r="BJ94" s="115" t="e">
        <f t="shared" si="142"/>
        <v>#VALUE!</v>
      </c>
      <c r="BK94" s="115" t="e">
        <f t="shared" si="142"/>
        <v>#VALUE!</v>
      </c>
      <c r="BL94" s="115" t="e">
        <f t="shared" si="142"/>
        <v>#VALUE!</v>
      </c>
      <c r="BM94" s="115" t="e">
        <f t="shared" si="142"/>
        <v>#VALUE!</v>
      </c>
      <c r="BN94" s="115" t="e">
        <f t="shared" si="143"/>
        <v>#VALUE!</v>
      </c>
      <c r="BO94" s="115" t="e">
        <f t="shared" si="143"/>
        <v>#VALUE!</v>
      </c>
      <c r="BP94" s="115" t="e">
        <f t="shared" si="143"/>
        <v>#VALUE!</v>
      </c>
      <c r="BQ94" s="115" t="e">
        <f t="shared" si="143"/>
        <v>#VALUE!</v>
      </c>
      <c r="BR94" s="115" t="e">
        <f t="shared" si="143"/>
        <v>#VALUE!</v>
      </c>
      <c r="BS94" s="115" t="e">
        <f t="shared" si="143"/>
        <v>#VALUE!</v>
      </c>
      <c r="BT94" s="115" t="e">
        <f t="shared" si="143"/>
        <v>#VALUE!</v>
      </c>
      <c r="BU94" s="115" t="e">
        <f t="shared" si="143"/>
        <v>#VALUE!</v>
      </c>
      <c r="BV94" s="115" t="e">
        <f t="shared" si="143"/>
        <v>#VALUE!</v>
      </c>
      <c r="BW94" s="115" t="e">
        <f t="shared" si="143"/>
        <v>#VALUE!</v>
      </c>
      <c r="BX94" s="115" t="e">
        <f t="shared" si="144"/>
        <v>#VALUE!</v>
      </c>
      <c r="BY94" s="115" t="e">
        <f t="shared" si="144"/>
        <v>#VALUE!</v>
      </c>
      <c r="BZ94" s="115" t="e">
        <f t="shared" si="144"/>
        <v>#VALUE!</v>
      </c>
      <c r="CA94" s="115" t="e">
        <f t="shared" si="144"/>
        <v>#VALUE!</v>
      </c>
      <c r="CB94" s="115" t="e">
        <f t="shared" si="144"/>
        <v>#VALUE!</v>
      </c>
      <c r="CC94" s="115" t="e">
        <f t="shared" si="144"/>
        <v>#VALUE!</v>
      </c>
      <c r="CD94" s="115" t="e">
        <f t="shared" si="144"/>
        <v>#VALUE!</v>
      </c>
      <c r="CE94" s="115" t="e">
        <f t="shared" si="144"/>
        <v>#VALUE!</v>
      </c>
      <c r="CF94" s="115" t="e">
        <f t="shared" si="144"/>
        <v>#VALUE!</v>
      </c>
      <c r="CG94" s="115" t="e">
        <f t="shared" si="144"/>
        <v>#VALUE!</v>
      </c>
      <c r="CH94" s="115" t="e">
        <f t="shared" si="145"/>
        <v>#VALUE!</v>
      </c>
      <c r="CI94" s="115" t="e">
        <f t="shared" si="145"/>
        <v>#VALUE!</v>
      </c>
      <c r="CJ94" s="115" t="e">
        <f t="shared" si="145"/>
        <v>#VALUE!</v>
      </c>
      <c r="CK94" s="115" t="e">
        <f t="shared" si="145"/>
        <v>#VALUE!</v>
      </c>
      <c r="CL94" s="115" t="e">
        <f t="shared" si="145"/>
        <v>#VALUE!</v>
      </c>
      <c r="CM94" s="115" t="e">
        <f t="shared" si="145"/>
        <v>#VALUE!</v>
      </c>
      <c r="CN94" s="115" t="e">
        <f t="shared" si="145"/>
        <v>#VALUE!</v>
      </c>
      <c r="CO94" s="115" t="e">
        <f t="shared" si="145"/>
        <v>#VALUE!</v>
      </c>
      <c r="CP94" s="115" t="e">
        <f t="shared" si="145"/>
        <v>#VALUE!</v>
      </c>
      <c r="CQ94" s="115" t="e">
        <f t="shared" si="145"/>
        <v>#VALUE!</v>
      </c>
      <c r="CR94" s="115" t="e">
        <f t="shared" si="146"/>
        <v>#VALUE!</v>
      </c>
      <c r="CS94" s="115" t="e">
        <f t="shared" si="146"/>
        <v>#VALUE!</v>
      </c>
      <c r="CT94" s="115" t="e">
        <f t="shared" si="146"/>
        <v>#VALUE!</v>
      </c>
      <c r="CU94" s="115" t="e">
        <f t="shared" si="146"/>
        <v>#VALUE!</v>
      </c>
      <c r="CV94" s="115" t="e">
        <f t="shared" si="146"/>
        <v>#VALUE!</v>
      </c>
      <c r="CW94" s="115" t="e">
        <f t="shared" si="146"/>
        <v>#VALUE!</v>
      </c>
      <c r="CX94" s="115" t="e">
        <f t="shared" si="146"/>
        <v>#VALUE!</v>
      </c>
      <c r="CY94" s="115" t="e">
        <f t="shared" si="146"/>
        <v>#VALUE!</v>
      </c>
      <c r="CZ94" s="115" t="e">
        <f t="shared" si="146"/>
        <v>#VALUE!</v>
      </c>
      <c r="DA94" s="115" t="e">
        <f t="shared" si="146"/>
        <v>#VALUE!</v>
      </c>
      <c r="DB94" s="115" t="e">
        <f t="shared" si="147"/>
        <v>#VALUE!</v>
      </c>
      <c r="DC94" s="115" t="e">
        <f t="shared" si="147"/>
        <v>#VALUE!</v>
      </c>
      <c r="DD94" s="115" t="e">
        <f t="shared" si="147"/>
        <v>#VALUE!</v>
      </c>
      <c r="DE94" s="115" t="e">
        <f t="shared" si="147"/>
        <v>#VALUE!</v>
      </c>
      <c r="DF94" s="115" t="e">
        <f t="shared" si="147"/>
        <v>#VALUE!</v>
      </c>
      <c r="DG94" s="115" t="e">
        <f t="shared" si="147"/>
        <v>#VALUE!</v>
      </c>
      <c r="DH94" s="115" t="e">
        <f t="shared" si="147"/>
        <v>#VALUE!</v>
      </c>
      <c r="DI94" s="115" t="e">
        <f t="shared" si="147"/>
        <v>#VALUE!</v>
      </c>
      <c r="DJ94" s="115" t="e">
        <f t="shared" si="147"/>
        <v>#VALUE!</v>
      </c>
      <c r="DK94" s="115" t="e">
        <f t="shared" si="147"/>
        <v>#VALUE!</v>
      </c>
      <c r="DL94" s="115" t="e">
        <f t="shared" si="147"/>
        <v>#VALUE!</v>
      </c>
      <c r="DM94" s="115" t="e">
        <f t="shared" si="147"/>
        <v>#VALUE!</v>
      </c>
    </row>
    <row r="95" spans="1:117" ht="15" customHeight="1" thickBot="1">
      <c r="A95" s="55">
        <v>8900</v>
      </c>
      <c r="B95" s="194" t="s">
        <v>728</v>
      </c>
      <c r="C95" s="194" t="s">
        <v>840</v>
      </c>
      <c r="D95" s="194" t="s">
        <v>841</v>
      </c>
      <c r="E95" s="194"/>
      <c r="F95" s="194"/>
      <c r="G95" s="291">
        <f t="shared" si="135"/>
        <v>0</v>
      </c>
      <c r="H95" s="292"/>
      <c r="I95" s="306"/>
      <c r="J95" s="194" t="s">
        <v>727</v>
      </c>
      <c r="K95" s="378" t="s">
        <v>732</v>
      </c>
      <c r="L95" s="379" t="s">
        <v>359</v>
      </c>
      <c r="M95" s="325">
        <f t="shared" si="136"/>
        <v>2.25</v>
      </c>
      <c r="N95" s="380">
        <f t="shared" si="137"/>
        <v>1.0054080629301869</v>
      </c>
      <c r="O95" s="381">
        <f t="shared" si="138"/>
        <v>0</v>
      </c>
      <c r="P95" s="169" t="s">
        <v>103</v>
      </c>
      <c r="Q95" s="114">
        <f t="shared" si="138"/>
        <v>0</v>
      </c>
      <c r="R95" s="115">
        <f t="shared" si="138"/>
        <v>0</v>
      </c>
      <c r="S95" s="115">
        <f t="shared" si="138"/>
        <v>0</v>
      </c>
      <c r="T95" s="115">
        <f t="shared" si="138"/>
        <v>0</v>
      </c>
      <c r="U95" s="115">
        <f t="shared" si="138"/>
        <v>0</v>
      </c>
      <c r="V95" s="115">
        <f t="shared" si="138"/>
        <v>0</v>
      </c>
      <c r="W95" s="115">
        <f t="shared" si="138"/>
        <v>0</v>
      </c>
      <c r="X95" s="115">
        <f t="shared" si="138"/>
        <v>0</v>
      </c>
      <c r="Y95" s="115">
        <f t="shared" si="138"/>
        <v>0</v>
      </c>
      <c r="Z95" s="115">
        <f t="shared" si="139"/>
        <v>0</v>
      </c>
      <c r="AA95" s="115">
        <f t="shared" si="139"/>
        <v>0</v>
      </c>
      <c r="AB95" s="115">
        <f t="shared" si="139"/>
        <v>0</v>
      </c>
      <c r="AC95" s="115">
        <f t="shared" si="139"/>
        <v>0</v>
      </c>
      <c r="AD95" s="115">
        <f t="shared" si="139"/>
        <v>0</v>
      </c>
      <c r="AE95" s="115">
        <f t="shared" si="139"/>
        <v>0</v>
      </c>
      <c r="AF95" s="115">
        <f t="shared" si="139"/>
        <v>0</v>
      </c>
      <c r="AG95" s="115">
        <f t="shared" si="139"/>
        <v>0</v>
      </c>
      <c r="AH95" s="115">
        <f t="shared" si="139"/>
        <v>0</v>
      </c>
      <c r="AI95" s="115">
        <f t="shared" si="139"/>
        <v>0</v>
      </c>
      <c r="AJ95" s="115">
        <f t="shared" si="140"/>
        <v>0</v>
      </c>
      <c r="AK95" s="115">
        <f t="shared" si="140"/>
        <v>0</v>
      </c>
      <c r="AL95" s="115">
        <f t="shared" si="140"/>
        <v>0</v>
      </c>
      <c r="AM95" s="115">
        <f t="shared" si="140"/>
        <v>0</v>
      </c>
      <c r="AN95" s="115">
        <f t="shared" si="140"/>
        <v>0</v>
      </c>
      <c r="AO95" s="115">
        <f t="shared" si="140"/>
        <v>0</v>
      </c>
      <c r="AP95" s="115">
        <f t="shared" si="140"/>
        <v>0</v>
      </c>
      <c r="AQ95" s="115">
        <f t="shared" si="140"/>
        <v>0</v>
      </c>
      <c r="AR95" s="115">
        <f t="shared" si="140"/>
        <v>0</v>
      </c>
      <c r="AS95" s="115">
        <f t="shared" si="140"/>
        <v>0</v>
      </c>
      <c r="AT95" s="115">
        <f t="shared" si="141"/>
        <v>0</v>
      </c>
      <c r="AU95" s="115">
        <f t="shared" si="141"/>
        <v>0</v>
      </c>
      <c r="AV95" s="115" t="e">
        <f t="shared" si="141"/>
        <v>#VALUE!</v>
      </c>
      <c r="AW95" s="115" t="e">
        <f t="shared" si="141"/>
        <v>#VALUE!</v>
      </c>
      <c r="AX95" s="115" t="e">
        <f t="shared" si="141"/>
        <v>#VALUE!</v>
      </c>
      <c r="AY95" s="115" t="e">
        <f t="shared" si="141"/>
        <v>#VALUE!</v>
      </c>
      <c r="AZ95" s="115" t="e">
        <f t="shared" si="141"/>
        <v>#VALUE!</v>
      </c>
      <c r="BA95" s="115" t="e">
        <f t="shared" si="141"/>
        <v>#VALUE!</v>
      </c>
      <c r="BB95" s="115" t="e">
        <f t="shared" si="141"/>
        <v>#VALUE!</v>
      </c>
      <c r="BC95" s="115" t="e">
        <f t="shared" si="141"/>
        <v>#VALUE!</v>
      </c>
      <c r="BD95" s="115" t="e">
        <f t="shared" si="142"/>
        <v>#VALUE!</v>
      </c>
      <c r="BE95" s="115" t="e">
        <f t="shared" si="142"/>
        <v>#VALUE!</v>
      </c>
      <c r="BF95" s="115" t="e">
        <f t="shared" si="142"/>
        <v>#VALUE!</v>
      </c>
      <c r="BG95" s="115" t="e">
        <f t="shared" si="142"/>
        <v>#VALUE!</v>
      </c>
      <c r="BH95" s="115" t="e">
        <f t="shared" si="142"/>
        <v>#VALUE!</v>
      </c>
      <c r="BI95" s="115" t="e">
        <f t="shared" si="142"/>
        <v>#VALUE!</v>
      </c>
      <c r="BJ95" s="115" t="e">
        <f t="shared" si="142"/>
        <v>#VALUE!</v>
      </c>
      <c r="BK95" s="115" t="e">
        <f t="shared" si="142"/>
        <v>#VALUE!</v>
      </c>
      <c r="BL95" s="115" t="e">
        <f t="shared" si="142"/>
        <v>#VALUE!</v>
      </c>
      <c r="BM95" s="115" t="e">
        <f t="shared" si="142"/>
        <v>#VALUE!</v>
      </c>
      <c r="BN95" s="115" t="e">
        <f t="shared" si="143"/>
        <v>#VALUE!</v>
      </c>
      <c r="BO95" s="115" t="e">
        <f t="shared" si="143"/>
        <v>#VALUE!</v>
      </c>
      <c r="BP95" s="115" t="e">
        <f t="shared" si="143"/>
        <v>#VALUE!</v>
      </c>
      <c r="BQ95" s="115" t="e">
        <f t="shared" si="143"/>
        <v>#VALUE!</v>
      </c>
      <c r="BR95" s="115" t="e">
        <f t="shared" si="143"/>
        <v>#VALUE!</v>
      </c>
      <c r="BS95" s="115" t="e">
        <f t="shared" si="143"/>
        <v>#VALUE!</v>
      </c>
      <c r="BT95" s="115" t="e">
        <f t="shared" si="143"/>
        <v>#VALUE!</v>
      </c>
      <c r="BU95" s="115" t="e">
        <f t="shared" si="143"/>
        <v>#VALUE!</v>
      </c>
      <c r="BV95" s="115" t="e">
        <f t="shared" si="143"/>
        <v>#VALUE!</v>
      </c>
      <c r="BW95" s="115" t="e">
        <f t="shared" si="143"/>
        <v>#VALUE!</v>
      </c>
      <c r="BX95" s="115" t="e">
        <f t="shared" si="144"/>
        <v>#VALUE!</v>
      </c>
      <c r="BY95" s="115" t="e">
        <f t="shared" si="144"/>
        <v>#VALUE!</v>
      </c>
      <c r="BZ95" s="115" t="e">
        <f t="shared" si="144"/>
        <v>#VALUE!</v>
      </c>
      <c r="CA95" s="115" t="e">
        <f t="shared" si="144"/>
        <v>#VALUE!</v>
      </c>
      <c r="CB95" s="115" t="e">
        <f t="shared" si="144"/>
        <v>#VALUE!</v>
      </c>
      <c r="CC95" s="115" t="e">
        <f t="shared" si="144"/>
        <v>#VALUE!</v>
      </c>
      <c r="CD95" s="115" t="e">
        <f t="shared" si="144"/>
        <v>#VALUE!</v>
      </c>
      <c r="CE95" s="115" t="e">
        <f t="shared" si="144"/>
        <v>#VALUE!</v>
      </c>
      <c r="CF95" s="115" t="e">
        <f t="shared" si="144"/>
        <v>#VALUE!</v>
      </c>
      <c r="CG95" s="115" t="e">
        <f t="shared" si="144"/>
        <v>#VALUE!</v>
      </c>
      <c r="CH95" s="115" t="e">
        <f t="shared" si="145"/>
        <v>#VALUE!</v>
      </c>
      <c r="CI95" s="115" t="e">
        <f t="shared" si="145"/>
        <v>#VALUE!</v>
      </c>
      <c r="CJ95" s="115" t="e">
        <f t="shared" si="145"/>
        <v>#VALUE!</v>
      </c>
      <c r="CK95" s="115" t="e">
        <f t="shared" si="145"/>
        <v>#VALUE!</v>
      </c>
      <c r="CL95" s="115" t="e">
        <f t="shared" si="145"/>
        <v>#VALUE!</v>
      </c>
      <c r="CM95" s="115" t="e">
        <f t="shared" si="145"/>
        <v>#VALUE!</v>
      </c>
      <c r="CN95" s="115" t="e">
        <f t="shared" si="145"/>
        <v>#VALUE!</v>
      </c>
      <c r="CO95" s="115" t="e">
        <f t="shared" si="145"/>
        <v>#VALUE!</v>
      </c>
      <c r="CP95" s="115" t="e">
        <f t="shared" si="145"/>
        <v>#VALUE!</v>
      </c>
      <c r="CQ95" s="115" t="e">
        <f t="shared" si="145"/>
        <v>#VALUE!</v>
      </c>
      <c r="CR95" s="115" t="e">
        <f t="shared" si="146"/>
        <v>#VALUE!</v>
      </c>
      <c r="CS95" s="115" t="e">
        <f t="shared" si="146"/>
        <v>#VALUE!</v>
      </c>
      <c r="CT95" s="115" t="e">
        <f t="shared" si="146"/>
        <v>#VALUE!</v>
      </c>
      <c r="CU95" s="115" t="e">
        <f t="shared" si="146"/>
        <v>#VALUE!</v>
      </c>
      <c r="CV95" s="115" t="e">
        <f t="shared" si="146"/>
        <v>#VALUE!</v>
      </c>
      <c r="CW95" s="115" t="e">
        <f t="shared" si="146"/>
        <v>#VALUE!</v>
      </c>
      <c r="CX95" s="115" t="e">
        <f t="shared" si="146"/>
        <v>#VALUE!</v>
      </c>
      <c r="CY95" s="115" t="e">
        <f t="shared" si="146"/>
        <v>#VALUE!</v>
      </c>
      <c r="CZ95" s="115" t="e">
        <f t="shared" si="146"/>
        <v>#VALUE!</v>
      </c>
      <c r="DA95" s="115" t="e">
        <f t="shared" si="146"/>
        <v>#VALUE!</v>
      </c>
      <c r="DB95" s="115" t="e">
        <f t="shared" si="147"/>
        <v>#VALUE!</v>
      </c>
      <c r="DC95" s="115" t="e">
        <f t="shared" si="147"/>
        <v>#VALUE!</v>
      </c>
      <c r="DD95" s="115" t="e">
        <f t="shared" si="147"/>
        <v>#VALUE!</v>
      </c>
      <c r="DE95" s="115" t="e">
        <f t="shared" si="147"/>
        <v>#VALUE!</v>
      </c>
      <c r="DF95" s="115" t="e">
        <f t="shared" si="147"/>
        <v>#VALUE!</v>
      </c>
      <c r="DG95" s="115" t="e">
        <f t="shared" si="147"/>
        <v>#VALUE!</v>
      </c>
      <c r="DH95" s="115" t="e">
        <f t="shared" si="147"/>
        <v>#VALUE!</v>
      </c>
      <c r="DI95" s="115" t="e">
        <f t="shared" si="147"/>
        <v>#VALUE!</v>
      </c>
      <c r="DJ95" s="115" t="e">
        <f t="shared" si="147"/>
        <v>#VALUE!</v>
      </c>
      <c r="DK95" s="115" t="e">
        <f t="shared" si="147"/>
        <v>#VALUE!</v>
      </c>
      <c r="DL95" s="115" t="e">
        <f t="shared" si="147"/>
        <v>#VALUE!</v>
      </c>
      <c r="DM95" s="115" t="e">
        <f t="shared" si="147"/>
        <v>#VALUE!</v>
      </c>
    </row>
    <row r="96" spans="1:117" ht="15" customHeight="1">
      <c r="A96" s="293">
        <v>9100</v>
      </c>
      <c r="B96" s="172" t="s">
        <v>724</v>
      </c>
      <c r="C96" s="172" t="s">
        <v>842</v>
      </c>
      <c r="D96" s="172" t="s">
        <v>843</v>
      </c>
      <c r="E96" s="172"/>
      <c r="F96" s="172"/>
      <c r="G96" s="373"/>
      <c r="H96" s="373"/>
      <c r="I96" s="373"/>
      <c r="J96" s="373"/>
      <c r="K96" s="373"/>
      <c r="L96" s="172"/>
      <c r="M96" s="293"/>
      <c r="N96" s="293"/>
      <c r="O96" s="376" t="e">
        <f>SUM(O97,O186)</f>
        <v>#VALUE!</v>
      </c>
      <c r="P96" s="383" t="s">
        <v>103</v>
      </c>
      <c r="Q96" s="116"/>
      <c r="R96" s="116"/>
      <c r="S96" s="116"/>
      <c r="T96" s="116"/>
      <c r="U96" s="116"/>
      <c r="V96" s="116"/>
      <c r="W96" s="116"/>
      <c r="X96" s="116"/>
      <c r="Y96" s="116"/>
      <c r="Z96" s="116"/>
      <c r="AA96" s="116"/>
      <c r="AB96" s="116"/>
      <c r="AC96" s="116"/>
      <c r="AD96" s="116"/>
      <c r="AE96" s="116"/>
      <c r="AF96" s="116"/>
      <c r="AG96" s="116"/>
      <c r="AH96" s="116"/>
      <c r="AI96" s="116"/>
      <c r="AJ96" s="116"/>
      <c r="AK96" s="116"/>
      <c r="AL96" s="116"/>
      <c r="AM96" s="116"/>
      <c r="AN96" s="116"/>
      <c r="AO96" s="116"/>
      <c r="AP96" s="116"/>
      <c r="AQ96" s="116"/>
      <c r="AR96" s="116"/>
      <c r="AS96" s="116"/>
      <c r="AT96" s="116"/>
      <c r="AU96" s="116"/>
      <c r="AV96" s="116"/>
      <c r="AW96" s="116"/>
      <c r="AX96" s="116"/>
      <c r="AY96" s="116"/>
      <c r="AZ96" s="116"/>
      <c r="BA96" s="116"/>
      <c r="BB96" s="116"/>
      <c r="BC96" s="116"/>
      <c r="BD96" s="116"/>
      <c r="BE96" s="116"/>
      <c r="BF96" s="116"/>
      <c r="BG96" s="116"/>
      <c r="BH96" s="116"/>
      <c r="BI96" s="116"/>
      <c r="BJ96" s="116"/>
      <c r="BK96" s="116"/>
      <c r="BL96" s="116"/>
      <c r="BM96" s="116"/>
      <c r="BN96" s="116"/>
      <c r="BO96" s="116"/>
      <c r="BP96" s="116"/>
      <c r="BQ96" s="116"/>
      <c r="BR96" s="116"/>
      <c r="BS96" s="116"/>
      <c r="BT96" s="116"/>
      <c r="BU96" s="116"/>
      <c r="BV96" s="116"/>
      <c r="BW96" s="116"/>
      <c r="BX96" s="116"/>
      <c r="BY96" s="116"/>
      <c r="BZ96" s="116"/>
      <c r="CA96" s="116"/>
      <c r="CB96" s="116"/>
      <c r="CC96" s="116"/>
      <c r="CD96" s="116"/>
      <c r="CE96" s="116"/>
      <c r="CF96" s="116"/>
      <c r="CG96" s="116"/>
      <c r="CH96" s="116"/>
      <c r="CI96" s="116"/>
      <c r="CJ96" s="116"/>
      <c r="CK96" s="116"/>
      <c r="CL96" s="116"/>
      <c r="CM96" s="116"/>
      <c r="CN96" s="116"/>
      <c r="CO96" s="116"/>
      <c r="CP96" s="116"/>
      <c r="CQ96" s="116"/>
      <c r="CR96" s="116"/>
      <c r="CS96" s="116"/>
      <c r="CT96" s="116"/>
      <c r="CU96" s="116"/>
      <c r="CV96" s="116"/>
      <c r="CW96" s="116"/>
      <c r="CX96" s="116"/>
      <c r="CY96" s="116"/>
      <c r="CZ96" s="116"/>
      <c r="DA96" s="116"/>
      <c r="DB96" s="116"/>
      <c r="DC96" s="116"/>
      <c r="DD96" s="116"/>
      <c r="DE96" s="116"/>
      <c r="DF96" s="116"/>
      <c r="DG96" s="116"/>
      <c r="DH96" s="116"/>
      <c r="DI96" s="116"/>
      <c r="DJ96" s="116"/>
      <c r="DK96" s="116"/>
      <c r="DL96" s="116"/>
      <c r="DM96" s="116"/>
    </row>
    <row r="97" spans="1:117" ht="15" customHeight="1" thickBot="1">
      <c r="A97" s="293">
        <v>9200</v>
      </c>
      <c r="B97" s="172" t="s">
        <v>743</v>
      </c>
      <c r="C97" s="172" t="s">
        <v>844</v>
      </c>
      <c r="D97" s="172" t="s">
        <v>845</v>
      </c>
      <c r="E97" s="172"/>
      <c r="F97" s="172"/>
      <c r="G97" s="172"/>
      <c r="H97" s="172"/>
      <c r="I97" s="172"/>
      <c r="J97" s="172"/>
      <c r="K97" s="373"/>
      <c r="L97" s="172"/>
      <c r="M97" s="293"/>
      <c r="N97" s="293"/>
      <c r="O97" s="376" t="e">
        <f>SUM(O98,O119,O154,O175,O180)</f>
        <v>#VALUE!</v>
      </c>
      <c r="P97" s="377" t="s">
        <v>103</v>
      </c>
      <c r="Q97" s="116"/>
      <c r="R97" s="116"/>
      <c r="S97" s="116"/>
      <c r="T97" s="116"/>
      <c r="U97" s="116"/>
      <c r="V97" s="116"/>
      <c r="W97" s="116"/>
      <c r="X97" s="116"/>
      <c r="Y97" s="116"/>
      <c r="Z97" s="116"/>
      <c r="AA97" s="116"/>
      <c r="AB97" s="116"/>
      <c r="AC97" s="116"/>
      <c r="AD97" s="116"/>
      <c r="AE97" s="116"/>
      <c r="AF97" s="116"/>
      <c r="AG97" s="116"/>
      <c r="AH97" s="116"/>
      <c r="AI97" s="116"/>
      <c r="AJ97" s="116"/>
      <c r="AK97" s="116"/>
      <c r="AL97" s="116"/>
      <c r="AM97" s="116"/>
      <c r="AN97" s="116"/>
      <c r="AO97" s="116"/>
      <c r="AP97" s="116"/>
      <c r="AQ97" s="116"/>
      <c r="AR97" s="116"/>
      <c r="AS97" s="116"/>
      <c r="AT97" s="116"/>
      <c r="AU97" s="116"/>
      <c r="AV97" s="116"/>
      <c r="AW97" s="116"/>
      <c r="AX97" s="116"/>
      <c r="AY97" s="116"/>
      <c r="AZ97" s="116"/>
      <c r="BA97" s="116"/>
      <c r="BB97" s="116"/>
      <c r="BC97" s="116"/>
      <c r="BD97" s="116"/>
      <c r="BE97" s="116"/>
      <c r="BF97" s="116"/>
      <c r="BG97" s="116"/>
      <c r="BH97" s="116"/>
      <c r="BI97" s="116"/>
      <c r="BJ97" s="116"/>
      <c r="BK97" s="116"/>
      <c r="BL97" s="116"/>
      <c r="BM97" s="116"/>
      <c r="BN97" s="116"/>
      <c r="BO97" s="116"/>
      <c r="BP97" s="116"/>
      <c r="BQ97" s="116"/>
      <c r="BR97" s="116"/>
      <c r="BS97" s="116"/>
      <c r="BT97" s="116"/>
      <c r="BU97" s="116"/>
      <c r="BV97" s="116"/>
      <c r="BW97" s="116"/>
      <c r="BX97" s="116"/>
      <c r="BY97" s="116"/>
      <c r="BZ97" s="116"/>
      <c r="CA97" s="116"/>
      <c r="CB97" s="116"/>
      <c r="CC97" s="116"/>
      <c r="CD97" s="116"/>
      <c r="CE97" s="116"/>
      <c r="CF97" s="116"/>
      <c r="CG97" s="116"/>
      <c r="CH97" s="116"/>
      <c r="CI97" s="116"/>
      <c r="CJ97" s="116"/>
      <c r="CK97" s="116"/>
      <c r="CL97" s="116"/>
      <c r="CM97" s="116"/>
      <c r="CN97" s="116"/>
      <c r="CO97" s="116"/>
      <c r="CP97" s="116"/>
      <c r="CQ97" s="116"/>
      <c r="CR97" s="116"/>
      <c r="CS97" s="116"/>
      <c r="CT97" s="116"/>
      <c r="CU97" s="116"/>
      <c r="CV97" s="116"/>
      <c r="CW97" s="116"/>
      <c r="CX97" s="116"/>
      <c r="CY97" s="116"/>
      <c r="CZ97" s="116"/>
      <c r="DA97" s="116"/>
      <c r="DB97" s="116"/>
      <c r="DC97" s="116"/>
      <c r="DD97" s="116"/>
      <c r="DE97" s="116"/>
      <c r="DF97" s="116"/>
      <c r="DG97" s="116"/>
      <c r="DH97" s="116"/>
      <c r="DI97" s="116"/>
      <c r="DJ97" s="116"/>
      <c r="DK97" s="116"/>
      <c r="DL97" s="116"/>
      <c r="DM97" s="116"/>
    </row>
    <row r="98" spans="1:117" ht="15" customHeight="1" thickTop="1" thickBot="1">
      <c r="A98" s="293">
        <v>9400</v>
      </c>
      <c r="B98" s="172" t="s">
        <v>743</v>
      </c>
      <c r="C98" s="172" t="s">
        <v>846</v>
      </c>
      <c r="D98" s="172" t="s">
        <v>847</v>
      </c>
      <c r="E98" s="172"/>
      <c r="F98" s="172"/>
      <c r="G98" s="172"/>
      <c r="H98" s="172"/>
      <c r="I98" s="172"/>
      <c r="J98" s="613" t="s">
        <v>2282</v>
      </c>
      <c r="K98" s="613"/>
      <c r="L98" s="172"/>
      <c r="M98" s="293"/>
      <c r="N98" s="293"/>
      <c r="O98" s="376" t="e">
        <f>SUM(O99:O101,O103:O104,O106:O107,O110:O118)</f>
        <v>#VALUE!</v>
      </c>
      <c r="P98" s="384" t="s">
        <v>103</v>
      </c>
      <c r="Q98" s="116"/>
      <c r="R98" s="116"/>
      <c r="S98" s="116"/>
      <c r="T98" s="116"/>
      <c r="U98" s="116"/>
      <c r="V98" s="116"/>
      <c r="W98" s="116"/>
      <c r="X98" s="116"/>
      <c r="Y98" s="116"/>
      <c r="Z98" s="116"/>
      <c r="AA98" s="116"/>
      <c r="AB98" s="116"/>
      <c r="AC98" s="116"/>
      <c r="AD98" s="116"/>
      <c r="AE98" s="116"/>
      <c r="AF98" s="116"/>
      <c r="AG98" s="116"/>
      <c r="AH98" s="116"/>
      <c r="AI98" s="116"/>
      <c r="AJ98" s="116"/>
      <c r="AK98" s="116"/>
      <c r="AL98" s="116"/>
      <c r="AM98" s="116"/>
      <c r="AN98" s="116"/>
      <c r="AO98" s="116"/>
      <c r="AP98" s="116"/>
      <c r="AQ98" s="116"/>
      <c r="AR98" s="116"/>
      <c r="AS98" s="116"/>
      <c r="AT98" s="116"/>
      <c r="AU98" s="116"/>
      <c r="AV98" s="116"/>
      <c r="AW98" s="116"/>
      <c r="AX98" s="116"/>
      <c r="AY98" s="116"/>
      <c r="AZ98" s="116"/>
      <c r="BA98" s="116"/>
      <c r="BB98" s="116"/>
      <c r="BC98" s="116"/>
      <c r="BD98" s="116"/>
      <c r="BE98" s="116"/>
      <c r="BF98" s="116"/>
      <c r="BG98" s="116"/>
      <c r="BH98" s="116"/>
      <c r="BI98" s="116"/>
      <c r="BJ98" s="116"/>
      <c r="BK98" s="116"/>
      <c r="BL98" s="116"/>
      <c r="BM98" s="116"/>
      <c r="BN98" s="116"/>
      <c r="BO98" s="116"/>
      <c r="BP98" s="116"/>
      <c r="BQ98" s="116"/>
      <c r="BR98" s="116"/>
      <c r="BS98" s="116"/>
      <c r="BT98" s="116"/>
      <c r="BU98" s="116"/>
      <c r="BV98" s="116"/>
      <c r="BW98" s="116"/>
      <c r="BX98" s="116"/>
      <c r="BY98" s="116"/>
      <c r="BZ98" s="116"/>
      <c r="CA98" s="116"/>
      <c r="CB98" s="116"/>
      <c r="CC98" s="116"/>
      <c r="CD98" s="116"/>
      <c r="CE98" s="116"/>
      <c r="CF98" s="116"/>
      <c r="CG98" s="116"/>
      <c r="CH98" s="116"/>
      <c r="CI98" s="116"/>
      <c r="CJ98" s="116"/>
      <c r="CK98" s="116"/>
      <c r="CL98" s="116"/>
      <c r="CM98" s="116"/>
      <c r="CN98" s="116"/>
      <c r="CO98" s="116"/>
      <c r="CP98" s="116"/>
      <c r="CQ98" s="116"/>
      <c r="CR98" s="116"/>
      <c r="CS98" s="116"/>
      <c r="CT98" s="116"/>
      <c r="CU98" s="116"/>
      <c r="CV98" s="116"/>
      <c r="CW98" s="116"/>
      <c r="CX98" s="116"/>
      <c r="CY98" s="116"/>
      <c r="CZ98" s="116"/>
      <c r="DA98" s="116"/>
      <c r="DB98" s="116"/>
      <c r="DC98" s="116"/>
      <c r="DD98" s="116"/>
      <c r="DE98" s="116"/>
      <c r="DF98" s="116"/>
      <c r="DG98" s="116"/>
      <c r="DH98" s="116"/>
      <c r="DI98" s="116"/>
      <c r="DJ98" s="116"/>
      <c r="DK98" s="116"/>
      <c r="DL98" s="116"/>
      <c r="DM98" s="116"/>
    </row>
    <row r="99" spans="1:117" ht="15" customHeight="1" thickTop="1" thickBot="1">
      <c r="A99" s="55">
        <v>9500</v>
      </c>
      <c r="B99" s="194" t="s">
        <v>728</v>
      </c>
      <c r="C99" s="194" t="s">
        <v>848</v>
      </c>
      <c r="D99" s="194" t="s">
        <v>849</v>
      </c>
      <c r="E99" s="194" t="s">
        <v>332</v>
      </c>
      <c r="F99" s="194" t="s">
        <v>1078</v>
      </c>
      <c r="G99" s="291" t="e">
        <f t="shared" ref="G99:G101" si="148">IF(I99="",H99,I99)</f>
        <v>#VALUE!</v>
      </c>
      <c r="H99" s="292" t="e">
        <f>VLOOKUP("E2.A",Errichtungskosten,12,0) *VLOOKUP("GIF",Instandsetzung,5,0)/100*VLOOKUP("PFAKT",Instandsetzung,5,0)</f>
        <v>#VALUE!</v>
      </c>
      <c r="I99" s="168"/>
      <c r="J99" s="194" t="s">
        <v>850</v>
      </c>
      <c r="K99" s="385">
        <f>IF(ISNUMBER(VLOOKUP(E99,Nutzungsdauern,5,0)),VLOOKUP(E99,Nutzungsdauern,5,0),1000)</f>
        <v>30</v>
      </c>
      <c r="L99" s="379" t="s">
        <v>356</v>
      </c>
      <c r="M99" s="325">
        <f>VLOOKUP(L99,Finanzielle_Parameter,5,0)</f>
        <v>2.77</v>
      </c>
      <c r="N99" s="380">
        <f>(1+VLOOKUP(L99,Finanzielle_Parameter,5,0)/100)/(1+VLOOKUP("R",Finanzielle_Parameter,5,0)/100)</f>
        <v>1.0105211406096364</v>
      </c>
      <c r="O99" s="381" t="e">
        <f t="shared" ref="O99:Y101" si="149">IF($N99&lt;&gt;1,$G99*($N99^$K99)*(($N99^($K99*INT(O$2/$K99))-1)/($N99^$K99-1)),$G99*INT(O$2/$K99))</f>
        <v>#VALUE!</v>
      </c>
      <c r="P99" s="169" t="s">
        <v>103</v>
      </c>
      <c r="Q99" s="114" t="e">
        <f t="shared" si="149"/>
        <v>#VALUE!</v>
      </c>
      <c r="R99" s="115" t="e">
        <f t="shared" si="149"/>
        <v>#VALUE!</v>
      </c>
      <c r="S99" s="115" t="e">
        <f t="shared" si="149"/>
        <v>#VALUE!</v>
      </c>
      <c r="T99" s="115" t="e">
        <f t="shared" si="149"/>
        <v>#VALUE!</v>
      </c>
      <c r="U99" s="115" t="e">
        <f t="shared" si="149"/>
        <v>#VALUE!</v>
      </c>
      <c r="V99" s="115" t="e">
        <f t="shared" si="149"/>
        <v>#VALUE!</v>
      </c>
      <c r="W99" s="115" t="e">
        <f t="shared" si="149"/>
        <v>#VALUE!</v>
      </c>
      <c r="X99" s="115" t="e">
        <f t="shared" si="149"/>
        <v>#VALUE!</v>
      </c>
      <c r="Y99" s="115" t="e">
        <f t="shared" si="149"/>
        <v>#VALUE!</v>
      </c>
      <c r="Z99" s="115" t="e">
        <f t="shared" ref="Z99:AI101" si="150">IF($N99&lt;&gt;1,$G99*($N99^$K99)*(($N99^($K99*INT(Z$2/$K99))-1)/($N99^$K99-1)),$G99*INT(Z$2/$K99))</f>
        <v>#VALUE!</v>
      </c>
      <c r="AA99" s="115" t="e">
        <f t="shared" si="150"/>
        <v>#VALUE!</v>
      </c>
      <c r="AB99" s="115" t="e">
        <f t="shared" si="150"/>
        <v>#VALUE!</v>
      </c>
      <c r="AC99" s="115" t="e">
        <f t="shared" si="150"/>
        <v>#VALUE!</v>
      </c>
      <c r="AD99" s="115" t="e">
        <f t="shared" si="150"/>
        <v>#VALUE!</v>
      </c>
      <c r="AE99" s="115" t="e">
        <f t="shared" si="150"/>
        <v>#VALUE!</v>
      </c>
      <c r="AF99" s="115" t="e">
        <f t="shared" si="150"/>
        <v>#VALUE!</v>
      </c>
      <c r="AG99" s="115" t="e">
        <f t="shared" si="150"/>
        <v>#VALUE!</v>
      </c>
      <c r="AH99" s="115" t="e">
        <f t="shared" si="150"/>
        <v>#VALUE!</v>
      </c>
      <c r="AI99" s="115" t="e">
        <f t="shared" si="150"/>
        <v>#VALUE!</v>
      </c>
      <c r="AJ99" s="115" t="e">
        <f t="shared" ref="AJ99:AS101" si="151">IF($N99&lt;&gt;1,$G99*($N99^$K99)*(($N99^($K99*INT(AJ$2/$K99))-1)/($N99^$K99-1)),$G99*INT(AJ$2/$K99))</f>
        <v>#VALUE!</v>
      </c>
      <c r="AK99" s="115" t="e">
        <f t="shared" si="151"/>
        <v>#VALUE!</v>
      </c>
      <c r="AL99" s="115" t="e">
        <f t="shared" si="151"/>
        <v>#VALUE!</v>
      </c>
      <c r="AM99" s="115" t="e">
        <f t="shared" si="151"/>
        <v>#VALUE!</v>
      </c>
      <c r="AN99" s="115" t="e">
        <f t="shared" si="151"/>
        <v>#VALUE!</v>
      </c>
      <c r="AO99" s="115" t="e">
        <f t="shared" si="151"/>
        <v>#VALUE!</v>
      </c>
      <c r="AP99" s="115" t="e">
        <f t="shared" si="151"/>
        <v>#VALUE!</v>
      </c>
      <c r="AQ99" s="115" t="e">
        <f t="shared" si="151"/>
        <v>#VALUE!</v>
      </c>
      <c r="AR99" s="115" t="e">
        <f t="shared" si="151"/>
        <v>#VALUE!</v>
      </c>
      <c r="AS99" s="115" t="e">
        <f t="shared" si="151"/>
        <v>#VALUE!</v>
      </c>
      <c r="AT99" s="115" t="e">
        <f t="shared" ref="AT99:BC101" si="152">IF($N99&lt;&gt;1,$G99*($N99^$K99)*(($N99^($K99*INT(AT$2/$K99))-1)/($N99^$K99-1)),$G99*INT(AT$2/$K99))</f>
        <v>#VALUE!</v>
      </c>
      <c r="AU99" s="115" t="e">
        <f t="shared" si="152"/>
        <v>#VALUE!</v>
      </c>
      <c r="AV99" s="115" t="e">
        <f t="shared" si="152"/>
        <v>#VALUE!</v>
      </c>
      <c r="AW99" s="115" t="e">
        <f t="shared" si="152"/>
        <v>#VALUE!</v>
      </c>
      <c r="AX99" s="115" t="e">
        <f t="shared" si="152"/>
        <v>#VALUE!</v>
      </c>
      <c r="AY99" s="115" t="e">
        <f t="shared" si="152"/>
        <v>#VALUE!</v>
      </c>
      <c r="AZ99" s="115" t="e">
        <f t="shared" si="152"/>
        <v>#VALUE!</v>
      </c>
      <c r="BA99" s="115" t="e">
        <f t="shared" si="152"/>
        <v>#VALUE!</v>
      </c>
      <c r="BB99" s="115" t="e">
        <f t="shared" si="152"/>
        <v>#VALUE!</v>
      </c>
      <c r="BC99" s="115" t="e">
        <f t="shared" si="152"/>
        <v>#VALUE!</v>
      </c>
      <c r="BD99" s="115" t="e">
        <f t="shared" ref="BD99:BM101" si="153">IF($N99&lt;&gt;1,$G99*($N99^$K99)*(($N99^($K99*INT(BD$2/$K99))-1)/($N99^$K99-1)),$G99*INT(BD$2/$K99))</f>
        <v>#VALUE!</v>
      </c>
      <c r="BE99" s="115" t="e">
        <f t="shared" si="153"/>
        <v>#VALUE!</v>
      </c>
      <c r="BF99" s="115" t="e">
        <f t="shared" si="153"/>
        <v>#VALUE!</v>
      </c>
      <c r="BG99" s="115" t="e">
        <f t="shared" si="153"/>
        <v>#VALUE!</v>
      </c>
      <c r="BH99" s="115" t="e">
        <f t="shared" si="153"/>
        <v>#VALUE!</v>
      </c>
      <c r="BI99" s="115" t="e">
        <f t="shared" si="153"/>
        <v>#VALUE!</v>
      </c>
      <c r="BJ99" s="115" t="e">
        <f t="shared" si="153"/>
        <v>#VALUE!</v>
      </c>
      <c r="BK99" s="115" t="e">
        <f t="shared" si="153"/>
        <v>#VALUE!</v>
      </c>
      <c r="BL99" s="115" t="e">
        <f t="shared" si="153"/>
        <v>#VALUE!</v>
      </c>
      <c r="BM99" s="115" t="e">
        <f t="shared" si="153"/>
        <v>#VALUE!</v>
      </c>
      <c r="BN99" s="115" t="e">
        <f t="shared" ref="BN99:BW101" si="154">IF($N99&lt;&gt;1,$G99*($N99^$K99)*(($N99^($K99*INT(BN$2/$K99))-1)/($N99^$K99-1)),$G99*INT(BN$2/$K99))</f>
        <v>#VALUE!</v>
      </c>
      <c r="BO99" s="115" t="e">
        <f t="shared" si="154"/>
        <v>#VALUE!</v>
      </c>
      <c r="BP99" s="115" t="e">
        <f t="shared" si="154"/>
        <v>#VALUE!</v>
      </c>
      <c r="BQ99" s="115" t="e">
        <f t="shared" si="154"/>
        <v>#VALUE!</v>
      </c>
      <c r="BR99" s="115" t="e">
        <f t="shared" si="154"/>
        <v>#VALUE!</v>
      </c>
      <c r="BS99" s="115" t="e">
        <f t="shared" si="154"/>
        <v>#VALUE!</v>
      </c>
      <c r="BT99" s="115" t="e">
        <f t="shared" si="154"/>
        <v>#VALUE!</v>
      </c>
      <c r="BU99" s="115" t="e">
        <f t="shared" si="154"/>
        <v>#VALUE!</v>
      </c>
      <c r="BV99" s="115" t="e">
        <f t="shared" si="154"/>
        <v>#VALUE!</v>
      </c>
      <c r="BW99" s="115" t="e">
        <f t="shared" si="154"/>
        <v>#VALUE!</v>
      </c>
      <c r="BX99" s="115" t="e">
        <f t="shared" ref="BX99:CG101" si="155">IF($N99&lt;&gt;1,$G99*($N99^$K99)*(($N99^($K99*INT(BX$2/$K99))-1)/($N99^$K99-1)),$G99*INT(BX$2/$K99))</f>
        <v>#VALUE!</v>
      </c>
      <c r="BY99" s="115" t="e">
        <f t="shared" si="155"/>
        <v>#VALUE!</v>
      </c>
      <c r="BZ99" s="115" t="e">
        <f t="shared" si="155"/>
        <v>#VALUE!</v>
      </c>
      <c r="CA99" s="115" t="e">
        <f t="shared" si="155"/>
        <v>#VALUE!</v>
      </c>
      <c r="CB99" s="115" t="e">
        <f t="shared" si="155"/>
        <v>#VALUE!</v>
      </c>
      <c r="CC99" s="115" t="e">
        <f t="shared" si="155"/>
        <v>#VALUE!</v>
      </c>
      <c r="CD99" s="115" t="e">
        <f t="shared" si="155"/>
        <v>#VALUE!</v>
      </c>
      <c r="CE99" s="115" t="e">
        <f t="shared" si="155"/>
        <v>#VALUE!</v>
      </c>
      <c r="CF99" s="115" t="e">
        <f t="shared" si="155"/>
        <v>#VALUE!</v>
      </c>
      <c r="CG99" s="115" t="e">
        <f t="shared" si="155"/>
        <v>#VALUE!</v>
      </c>
      <c r="CH99" s="115" t="e">
        <f t="shared" ref="CH99:CQ101" si="156">IF($N99&lt;&gt;1,$G99*($N99^$K99)*(($N99^($K99*INT(CH$2/$K99))-1)/($N99^$K99-1)),$G99*INT(CH$2/$K99))</f>
        <v>#VALUE!</v>
      </c>
      <c r="CI99" s="115" t="e">
        <f t="shared" si="156"/>
        <v>#VALUE!</v>
      </c>
      <c r="CJ99" s="115" t="e">
        <f t="shared" si="156"/>
        <v>#VALUE!</v>
      </c>
      <c r="CK99" s="115" t="e">
        <f t="shared" si="156"/>
        <v>#VALUE!</v>
      </c>
      <c r="CL99" s="115" t="e">
        <f t="shared" si="156"/>
        <v>#VALUE!</v>
      </c>
      <c r="CM99" s="115" t="e">
        <f t="shared" si="156"/>
        <v>#VALUE!</v>
      </c>
      <c r="CN99" s="115" t="e">
        <f t="shared" si="156"/>
        <v>#VALUE!</v>
      </c>
      <c r="CO99" s="115" t="e">
        <f t="shared" si="156"/>
        <v>#VALUE!</v>
      </c>
      <c r="CP99" s="115" t="e">
        <f t="shared" si="156"/>
        <v>#VALUE!</v>
      </c>
      <c r="CQ99" s="115" t="e">
        <f t="shared" si="156"/>
        <v>#VALUE!</v>
      </c>
      <c r="CR99" s="115" t="e">
        <f t="shared" ref="CR99:DA101" si="157">IF($N99&lt;&gt;1,$G99*($N99^$K99)*(($N99^($K99*INT(CR$2/$K99))-1)/($N99^$K99-1)),$G99*INT(CR$2/$K99))</f>
        <v>#VALUE!</v>
      </c>
      <c r="CS99" s="115" t="e">
        <f t="shared" si="157"/>
        <v>#VALUE!</v>
      </c>
      <c r="CT99" s="115" t="e">
        <f t="shared" si="157"/>
        <v>#VALUE!</v>
      </c>
      <c r="CU99" s="115" t="e">
        <f t="shared" si="157"/>
        <v>#VALUE!</v>
      </c>
      <c r="CV99" s="115" t="e">
        <f t="shared" si="157"/>
        <v>#VALUE!</v>
      </c>
      <c r="CW99" s="115" t="e">
        <f t="shared" si="157"/>
        <v>#VALUE!</v>
      </c>
      <c r="CX99" s="115" t="e">
        <f t="shared" si="157"/>
        <v>#VALUE!</v>
      </c>
      <c r="CY99" s="115" t="e">
        <f t="shared" si="157"/>
        <v>#VALUE!</v>
      </c>
      <c r="CZ99" s="115" t="e">
        <f t="shared" si="157"/>
        <v>#VALUE!</v>
      </c>
      <c r="DA99" s="115" t="e">
        <f t="shared" si="157"/>
        <v>#VALUE!</v>
      </c>
      <c r="DB99" s="115" t="e">
        <f t="shared" ref="DB99:DM101" si="158">IF($N99&lt;&gt;1,$G99*($N99^$K99)*(($N99^($K99*INT(DB$2/$K99))-1)/($N99^$K99-1)),$G99*INT(DB$2/$K99))</f>
        <v>#VALUE!</v>
      </c>
      <c r="DC99" s="115" t="e">
        <f t="shared" si="158"/>
        <v>#VALUE!</v>
      </c>
      <c r="DD99" s="115" t="e">
        <f t="shared" si="158"/>
        <v>#VALUE!</v>
      </c>
      <c r="DE99" s="115" t="e">
        <f t="shared" si="158"/>
        <v>#VALUE!</v>
      </c>
      <c r="DF99" s="115" t="e">
        <f t="shared" si="158"/>
        <v>#VALUE!</v>
      </c>
      <c r="DG99" s="115" t="e">
        <f t="shared" si="158"/>
        <v>#VALUE!</v>
      </c>
      <c r="DH99" s="115" t="e">
        <f t="shared" si="158"/>
        <v>#VALUE!</v>
      </c>
      <c r="DI99" s="115" t="e">
        <f t="shared" si="158"/>
        <v>#VALUE!</v>
      </c>
      <c r="DJ99" s="115" t="e">
        <f t="shared" si="158"/>
        <v>#VALUE!</v>
      </c>
      <c r="DK99" s="115" t="e">
        <f t="shared" si="158"/>
        <v>#VALUE!</v>
      </c>
      <c r="DL99" s="115" t="e">
        <f t="shared" si="158"/>
        <v>#VALUE!</v>
      </c>
      <c r="DM99" s="115" t="e">
        <f t="shared" si="158"/>
        <v>#VALUE!</v>
      </c>
    </row>
    <row r="100" spans="1:117" ht="15" customHeight="1" thickBot="1">
      <c r="A100" s="55">
        <v>9600</v>
      </c>
      <c r="B100" s="194" t="s">
        <v>728</v>
      </c>
      <c r="C100" s="194" t="s">
        <v>851</v>
      </c>
      <c r="D100" s="194" t="s">
        <v>330</v>
      </c>
      <c r="E100" s="194" t="s">
        <v>331</v>
      </c>
      <c r="F100" s="194" t="s">
        <v>1079</v>
      </c>
      <c r="G100" s="291" t="e">
        <f t="shared" si="148"/>
        <v>#VALUE!</v>
      </c>
      <c r="H100" s="292" t="e">
        <f>VLOOKUP("E2.B",Errichtungskosten,12,0) *VLOOKUP("GIF",Instandsetzung,5,0)/100*VLOOKUP("PFAKT",Instandsetzung,5,0)</f>
        <v>#VALUE!</v>
      </c>
      <c r="I100" s="168"/>
      <c r="J100" s="194" t="s">
        <v>850</v>
      </c>
      <c r="K100" s="385">
        <f>IF(ISNUMBER(VLOOKUP(E100,Nutzungsdauern,5,0)),VLOOKUP(E100,Nutzungsdauern,5,0),1000)</f>
        <v>1000</v>
      </c>
      <c r="L100" s="379" t="s">
        <v>356</v>
      </c>
      <c r="M100" s="325">
        <f>VLOOKUP(L100,Finanzielle_Parameter,5,0)</f>
        <v>2.77</v>
      </c>
      <c r="N100" s="380">
        <f>(1+VLOOKUP(L100,Finanzielle_Parameter,5,0)/100)/(1+VLOOKUP("R",Finanzielle_Parameter,5,0)/100)</f>
        <v>1.0105211406096364</v>
      </c>
      <c r="O100" s="381" t="e">
        <f t="shared" si="149"/>
        <v>#VALUE!</v>
      </c>
      <c r="P100" s="169" t="s">
        <v>103</v>
      </c>
      <c r="Q100" s="114" t="e">
        <f t="shared" si="149"/>
        <v>#VALUE!</v>
      </c>
      <c r="R100" s="115" t="e">
        <f t="shared" si="149"/>
        <v>#VALUE!</v>
      </c>
      <c r="S100" s="115" t="e">
        <f t="shared" si="149"/>
        <v>#VALUE!</v>
      </c>
      <c r="T100" s="115" t="e">
        <f t="shared" si="149"/>
        <v>#VALUE!</v>
      </c>
      <c r="U100" s="115" t="e">
        <f t="shared" si="149"/>
        <v>#VALUE!</v>
      </c>
      <c r="V100" s="115" t="e">
        <f t="shared" si="149"/>
        <v>#VALUE!</v>
      </c>
      <c r="W100" s="115" t="e">
        <f t="shared" si="149"/>
        <v>#VALUE!</v>
      </c>
      <c r="X100" s="115" t="e">
        <f t="shared" si="149"/>
        <v>#VALUE!</v>
      </c>
      <c r="Y100" s="115" t="e">
        <f t="shared" si="149"/>
        <v>#VALUE!</v>
      </c>
      <c r="Z100" s="115" t="e">
        <f t="shared" si="150"/>
        <v>#VALUE!</v>
      </c>
      <c r="AA100" s="115" t="e">
        <f t="shared" si="150"/>
        <v>#VALUE!</v>
      </c>
      <c r="AB100" s="115" t="e">
        <f t="shared" si="150"/>
        <v>#VALUE!</v>
      </c>
      <c r="AC100" s="115" t="e">
        <f t="shared" si="150"/>
        <v>#VALUE!</v>
      </c>
      <c r="AD100" s="115" t="e">
        <f t="shared" si="150"/>
        <v>#VALUE!</v>
      </c>
      <c r="AE100" s="115" t="e">
        <f t="shared" si="150"/>
        <v>#VALUE!</v>
      </c>
      <c r="AF100" s="115" t="e">
        <f t="shared" si="150"/>
        <v>#VALUE!</v>
      </c>
      <c r="AG100" s="115" t="e">
        <f t="shared" si="150"/>
        <v>#VALUE!</v>
      </c>
      <c r="AH100" s="115" t="e">
        <f t="shared" si="150"/>
        <v>#VALUE!</v>
      </c>
      <c r="AI100" s="115" t="e">
        <f t="shared" si="150"/>
        <v>#VALUE!</v>
      </c>
      <c r="AJ100" s="115" t="e">
        <f t="shared" si="151"/>
        <v>#VALUE!</v>
      </c>
      <c r="AK100" s="115" t="e">
        <f t="shared" si="151"/>
        <v>#VALUE!</v>
      </c>
      <c r="AL100" s="115" t="e">
        <f t="shared" si="151"/>
        <v>#VALUE!</v>
      </c>
      <c r="AM100" s="115" t="e">
        <f t="shared" si="151"/>
        <v>#VALUE!</v>
      </c>
      <c r="AN100" s="115" t="e">
        <f t="shared" si="151"/>
        <v>#VALUE!</v>
      </c>
      <c r="AO100" s="115" t="e">
        <f t="shared" si="151"/>
        <v>#VALUE!</v>
      </c>
      <c r="AP100" s="115" t="e">
        <f t="shared" si="151"/>
        <v>#VALUE!</v>
      </c>
      <c r="AQ100" s="115" t="e">
        <f t="shared" si="151"/>
        <v>#VALUE!</v>
      </c>
      <c r="AR100" s="115" t="e">
        <f t="shared" si="151"/>
        <v>#VALUE!</v>
      </c>
      <c r="AS100" s="115" t="e">
        <f t="shared" si="151"/>
        <v>#VALUE!</v>
      </c>
      <c r="AT100" s="115" t="e">
        <f t="shared" si="152"/>
        <v>#VALUE!</v>
      </c>
      <c r="AU100" s="115" t="e">
        <f t="shared" si="152"/>
        <v>#VALUE!</v>
      </c>
      <c r="AV100" s="115" t="e">
        <f t="shared" si="152"/>
        <v>#VALUE!</v>
      </c>
      <c r="AW100" s="115" t="e">
        <f t="shared" si="152"/>
        <v>#VALUE!</v>
      </c>
      <c r="AX100" s="115" t="e">
        <f t="shared" si="152"/>
        <v>#VALUE!</v>
      </c>
      <c r="AY100" s="115" t="e">
        <f t="shared" si="152"/>
        <v>#VALUE!</v>
      </c>
      <c r="AZ100" s="115" t="e">
        <f t="shared" si="152"/>
        <v>#VALUE!</v>
      </c>
      <c r="BA100" s="115" t="e">
        <f t="shared" si="152"/>
        <v>#VALUE!</v>
      </c>
      <c r="BB100" s="115" t="e">
        <f t="shared" si="152"/>
        <v>#VALUE!</v>
      </c>
      <c r="BC100" s="115" t="e">
        <f t="shared" si="152"/>
        <v>#VALUE!</v>
      </c>
      <c r="BD100" s="115" t="e">
        <f t="shared" si="153"/>
        <v>#VALUE!</v>
      </c>
      <c r="BE100" s="115" t="e">
        <f t="shared" si="153"/>
        <v>#VALUE!</v>
      </c>
      <c r="BF100" s="115" t="e">
        <f t="shared" si="153"/>
        <v>#VALUE!</v>
      </c>
      <c r="BG100" s="115" t="e">
        <f t="shared" si="153"/>
        <v>#VALUE!</v>
      </c>
      <c r="BH100" s="115" t="e">
        <f t="shared" si="153"/>
        <v>#VALUE!</v>
      </c>
      <c r="BI100" s="115" t="e">
        <f t="shared" si="153"/>
        <v>#VALUE!</v>
      </c>
      <c r="BJ100" s="115" t="e">
        <f t="shared" si="153"/>
        <v>#VALUE!</v>
      </c>
      <c r="BK100" s="115" t="e">
        <f t="shared" si="153"/>
        <v>#VALUE!</v>
      </c>
      <c r="BL100" s="115" t="e">
        <f t="shared" si="153"/>
        <v>#VALUE!</v>
      </c>
      <c r="BM100" s="115" t="e">
        <f t="shared" si="153"/>
        <v>#VALUE!</v>
      </c>
      <c r="BN100" s="115" t="e">
        <f t="shared" si="154"/>
        <v>#VALUE!</v>
      </c>
      <c r="BO100" s="115" t="e">
        <f t="shared" si="154"/>
        <v>#VALUE!</v>
      </c>
      <c r="BP100" s="115" t="e">
        <f t="shared" si="154"/>
        <v>#VALUE!</v>
      </c>
      <c r="BQ100" s="115" t="e">
        <f t="shared" si="154"/>
        <v>#VALUE!</v>
      </c>
      <c r="BR100" s="115" t="e">
        <f t="shared" si="154"/>
        <v>#VALUE!</v>
      </c>
      <c r="BS100" s="115" t="e">
        <f t="shared" si="154"/>
        <v>#VALUE!</v>
      </c>
      <c r="BT100" s="115" t="e">
        <f t="shared" si="154"/>
        <v>#VALUE!</v>
      </c>
      <c r="BU100" s="115" t="e">
        <f t="shared" si="154"/>
        <v>#VALUE!</v>
      </c>
      <c r="BV100" s="115" t="e">
        <f t="shared" si="154"/>
        <v>#VALUE!</v>
      </c>
      <c r="BW100" s="115" t="e">
        <f t="shared" si="154"/>
        <v>#VALUE!</v>
      </c>
      <c r="BX100" s="115" t="e">
        <f t="shared" si="155"/>
        <v>#VALUE!</v>
      </c>
      <c r="BY100" s="115" t="e">
        <f t="shared" si="155"/>
        <v>#VALUE!</v>
      </c>
      <c r="BZ100" s="115" t="e">
        <f t="shared" si="155"/>
        <v>#VALUE!</v>
      </c>
      <c r="CA100" s="115" t="e">
        <f t="shared" si="155"/>
        <v>#VALUE!</v>
      </c>
      <c r="CB100" s="115" t="e">
        <f t="shared" si="155"/>
        <v>#VALUE!</v>
      </c>
      <c r="CC100" s="115" t="e">
        <f t="shared" si="155"/>
        <v>#VALUE!</v>
      </c>
      <c r="CD100" s="115" t="e">
        <f t="shared" si="155"/>
        <v>#VALUE!</v>
      </c>
      <c r="CE100" s="115" t="e">
        <f t="shared" si="155"/>
        <v>#VALUE!</v>
      </c>
      <c r="CF100" s="115" t="e">
        <f t="shared" si="155"/>
        <v>#VALUE!</v>
      </c>
      <c r="CG100" s="115" t="e">
        <f t="shared" si="155"/>
        <v>#VALUE!</v>
      </c>
      <c r="CH100" s="115" t="e">
        <f t="shared" si="156"/>
        <v>#VALUE!</v>
      </c>
      <c r="CI100" s="115" t="e">
        <f t="shared" si="156"/>
        <v>#VALUE!</v>
      </c>
      <c r="CJ100" s="115" t="e">
        <f t="shared" si="156"/>
        <v>#VALUE!</v>
      </c>
      <c r="CK100" s="115" t="e">
        <f t="shared" si="156"/>
        <v>#VALUE!</v>
      </c>
      <c r="CL100" s="115" t="e">
        <f t="shared" si="156"/>
        <v>#VALUE!</v>
      </c>
      <c r="CM100" s="115" t="e">
        <f t="shared" si="156"/>
        <v>#VALUE!</v>
      </c>
      <c r="CN100" s="115" t="e">
        <f t="shared" si="156"/>
        <v>#VALUE!</v>
      </c>
      <c r="CO100" s="115" t="e">
        <f t="shared" si="156"/>
        <v>#VALUE!</v>
      </c>
      <c r="CP100" s="115" t="e">
        <f t="shared" si="156"/>
        <v>#VALUE!</v>
      </c>
      <c r="CQ100" s="115" t="e">
        <f t="shared" si="156"/>
        <v>#VALUE!</v>
      </c>
      <c r="CR100" s="115" t="e">
        <f t="shared" si="157"/>
        <v>#VALUE!</v>
      </c>
      <c r="CS100" s="115" t="e">
        <f t="shared" si="157"/>
        <v>#VALUE!</v>
      </c>
      <c r="CT100" s="115" t="e">
        <f t="shared" si="157"/>
        <v>#VALUE!</v>
      </c>
      <c r="CU100" s="115" t="e">
        <f t="shared" si="157"/>
        <v>#VALUE!</v>
      </c>
      <c r="CV100" s="115" t="e">
        <f t="shared" si="157"/>
        <v>#VALUE!</v>
      </c>
      <c r="CW100" s="115" t="e">
        <f t="shared" si="157"/>
        <v>#VALUE!</v>
      </c>
      <c r="CX100" s="115" t="e">
        <f t="shared" si="157"/>
        <v>#VALUE!</v>
      </c>
      <c r="CY100" s="115" t="e">
        <f t="shared" si="157"/>
        <v>#VALUE!</v>
      </c>
      <c r="CZ100" s="115" t="e">
        <f t="shared" si="157"/>
        <v>#VALUE!</v>
      </c>
      <c r="DA100" s="115" t="e">
        <f t="shared" si="157"/>
        <v>#VALUE!</v>
      </c>
      <c r="DB100" s="115" t="e">
        <f t="shared" si="158"/>
        <v>#VALUE!</v>
      </c>
      <c r="DC100" s="115" t="e">
        <f t="shared" si="158"/>
        <v>#VALUE!</v>
      </c>
      <c r="DD100" s="115" t="e">
        <f t="shared" si="158"/>
        <v>#VALUE!</v>
      </c>
      <c r="DE100" s="115" t="e">
        <f t="shared" si="158"/>
        <v>#VALUE!</v>
      </c>
      <c r="DF100" s="115" t="e">
        <f t="shared" si="158"/>
        <v>#VALUE!</v>
      </c>
      <c r="DG100" s="115" t="e">
        <f t="shared" si="158"/>
        <v>#VALUE!</v>
      </c>
      <c r="DH100" s="115" t="e">
        <f t="shared" si="158"/>
        <v>#VALUE!</v>
      </c>
      <c r="DI100" s="115" t="e">
        <f t="shared" si="158"/>
        <v>#VALUE!</v>
      </c>
      <c r="DJ100" s="115" t="e">
        <f t="shared" si="158"/>
        <v>#VALUE!</v>
      </c>
      <c r="DK100" s="115" t="e">
        <f t="shared" si="158"/>
        <v>#VALUE!</v>
      </c>
      <c r="DL100" s="115" t="e">
        <f t="shared" si="158"/>
        <v>#VALUE!</v>
      </c>
      <c r="DM100" s="115" t="e">
        <f t="shared" si="158"/>
        <v>#VALUE!</v>
      </c>
    </row>
    <row r="101" spans="1:117" ht="15" customHeight="1" thickBot="1">
      <c r="A101" s="55">
        <v>9700</v>
      </c>
      <c r="B101" s="194" t="s">
        <v>728</v>
      </c>
      <c r="C101" s="194" t="s">
        <v>852</v>
      </c>
      <c r="D101" s="194" t="s">
        <v>327</v>
      </c>
      <c r="E101" s="194" t="s">
        <v>328</v>
      </c>
      <c r="F101" s="194" t="s">
        <v>1080</v>
      </c>
      <c r="G101" s="291" t="e">
        <f t="shared" si="148"/>
        <v>#VALUE!</v>
      </c>
      <c r="H101" s="292" t="e">
        <f>VLOOKUP("E2.C",Errichtungskosten,12,0) *VLOOKUP("GIF",Instandsetzung,5,0)/100*VLOOKUP("PFAKT",Instandsetzung,5,0)</f>
        <v>#VALUE!</v>
      </c>
      <c r="I101" s="168"/>
      <c r="J101" s="194" t="s">
        <v>850</v>
      </c>
      <c r="K101" s="385">
        <f>IF(ISNUMBER(VLOOKUP(E101,Nutzungsdauern,5,0)),VLOOKUP(E101,Nutzungsdauern,5,0),1000)</f>
        <v>100</v>
      </c>
      <c r="L101" s="379" t="s">
        <v>356</v>
      </c>
      <c r="M101" s="325">
        <f>VLOOKUP(L101,Finanzielle_Parameter,5,0)</f>
        <v>2.77</v>
      </c>
      <c r="N101" s="380">
        <f>(1+VLOOKUP(L101,Finanzielle_Parameter,5,0)/100)/(1+VLOOKUP("R",Finanzielle_Parameter,5,0)/100)</f>
        <v>1.0105211406096364</v>
      </c>
      <c r="O101" s="381" t="e">
        <f t="shared" si="149"/>
        <v>#VALUE!</v>
      </c>
      <c r="P101" s="169" t="s">
        <v>103</v>
      </c>
      <c r="Q101" s="114" t="e">
        <f t="shared" si="149"/>
        <v>#VALUE!</v>
      </c>
      <c r="R101" s="115" t="e">
        <f t="shared" si="149"/>
        <v>#VALUE!</v>
      </c>
      <c r="S101" s="115" t="e">
        <f t="shared" si="149"/>
        <v>#VALUE!</v>
      </c>
      <c r="T101" s="115" t="e">
        <f t="shared" si="149"/>
        <v>#VALUE!</v>
      </c>
      <c r="U101" s="115" t="e">
        <f t="shared" si="149"/>
        <v>#VALUE!</v>
      </c>
      <c r="V101" s="115" t="e">
        <f t="shared" si="149"/>
        <v>#VALUE!</v>
      </c>
      <c r="W101" s="115" t="e">
        <f t="shared" si="149"/>
        <v>#VALUE!</v>
      </c>
      <c r="X101" s="115" t="e">
        <f t="shared" si="149"/>
        <v>#VALUE!</v>
      </c>
      <c r="Y101" s="115" t="e">
        <f t="shared" si="149"/>
        <v>#VALUE!</v>
      </c>
      <c r="Z101" s="115" t="e">
        <f t="shared" si="150"/>
        <v>#VALUE!</v>
      </c>
      <c r="AA101" s="115" t="e">
        <f t="shared" si="150"/>
        <v>#VALUE!</v>
      </c>
      <c r="AB101" s="115" t="e">
        <f t="shared" si="150"/>
        <v>#VALUE!</v>
      </c>
      <c r="AC101" s="115" t="e">
        <f t="shared" si="150"/>
        <v>#VALUE!</v>
      </c>
      <c r="AD101" s="115" t="e">
        <f t="shared" si="150"/>
        <v>#VALUE!</v>
      </c>
      <c r="AE101" s="115" t="e">
        <f t="shared" si="150"/>
        <v>#VALUE!</v>
      </c>
      <c r="AF101" s="115" t="e">
        <f t="shared" si="150"/>
        <v>#VALUE!</v>
      </c>
      <c r="AG101" s="115" t="e">
        <f t="shared" si="150"/>
        <v>#VALUE!</v>
      </c>
      <c r="AH101" s="115" t="e">
        <f t="shared" si="150"/>
        <v>#VALUE!</v>
      </c>
      <c r="AI101" s="115" t="e">
        <f t="shared" si="150"/>
        <v>#VALUE!</v>
      </c>
      <c r="AJ101" s="115" t="e">
        <f t="shared" si="151"/>
        <v>#VALUE!</v>
      </c>
      <c r="AK101" s="115" t="e">
        <f t="shared" si="151"/>
        <v>#VALUE!</v>
      </c>
      <c r="AL101" s="115" t="e">
        <f t="shared" si="151"/>
        <v>#VALUE!</v>
      </c>
      <c r="AM101" s="115" t="e">
        <f t="shared" si="151"/>
        <v>#VALUE!</v>
      </c>
      <c r="AN101" s="115" t="e">
        <f t="shared" si="151"/>
        <v>#VALUE!</v>
      </c>
      <c r="AO101" s="115" t="e">
        <f t="shared" si="151"/>
        <v>#VALUE!</v>
      </c>
      <c r="AP101" s="115" t="e">
        <f t="shared" si="151"/>
        <v>#VALUE!</v>
      </c>
      <c r="AQ101" s="115" t="e">
        <f t="shared" si="151"/>
        <v>#VALUE!</v>
      </c>
      <c r="AR101" s="115" t="e">
        <f t="shared" si="151"/>
        <v>#VALUE!</v>
      </c>
      <c r="AS101" s="115" t="e">
        <f t="shared" si="151"/>
        <v>#VALUE!</v>
      </c>
      <c r="AT101" s="115" t="e">
        <f t="shared" si="152"/>
        <v>#VALUE!</v>
      </c>
      <c r="AU101" s="115" t="e">
        <f t="shared" si="152"/>
        <v>#VALUE!</v>
      </c>
      <c r="AV101" s="115" t="e">
        <f t="shared" si="152"/>
        <v>#VALUE!</v>
      </c>
      <c r="AW101" s="115" t="e">
        <f t="shared" si="152"/>
        <v>#VALUE!</v>
      </c>
      <c r="AX101" s="115" t="e">
        <f t="shared" si="152"/>
        <v>#VALUE!</v>
      </c>
      <c r="AY101" s="115" t="e">
        <f t="shared" si="152"/>
        <v>#VALUE!</v>
      </c>
      <c r="AZ101" s="115" t="e">
        <f t="shared" si="152"/>
        <v>#VALUE!</v>
      </c>
      <c r="BA101" s="115" t="e">
        <f t="shared" si="152"/>
        <v>#VALUE!</v>
      </c>
      <c r="BB101" s="115" t="e">
        <f t="shared" si="152"/>
        <v>#VALUE!</v>
      </c>
      <c r="BC101" s="115" t="e">
        <f t="shared" si="152"/>
        <v>#VALUE!</v>
      </c>
      <c r="BD101" s="115" t="e">
        <f t="shared" si="153"/>
        <v>#VALUE!</v>
      </c>
      <c r="BE101" s="115" t="e">
        <f t="shared" si="153"/>
        <v>#VALUE!</v>
      </c>
      <c r="BF101" s="115" t="e">
        <f t="shared" si="153"/>
        <v>#VALUE!</v>
      </c>
      <c r="BG101" s="115" t="e">
        <f t="shared" si="153"/>
        <v>#VALUE!</v>
      </c>
      <c r="BH101" s="115" t="e">
        <f t="shared" si="153"/>
        <v>#VALUE!</v>
      </c>
      <c r="BI101" s="115" t="e">
        <f t="shared" si="153"/>
        <v>#VALUE!</v>
      </c>
      <c r="BJ101" s="115" t="e">
        <f t="shared" si="153"/>
        <v>#VALUE!</v>
      </c>
      <c r="BK101" s="115" t="e">
        <f t="shared" si="153"/>
        <v>#VALUE!</v>
      </c>
      <c r="BL101" s="115" t="e">
        <f t="shared" si="153"/>
        <v>#VALUE!</v>
      </c>
      <c r="BM101" s="115" t="e">
        <f t="shared" si="153"/>
        <v>#VALUE!</v>
      </c>
      <c r="BN101" s="115" t="e">
        <f t="shared" si="154"/>
        <v>#VALUE!</v>
      </c>
      <c r="BO101" s="115" t="e">
        <f t="shared" si="154"/>
        <v>#VALUE!</v>
      </c>
      <c r="BP101" s="115" t="e">
        <f t="shared" si="154"/>
        <v>#VALUE!</v>
      </c>
      <c r="BQ101" s="115" t="e">
        <f t="shared" si="154"/>
        <v>#VALUE!</v>
      </c>
      <c r="BR101" s="115" t="e">
        <f t="shared" si="154"/>
        <v>#VALUE!</v>
      </c>
      <c r="BS101" s="115" t="e">
        <f t="shared" si="154"/>
        <v>#VALUE!</v>
      </c>
      <c r="BT101" s="115" t="e">
        <f t="shared" si="154"/>
        <v>#VALUE!</v>
      </c>
      <c r="BU101" s="115" t="e">
        <f t="shared" si="154"/>
        <v>#VALUE!</v>
      </c>
      <c r="BV101" s="115" t="e">
        <f t="shared" si="154"/>
        <v>#VALUE!</v>
      </c>
      <c r="BW101" s="115" t="e">
        <f t="shared" si="154"/>
        <v>#VALUE!</v>
      </c>
      <c r="BX101" s="115" t="e">
        <f t="shared" si="155"/>
        <v>#VALUE!</v>
      </c>
      <c r="BY101" s="115" t="e">
        <f t="shared" si="155"/>
        <v>#VALUE!</v>
      </c>
      <c r="BZ101" s="115" t="e">
        <f t="shared" si="155"/>
        <v>#VALUE!</v>
      </c>
      <c r="CA101" s="115" t="e">
        <f t="shared" si="155"/>
        <v>#VALUE!</v>
      </c>
      <c r="CB101" s="115" t="e">
        <f t="shared" si="155"/>
        <v>#VALUE!</v>
      </c>
      <c r="CC101" s="115" t="e">
        <f t="shared" si="155"/>
        <v>#VALUE!</v>
      </c>
      <c r="CD101" s="115" t="e">
        <f t="shared" si="155"/>
        <v>#VALUE!</v>
      </c>
      <c r="CE101" s="115" t="e">
        <f t="shared" si="155"/>
        <v>#VALUE!</v>
      </c>
      <c r="CF101" s="115" t="e">
        <f t="shared" si="155"/>
        <v>#VALUE!</v>
      </c>
      <c r="CG101" s="115" t="e">
        <f t="shared" si="155"/>
        <v>#VALUE!</v>
      </c>
      <c r="CH101" s="115" t="e">
        <f t="shared" si="156"/>
        <v>#VALUE!</v>
      </c>
      <c r="CI101" s="115" t="e">
        <f t="shared" si="156"/>
        <v>#VALUE!</v>
      </c>
      <c r="CJ101" s="115" t="e">
        <f t="shared" si="156"/>
        <v>#VALUE!</v>
      </c>
      <c r="CK101" s="115" t="e">
        <f t="shared" si="156"/>
        <v>#VALUE!</v>
      </c>
      <c r="CL101" s="115" t="e">
        <f t="shared" si="156"/>
        <v>#VALUE!</v>
      </c>
      <c r="CM101" s="115" t="e">
        <f t="shared" si="156"/>
        <v>#VALUE!</v>
      </c>
      <c r="CN101" s="115" t="e">
        <f t="shared" si="156"/>
        <v>#VALUE!</v>
      </c>
      <c r="CO101" s="115" t="e">
        <f t="shared" si="156"/>
        <v>#VALUE!</v>
      </c>
      <c r="CP101" s="115" t="e">
        <f t="shared" si="156"/>
        <v>#VALUE!</v>
      </c>
      <c r="CQ101" s="115" t="e">
        <f t="shared" si="156"/>
        <v>#VALUE!</v>
      </c>
      <c r="CR101" s="115" t="e">
        <f t="shared" si="157"/>
        <v>#VALUE!</v>
      </c>
      <c r="CS101" s="115" t="e">
        <f t="shared" si="157"/>
        <v>#VALUE!</v>
      </c>
      <c r="CT101" s="115" t="e">
        <f t="shared" si="157"/>
        <v>#VALUE!</v>
      </c>
      <c r="CU101" s="115" t="e">
        <f t="shared" si="157"/>
        <v>#VALUE!</v>
      </c>
      <c r="CV101" s="115" t="e">
        <f t="shared" si="157"/>
        <v>#VALUE!</v>
      </c>
      <c r="CW101" s="115" t="e">
        <f t="shared" si="157"/>
        <v>#VALUE!</v>
      </c>
      <c r="CX101" s="115" t="e">
        <f t="shared" si="157"/>
        <v>#VALUE!</v>
      </c>
      <c r="CY101" s="115" t="e">
        <f t="shared" si="157"/>
        <v>#VALUE!</v>
      </c>
      <c r="CZ101" s="115" t="e">
        <f t="shared" si="157"/>
        <v>#VALUE!</v>
      </c>
      <c r="DA101" s="115" t="e">
        <f t="shared" si="157"/>
        <v>#VALUE!</v>
      </c>
      <c r="DB101" s="115" t="e">
        <f t="shared" si="158"/>
        <v>#VALUE!</v>
      </c>
      <c r="DC101" s="115" t="e">
        <f t="shared" si="158"/>
        <v>#VALUE!</v>
      </c>
      <c r="DD101" s="115" t="e">
        <f t="shared" si="158"/>
        <v>#VALUE!</v>
      </c>
      <c r="DE101" s="115" t="e">
        <f t="shared" si="158"/>
        <v>#VALUE!</v>
      </c>
      <c r="DF101" s="115" t="e">
        <f t="shared" si="158"/>
        <v>#VALUE!</v>
      </c>
      <c r="DG101" s="115" t="e">
        <f t="shared" si="158"/>
        <v>#VALUE!</v>
      </c>
      <c r="DH101" s="115" t="e">
        <f t="shared" si="158"/>
        <v>#VALUE!</v>
      </c>
      <c r="DI101" s="115" t="e">
        <f t="shared" si="158"/>
        <v>#VALUE!</v>
      </c>
      <c r="DJ101" s="115" t="e">
        <f t="shared" si="158"/>
        <v>#VALUE!</v>
      </c>
      <c r="DK101" s="115" t="e">
        <f t="shared" si="158"/>
        <v>#VALUE!</v>
      </c>
      <c r="DL101" s="115" t="e">
        <f t="shared" si="158"/>
        <v>#VALUE!</v>
      </c>
      <c r="DM101" s="115" t="e">
        <f t="shared" si="158"/>
        <v>#VALUE!</v>
      </c>
    </row>
    <row r="102" spans="1:117" ht="15" customHeight="1" thickBot="1">
      <c r="A102" s="293">
        <v>9800</v>
      </c>
      <c r="B102" s="172" t="s">
        <v>743</v>
      </c>
      <c r="C102" s="172" t="s">
        <v>853</v>
      </c>
      <c r="D102" s="172" t="s">
        <v>324</v>
      </c>
      <c r="E102" s="172"/>
      <c r="F102" s="172" t="s">
        <v>117</v>
      </c>
      <c r="G102" s="171"/>
      <c r="H102" s="171"/>
      <c r="I102" s="373"/>
      <c r="J102" s="172"/>
      <c r="K102" s="386"/>
      <c r="L102" s="172"/>
      <c r="M102" s="373"/>
      <c r="N102" s="293"/>
      <c r="O102" s="376" t="e">
        <f>SUM(O103:O104,O106:O107)</f>
        <v>#VALUE!</v>
      </c>
      <c r="P102" s="377" t="s">
        <v>103</v>
      </c>
      <c r="Q102" s="116"/>
      <c r="R102" s="116"/>
      <c r="S102" s="116"/>
      <c r="T102" s="116"/>
      <c r="U102" s="116"/>
      <c r="V102" s="116"/>
      <c r="W102" s="116"/>
      <c r="X102" s="116"/>
      <c r="Y102" s="116"/>
      <c r="Z102" s="116"/>
      <c r="AA102" s="116"/>
      <c r="AB102" s="116"/>
      <c r="AC102" s="116"/>
      <c r="AD102" s="116"/>
      <c r="AE102" s="116"/>
      <c r="AF102" s="116"/>
      <c r="AG102" s="116"/>
      <c r="AH102" s="116"/>
      <c r="AI102" s="116"/>
      <c r="AJ102" s="116"/>
      <c r="AK102" s="116"/>
      <c r="AL102" s="116"/>
      <c r="AM102" s="116"/>
      <c r="AN102" s="116"/>
      <c r="AO102" s="116"/>
      <c r="AP102" s="116"/>
      <c r="AQ102" s="116"/>
      <c r="AR102" s="116"/>
      <c r="AS102" s="116"/>
      <c r="AT102" s="116"/>
      <c r="AU102" s="116"/>
      <c r="AV102" s="116"/>
      <c r="AW102" s="116"/>
      <c r="AX102" s="116"/>
      <c r="AY102" s="116"/>
      <c r="AZ102" s="116"/>
      <c r="BA102" s="116"/>
      <c r="BB102" s="116"/>
      <c r="BC102" s="116"/>
      <c r="BD102" s="116"/>
      <c r="BE102" s="116"/>
      <c r="BF102" s="116"/>
      <c r="BG102" s="116"/>
      <c r="BH102" s="116"/>
      <c r="BI102" s="116"/>
      <c r="BJ102" s="116"/>
      <c r="BK102" s="116"/>
      <c r="BL102" s="116"/>
      <c r="BM102" s="116"/>
      <c r="BN102" s="116"/>
      <c r="BO102" s="116"/>
      <c r="BP102" s="116"/>
      <c r="BQ102" s="116"/>
      <c r="BR102" s="116"/>
      <c r="BS102" s="116"/>
      <c r="BT102" s="116"/>
      <c r="BU102" s="116"/>
      <c r="BV102" s="116"/>
      <c r="BW102" s="116"/>
      <c r="BX102" s="116"/>
      <c r="BY102" s="116"/>
      <c r="BZ102" s="116"/>
      <c r="CA102" s="116"/>
      <c r="CB102" s="116"/>
      <c r="CC102" s="116"/>
      <c r="CD102" s="116"/>
      <c r="CE102" s="116"/>
      <c r="CF102" s="116"/>
      <c r="CG102" s="116"/>
      <c r="CH102" s="116"/>
      <c r="CI102" s="116"/>
      <c r="CJ102" s="116"/>
      <c r="CK102" s="116"/>
      <c r="CL102" s="116"/>
      <c r="CM102" s="116"/>
      <c r="CN102" s="116"/>
      <c r="CO102" s="116"/>
      <c r="CP102" s="116"/>
      <c r="CQ102" s="116"/>
      <c r="CR102" s="116"/>
      <c r="CS102" s="116"/>
      <c r="CT102" s="116"/>
      <c r="CU102" s="116"/>
      <c r="CV102" s="116"/>
      <c r="CW102" s="116"/>
      <c r="CX102" s="116"/>
      <c r="CY102" s="116"/>
      <c r="CZ102" s="116"/>
      <c r="DA102" s="116"/>
      <c r="DB102" s="116"/>
      <c r="DC102" s="116"/>
      <c r="DD102" s="116"/>
      <c r="DE102" s="116"/>
      <c r="DF102" s="116"/>
      <c r="DG102" s="116"/>
      <c r="DH102" s="116"/>
      <c r="DI102" s="116"/>
      <c r="DJ102" s="116"/>
      <c r="DK102" s="116"/>
      <c r="DL102" s="116"/>
      <c r="DM102" s="116"/>
    </row>
    <row r="103" spans="1:117" ht="15" customHeight="1" thickBot="1">
      <c r="A103" s="55">
        <v>9900</v>
      </c>
      <c r="B103" s="194" t="s">
        <v>728</v>
      </c>
      <c r="C103" s="194" t="s">
        <v>854</v>
      </c>
      <c r="D103" s="194" t="s">
        <v>322</v>
      </c>
      <c r="E103" s="194" t="s">
        <v>323</v>
      </c>
      <c r="F103" s="194" t="s">
        <v>1081</v>
      </c>
      <c r="G103" s="291" t="e">
        <f t="shared" ref="G103:G107" si="159">IF(I103="",H103,I103)</f>
        <v>#VALUE!</v>
      </c>
      <c r="H103" s="292" t="e">
        <f>VLOOKUP("E2.D.01",Errichtungskosten,12,0)*VLOOKUP("GIF",Instandsetzung,5,0)/100*VLOOKUP("PFAKT",Instandsetzung,5,0)</f>
        <v>#VALUE!</v>
      </c>
      <c r="I103" s="168"/>
      <c r="J103" s="194" t="s">
        <v>850</v>
      </c>
      <c r="K103" s="385">
        <f>IF(ISNUMBER(VLOOKUP(E103,Nutzungsdauern,5,0)),VLOOKUP(E103,Nutzungsdauern,5,0),1000)</f>
        <v>100</v>
      </c>
      <c r="L103" s="379" t="s">
        <v>356</v>
      </c>
      <c r="M103" s="325">
        <f>VLOOKUP(L103,Finanzielle_Parameter,5,0)</f>
        <v>2.77</v>
      </c>
      <c r="N103" s="380">
        <f>(1+VLOOKUP(L103,Finanzielle_Parameter,5,0)/100)/(1+VLOOKUP("R",Finanzielle_Parameter,5,0)/100)</f>
        <v>1.0105211406096364</v>
      </c>
      <c r="O103" s="381" t="e">
        <f t="shared" ref="O103:Y104" si="160">IF($N103&lt;&gt;1,$G103*($N103^$K103)*(($N103^($K103*INT(O$2/$K103))-1)/($N103^$K103-1)),$G103*INT(O$2/$K103))</f>
        <v>#VALUE!</v>
      </c>
      <c r="P103" s="169" t="s">
        <v>103</v>
      </c>
      <c r="Q103" s="114" t="e">
        <f t="shared" si="160"/>
        <v>#VALUE!</v>
      </c>
      <c r="R103" s="115" t="e">
        <f t="shared" si="160"/>
        <v>#VALUE!</v>
      </c>
      <c r="S103" s="115" t="e">
        <f t="shared" si="160"/>
        <v>#VALUE!</v>
      </c>
      <c r="T103" s="115" t="e">
        <f t="shared" si="160"/>
        <v>#VALUE!</v>
      </c>
      <c r="U103" s="115" t="e">
        <f t="shared" si="160"/>
        <v>#VALUE!</v>
      </c>
      <c r="V103" s="115" t="e">
        <f t="shared" si="160"/>
        <v>#VALUE!</v>
      </c>
      <c r="W103" s="115" t="e">
        <f t="shared" si="160"/>
        <v>#VALUE!</v>
      </c>
      <c r="X103" s="115" t="e">
        <f t="shared" si="160"/>
        <v>#VALUE!</v>
      </c>
      <c r="Y103" s="115" t="e">
        <f t="shared" si="160"/>
        <v>#VALUE!</v>
      </c>
      <c r="Z103" s="115" t="e">
        <f t="shared" ref="Z103:AI104" si="161">IF($N103&lt;&gt;1,$G103*($N103^$K103)*(($N103^($K103*INT(Z$2/$K103))-1)/($N103^$K103-1)),$G103*INT(Z$2/$K103))</f>
        <v>#VALUE!</v>
      </c>
      <c r="AA103" s="115" t="e">
        <f t="shared" si="161"/>
        <v>#VALUE!</v>
      </c>
      <c r="AB103" s="115" t="e">
        <f t="shared" si="161"/>
        <v>#VALUE!</v>
      </c>
      <c r="AC103" s="115" t="e">
        <f t="shared" si="161"/>
        <v>#VALUE!</v>
      </c>
      <c r="AD103" s="115" t="e">
        <f t="shared" si="161"/>
        <v>#VALUE!</v>
      </c>
      <c r="AE103" s="115" t="e">
        <f t="shared" si="161"/>
        <v>#VALUE!</v>
      </c>
      <c r="AF103" s="115" t="e">
        <f t="shared" si="161"/>
        <v>#VALUE!</v>
      </c>
      <c r="AG103" s="115" t="e">
        <f t="shared" si="161"/>
        <v>#VALUE!</v>
      </c>
      <c r="AH103" s="115" t="e">
        <f t="shared" si="161"/>
        <v>#VALUE!</v>
      </c>
      <c r="AI103" s="115" t="e">
        <f t="shared" si="161"/>
        <v>#VALUE!</v>
      </c>
      <c r="AJ103" s="115" t="e">
        <f t="shared" ref="AJ103:AS104" si="162">IF($N103&lt;&gt;1,$G103*($N103^$K103)*(($N103^($K103*INT(AJ$2/$K103))-1)/($N103^$K103-1)),$G103*INT(AJ$2/$K103))</f>
        <v>#VALUE!</v>
      </c>
      <c r="AK103" s="115" t="e">
        <f t="shared" si="162"/>
        <v>#VALUE!</v>
      </c>
      <c r="AL103" s="115" t="e">
        <f t="shared" si="162"/>
        <v>#VALUE!</v>
      </c>
      <c r="AM103" s="115" t="e">
        <f t="shared" si="162"/>
        <v>#VALUE!</v>
      </c>
      <c r="AN103" s="115" t="e">
        <f t="shared" si="162"/>
        <v>#VALUE!</v>
      </c>
      <c r="AO103" s="115" t="e">
        <f t="shared" si="162"/>
        <v>#VALUE!</v>
      </c>
      <c r="AP103" s="115" t="e">
        <f t="shared" si="162"/>
        <v>#VALUE!</v>
      </c>
      <c r="AQ103" s="115" t="e">
        <f t="shared" si="162"/>
        <v>#VALUE!</v>
      </c>
      <c r="AR103" s="115" t="e">
        <f t="shared" si="162"/>
        <v>#VALUE!</v>
      </c>
      <c r="AS103" s="115" t="e">
        <f t="shared" si="162"/>
        <v>#VALUE!</v>
      </c>
      <c r="AT103" s="115" t="e">
        <f t="shared" ref="AT103:BC104" si="163">IF($N103&lt;&gt;1,$G103*($N103^$K103)*(($N103^($K103*INT(AT$2/$K103))-1)/($N103^$K103-1)),$G103*INT(AT$2/$K103))</f>
        <v>#VALUE!</v>
      </c>
      <c r="AU103" s="115" t="e">
        <f t="shared" si="163"/>
        <v>#VALUE!</v>
      </c>
      <c r="AV103" s="115" t="e">
        <f t="shared" si="163"/>
        <v>#VALUE!</v>
      </c>
      <c r="AW103" s="115" t="e">
        <f t="shared" si="163"/>
        <v>#VALUE!</v>
      </c>
      <c r="AX103" s="115" t="e">
        <f t="shared" si="163"/>
        <v>#VALUE!</v>
      </c>
      <c r="AY103" s="115" t="e">
        <f t="shared" si="163"/>
        <v>#VALUE!</v>
      </c>
      <c r="AZ103" s="115" t="e">
        <f t="shared" si="163"/>
        <v>#VALUE!</v>
      </c>
      <c r="BA103" s="115" t="e">
        <f t="shared" si="163"/>
        <v>#VALUE!</v>
      </c>
      <c r="BB103" s="115" t="e">
        <f t="shared" si="163"/>
        <v>#VALUE!</v>
      </c>
      <c r="BC103" s="115" t="e">
        <f t="shared" si="163"/>
        <v>#VALUE!</v>
      </c>
      <c r="BD103" s="115" t="e">
        <f t="shared" ref="BD103:BM104" si="164">IF($N103&lt;&gt;1,$G103*($N103^$K103)*(($N103^($K103*INT(BD$2/$K103))-1)/($N103^$K103-1)),$G103*INT(BD$2/$K103))</f>
        <v>#VALUE!</v>
      </c>
      <c r="BE103" s="115" t="e">
        <f t="shared" si="164"/>
        <v>#VALUE!</v>
      </c>
      <c r="BF103" s="115" t="e">
        <f t="shared" si="164"/>
        <v>#VALUE!</v>
      </c>
      <c r="BG103" s="115" t="e">
        <f t="shared" si="164"/>
        <v>#VALUE!</v>
      </c>
      <c r="BH103" s="115" t="e">
        <f t="shared" si="164"/>
        <v>#VALUE!</v>
      </c>
      <c r="BI103" s="115" t="e">
        <f t="shared" si="164"/>
        <v>#VALUE!</v>
      </c>
      <c r="BJ103" s="115" t="e">
        <f t="shared" si="164"/>
        <v>#VALUE!</v>
      </c>
      <c r="BK103" s="115" t="e">
        <f t="shared" si="164"/>
        <v>#VALUE!</v>
      </c>
      <c r="BL103" s="115" t="e">
        <f t="shared" si="164"/>
        <v>#VALUE!</v>
      </c>
      <c r="BM103" s="115" t="e">
        <f t="shared" si="164"/>
        <v>#VALUE!</v>
      </c>
      <c r="BN103" s="115" t="e">
        <f t="shared" ref="BN103:BW104" si="165">IF($N103&lt;&gt;1,$G103*($N103^$K103)*(($N103^($K103*INT(BN$2/$K103))-1)/($N103^$K103-1)),$G103*INT(BN$2/$K103))</f>
        <v>#VALUE!</v>
      </c>
      <c r="BO103" s="115" t="e">
        <f t="shared" si="165"/>
        <v>#VALUE!</v>
      </c>
      <c r="BP103" s="115" t="e">
        <f t="shared" si="165"/>
        <v>#VALUE!</v>
      </c>
      <c r="BQ103" s="115" t="e">
        <f t="shared" si="165"/>
        <v>#VALUE!</v>
      </c>
      <c r="BR103" s="115" t="e">
        <f t="shared" si="165"/>
        <v>#VALUE!</v>
      </c>
      <c r="BS103" s="115" t="e">
        <f t="shared" si="165"/>
        <v>#VALUE!</v>
      </c>
      <c r="BT103" s="115" t="e">
        <f t="shared" si="165"/>
        <v>#VALUE!</v>
      </c>
      <c r="BU103" s="115" t="e">
        <f t="shared" si="165"/>
        <v>#VALUE!</v>
      </c>
      <c r="BV103" s="115" t="e">
        <f t="shared" si="165"/>
        <v>#VALUE!</v>
      </c>
      <c r="BW103" s="115" t="e">
        <f t="shared" si="165"/>
        <v>#VALUE!</v>
      </c>
      <c r="BX103" s="115" t="e">
        <f t="shared" ref="BX103:CG104" si="166">IF($N103&lt;&gt;1,$G103*($N103^$K103)*(($N103^($K103*INT(BX$2/$K103))-1)/($N103^$K103-1)),$G103*INT(BX$2/$K103))</f>
        <v>#VALUE!</v>
      </c>
      <c r="BY103" s="115" t="e">
        <f t="shared" si="166"/>
        <v>#VALUE!</v>
      </c>
      <c r="BZ103" s="115" t="e">
        <f t="shared" si="166"/>
        <v>#VALUE!</v>
      </c>
      <c r="CA103" s="115" t="e">
        <f t="shared" si="166"/>
        <v>#VALUE!</v>
      </c>
      <c r="CB103" s="115" t="e">
        <f t="shared" si="166"/>
        <v>#VALUE!</v>
      </c>
      <c r="CC103" s="115" t="e">
        <f t="shared" si="166"/>
        <v>#VALUE!</v>
      </c>
      <c r="CD103" s="115" t="e">
        <f t="shared" si="166"/>
        <v>#VALUE!</v>
      </c>
      <c r="CE103" s="115" t="e">
        <f t="shared" si="166"/>
        <v>#VALUE!</v>
      </c>
      <c r="CF103" s="115" t="e">
        <f t="shared" si="166"/>
        <v>#VALUE!</v>
      </c>
      <c r="CG103" s="115" t="e">
        <f t="shared" si="166"/>
        <v>#VALUE!</v>
      </c>
      <c r="CH103" s="115" t="e">
        <f t="shared" ref="CH103:CQ104" si="167">IF($N103&lt;&gt;1,$G103*($N103^$K103)*(($N103^($K103*INT(CH$2/$K103))-1)/($N103^$K103-1)),$G103*INT(CH$2/$K103))</f>
        <v>#VALUE!</v>
      </c>
      <c r="CI103" s="115" t="e">
        <f t="shared" si="167"/>
        <v>#VALUE!</v>
      </c>
      <c r="CJ103" s="115" t="e">
        <f t="shared" si="167"/>
        <v>#VALUE!</v>
      </c>
      <c r="CK103" s="115" t="e">
        <f t="shared" si="167"/>
        <v>#VALUE!</v>
      </c>
      <c r="CL103" s="115" t="e">
        <f t="shared" si="167"/>
        <v>#VALUE!</v>
      </c>
      <c r="CM103" s="115" t="e">
        <f t="shared" si="167"/>
        <v>#VALUE!</v>
      </c>
      <c r="CN103" s="115" t="e">
        <f t="shared" si="167"/>
        <v>#VALUE!</v>
      </c>
      <c r="CO103" s="115" t="e">
        <f t="shared" si="167"/>
        <v>#VALUE!</v>
      </c>
      <c r="CP103" s="115" t="e">
        <f t="shared" si="167"/>
        <v>#VALUE!</v>
      </c>
      <c r="CQ103" s="115" t="e">
        <f t="shared" si="167"/>
        <v>#VALUE!</v>
      </c>
      <c r="CR103" s="115" t="e">
        <f t="shared" ref="CR103:DA104" si="168">IF($N103&lt;&gt;1,$G103*($N103^$K103)*(($N103^($K103*INT(CR$2/$K103))-1)/($N103^$K103-1)),$G103*INT(CR$2/$K103))</f>
        <v>#VALUE!</v>
      </c>
      <c r="CS103" s="115" t="e">
        <f t="shared" si="168"/>
        <v>#VALUE!</v>
      </c>
      <c r="CT103" s="115" t="e">
        <f t="shared" si="168"/>
        <v>#VALUE!</v>
      </c>
      <c r="CU103" s="115" t="e">
        <f t="shared" si="168"/>
        <v>#VALUE!</v>
      </c>
      <c r="CV103" s="115" t="e">
        <f t="shared" si="168"/>
        <v>#VALUE!</v>
      </c>
      <c r="CW103" s="115" t="e">
        <f t="shared" si="168"/>
        <v>#VALUE!</v>
      </c>
      <c r="CX103" s="115" t="e">
        <f t="shared" si="168"/>
        <v>#VALUE!</v>
      </c>
      <c r="CY103" s="115" t="e">
        <f t="shared" si="168"/>
        <v>#VALUE!</v>
      </c>
      <c r="CZ103" s="115" t="e">
        <f t="shared" si="168"/>
        <v>#VALUE!</v>
      </c>
      <c r="DA103" s="115" t="e">
        <f t="shared" si="168"/>
        <v>#VALUE!</v>
      </c>
      <c r="DB103" s="115" t="e">
        <f t="shared" ref="DB103:DM104" si="169">IF($N103&lt;&gt;1,$G103*($N103^$K103)*(($N103^($K103*INT(DB$2/$K103))-1)/($N103^$K103-1)),$G103*INT(DB$2/$K103))</f>
        <v>#VALUE!</v>
      </c>
      <c r="DC103" s="115" t="e">
        <f t="shared" si="169"/>
        <v>#VALUE!</v>
      </c>
      <c r="DD103" s="115" t="e">
        <f t="shared" si="169"/>
        <v>#VALUE!</v>
      </c>
      <c r="DE103" s="115" t="e">
        <f t="shared" si="169"/>
        <v>#VALUE!</v>
      </c>
      <c r="DF103" s="115" t="e">
        <f t="shared" si="169"/>
        <v>#VALUE!</v>
      </c>
      <c r="DG103" s="115" t="e">
        <f t="shared" si="169"/>
        <v>#VALUE!</v>
      </c>
      <c r="DH103" s="115" t="e">
        <f t="shared" si="169"/>
        <v>#VALUE!</v>
      </c>
      <c r="DI103" s="115" t="e">
        <f t="shared" si="169"/>
        <v>#VALUE!</v>
      </c>
      <c r="DJ103" s="115" t="e">
        <f t="shared" si="169"/>
        <v>#VALUE!</v>
      </c>
      <c r="DK103" s="115" t="e">
        <f t="shared" si="169"/>
        <v>#VALUE!</v>
      </c>
      <c r="DL103" s="115" t="e">
        <f t="shared" si="169"/>
        <v>#VALUE!</v>
      </c>
      <c r="DM103" s="115" t="e">
        <f t="shared" si="169"/>
        <v>#VALUE!</v>
      </c>
    </row>
    <row r="104" spans="1:117" ht="15" customHeight="1" thickBot="1">
      <c r="A104" s="55">
        <v>10000</v>
      </c>
      <c r="B104" s="194" t="s">
        <v>728</v>
      </c>
      <c r="C104" s="194" t="s">
        <v>855</v>
      </c>
      <c r="D104" s="194" t="s">
        <v>319</v>
      </c>
      <c r="E104" s="194" t="s">
        <v>320</v>
      </c>
      <c r="F104" s="194" t="s">
        <v>1082</v>
      </c>
      <c r="G104" s="291" t="e">
        <f t="shared" si="159"/>
        <v>#VALUE!</v>
      </c>
      <c r="H104" s="292" t="e">
        <f>VLOOKUP("E2.D.02",Errichtungskosten,12,0)*VLOOKUP("GIF",Instandsetzung,5,0)/100*VLOOKUP("PFAKT",Instandsetzung,5,0)</f>
        <v>#VALUE!</v>
      </c>
      <c r="I104" s="168"/>
      <c r="J104" s="194" t="s">
        <v>850</v>
      </c>
      <c r="K104" s="385">
        <f>IF(ISNUMBER(VLOOKUP(E104,Nutzungsdauern,5,0)),VLOOKUP(E104,Nutzungsdauern,5,0),1000)</f>
        <v>1000</v>
      </c>
      <c r="L104" s="379" t="s">
        <v>356</v>
      </c>
      <c r="M104" s="325">
        <f>VLOOKUP(L104,Finanzielle_Parameter,5,0)</f>
        <v>2.77</v>
      </c>
      <c r="N104" s="380">
        <f>(1+VLOOKUP(L104,Finanzielle_Parameter,5,0)/100)/(1+VLOOKUP("R",Finanzielle_Parameter,5,0)/100)</f>
        <v>1.0105211406096364</v>
      </c>
      <c r="O104" s="381" t="e">
        <f t="shared" si="160"/>
        <v>#VALUE!</v>
      </c>
      <c r="P104" s="169" t="s">
        <v>103</v>
      </c>
      <c r="Q104" s="114" t="e">
        <f t="shared" si="160"/>
        <v>#VALUE!</v>
      </c>
      <c r="R104" s="115" t="e">
        <f t="shared" si="160"/>
        <v>#VALUE!</v>
      </c>
      <c r="S104" s="115" t="e">
        <f t="shared" si="160"/>
        <v>#VALUE!</v>
      </c>
      <c r="T104" s="115" t="e">
        <f t="shared" si="160"/>
        <v>#VALUE!</v>
      </c>
      <c r="U104" s="115" t="e">
        <f t="shared" si="160"/>
        <v>#VALUE!</v>
      </c>
      <c r="V104" s="115" t="e">
        <f t="shared" si="160"/>
        <v>#VALUE!</v>
      </c>
      <c r="W104" s="115" t="e">
        <f t="shared" si="160"/>
        <v>#VALUE!</v>
      </c>
      <c r="X104" s="115" t="e">
        <f t="shared" si="160"/>
        <v>#VALUE!</v>
      </c>
      <c r="Y104" s="115" t="e">
        <f t="shared" si="160"/>
        <v>#VALUE!</v>
      </c>
      <c r="Z104" s="115" t="e">
        <f t="shared" si="161"/>
        <v>#VALUE!</v>
      </c>
      <c r="AA104" s="115" t="e">
        <f t="shared" si="161"/>
        <v>#VALUE!</v>
      </c>
      <c r="AB104" s="115" t="e">
        <f t="shared" si="161"/>
        <v>#VALUE!</v>
      </c>
      <c r="AC104" s="115" t="e">
        <f t="shared" si="161"/>
        <v>#VALUE!</v>
      </c>
      <c r="AD104" s="115" t="e">
        <f t="shared" si="161"/>
        <v>#VALUE!</v>
      </c>
      <c r="AE104" s="115" t="e">
        <f t="shared" si="161"/>
        <v>#VALUE!</v>
      </c>
      <c r="AF104" s="115" t="e">
        <f t="shared" si="161"/>
        <v>#VALUE!</v>
      </c>
      <c r="AG104" s="115" t="e">
        <f t="shared" si="161"/>
        <v>#VALUE!</v>
      </c>
      <c r="AH104" s="115" t="e">
        <f t="shared" si="161"/>
        <v>#VALUE!</v>
      </c>
      <c r="AI104" s="115" t="e">
        <f t="shared" si="161"/>
        <v>#VALUE!</v>
      </c>
      <c r="AJ104" s="115" t="e">
        <f t="shared" si="162"/>
        <v>#VALUE!</v>
      </c>
      <c r="AK104" s="115" t="e">
        <f t="shared" si="162"/>
        <v>#VALUE!</v>
      </c>
      <c r="AL104" s="115" t="e">
        <f t="shared" si="162"/>
        <v>#VALUE!</v>
      </c>
      <c r="AM104" s="115" t="e">
        <f t="shared" si="162"/>
        <v>#VALUE!</v>
      </c>
      <c r="AN104" s="115" t="e">
        <f t="shared" si="162"/>
        <v>#VALUE!</v>
      </c>
      <c r="AO104" s="115" t="e">
        <f t="shared" si="162"/>
        <v>#VALUE!</v>
      </c>
      <c r="AP104" s="115" t="e">
        <f t="shared" si="162"/>
        <v>#VALUE!</v>
      </c>
      <c r="AQ104" s="115" t="e">
        <f t="shared" si="162"/>
        <v>#VALUE!</v>
      </c>
      <c r="AR104" s="115" t="e">
        <f t="shared" si="162"/>
        <v>#VALUE!</v>
      </c>
      <c r="AS104" s="115" t="e">
        <f t="shared" si="162"/>
        <v>#VALUE!</v>
      </c>
      <c r="AT104" s="115" t="e">
        <f t="shared" si="163"/>
        <v>#VALUE!</v>
      </c>
      <c r="AU104" s="115" t="e">
        <f t="shared" si="163"/>
        <v>#VALUE!</v>
      </c>
      <c r="AV104" s="115" t="e">
        <f t="shared" si="163"/>
        <v>#VALUE!</v>
      </c>
      <c r="AW104" s="115" t="e">
        <f t="shared" si="163"/>
        <v>#VALUE!</v>
      </c>
      <c r="AX104" s="115" t="e">
        <f t="shared" si="163"/>
        <v>#VALUE!</v>
      </c>
      <c r="AY104" s="115" t="e">
        <f t="shared" si="163"/>
        <v>#VALUE!</v>
      </c>
      <c r="AZ104" s="115" t="e">
        <f t="shared" si="163"/>
        <v>#VALUE!</v>
      </c>
      <c r="BA104" s="115" t="e">
        <f t="shared" si="163"/>
        <v>#VALUE!</v>
      </c>
      <c r="BB104" s="115" t="e">
        <f t="shared" si="163"/>
        <v>#VALUE!</v>
      </c>
      <c r="BC104" s="115" t="e">
        <f t="shared" si="163"/>
        <v>#VALUE!</v>
      </c>
      <c r="BD104" s="115" t="e">
        <f t="shared" si="164"/>
        <v>#VALUE!</v>
      </c>
      <c r="BE104" s="115" t="e">
        <f t="shared" si="164"/>
        <v>#VALUE!</v>
      </c>
      <c r="BF104" s="115" t="e">
        <f t="shared" si="164"/>
        <v>#VALUE!</v>
      </c>
      <c r="BG104" s="115" t="e">
        <f t="shared" si="164"/>
        <v>#VALUE!</v>
      </c>
      <c r="BH104" s="115" t="e">
        <f t="shared" si="164"/>
        <v>#VALUE!</v>
      </c>
      <c r="BI104" s="115" t="e">
        <f t="shared" si="164"/>
        <v>#VALUE!</v>
      </c>
      <c r="BJ104" s="115" t="e">
        <f t="shared" si="164"/>
        <v>#VALUE!</v>
      </c>
      <c r="BK104" s="115" t="e">
        <f t="shared" si="164"/>
        <v>#VALUE!</v>
      </c>
      <c r="BL104" s="115" t="e">
        <f t="shared" si="164"/>
        <v>#VALUE!</v>
      </c>
      <c r="BM104" s="115" t="e">
        <f t="shared" si="164"/>
        <v>#VALUE!</v>
      </c>
      <c r="BN104" s="115" t="e">
        <f t="shared" si="165"/>
        <v>#VALUE!</v>
      </c>
      <c r="BO104" s="115" t="e">
        <f t="shared" si="165"/>
        <v>#VALUE!</v>
      </c>
      <c r="BP104" s="115" t="e">
        <f t="shared" si="165"/>
        <v>#VALUE!</v>
      </c>
      <c r="BQ104" s="115" t="e">
        <f t="shared" si="165"/>
        <v>#VALUE!</v>
      </c>
      <c r="BR104" s="115" t="e">
        <f t="shared" si="165"/>
        <v>#VALUE!</v>
      </c>
      <c r="BS104" s="115" t="e">
        <f t="shared" si="165"/>
        <v>#VALUE!</v>
      </c>
      <c r="BT104" s="115" t="e">
        <f t="shared" si="165"/>
        <v>#VALUE!</v>
      </c>
      <c r="BU104" s="115" t="e">
        <f t="shared" si="165"/>
        <v>#VALUE!</v>
      </c>
      <c r="BV104" s="115" t="e">
        <f t="shared" si="165"/>
        <v>#VALUE!</v>
      </c>
      <c r="BW104" s="115" t="e">
        <f t="shared" si="165"/>
        <v>#VALUE!</v>
      </c>
      <c r="BX104" s="115" t="e">
        <f t="shared" si="166"/>
        <v>#VALUE!</v>
      </c>
      <c r="BY104" s="115" t="e">
        <f t="shared" si="166"/>
        <v>#VALUE!</v>
      </c>
      <c r="BZ104" s="115" t="e">
        <f t="shared" si="166"/>
        <v>#VALUE!</v>
      </c>
      <c r="CA104" s="115" t="e">
        <f t="shared" si="166"/>
        <v>#VALUE!</v>
      </c>
      <c r="CB104" s="115" t="e">
        <f t="shared" si="166"/>
        <v>#VALUE!</v>
      </c>
      <c r="CC104" s="115" t="e">
        <f t="shared" si="166"/>
        <v>#VALUE!</v>
      </c>
      <c r="CD104" s="115" t="e">
        <f t="shared" si="166"/>
        <v>#VALUE!</v>
      </c>
      <c r="CE104" s="115" t="e">
        <f t="shared" si="166"/>
        <v>#VALUE!</v>
      </c>
      <c r="CF104" s="115" t="e">
        <f t="shared" si="166"/>
        <v>#VALUE!</v>
      </c>
      <c r="CG104" s="115" t="e">
        <f t="shared" si="166"/>
        <v>#VALUE!</v>
      </c>
      <c r="CH104" s="115" t="e">
        <f t="shared" si="167"/>
        <v>#VALUE!</v>
      </c>
      <c r="CI104" s="115" t="e">
        <f t="shared" si="167"/>
        <v>#VALUE!</v>
      </c>
      <c r="CJ104" s="115" t="e">
        <f t="shared" si="167"/>
        <v>#VALUE!</v>
      </c>
      <c r="CK104" s="115" t="e">
        <f t="shared" si="167"/>
        <v>#VALUE!</v>
      </c>
      <c r="CL104" s="115" t="e">
        <f t="shared" si="167"/>
        <v>#VALUE!</v>
      </c>
      <c r="CM104" s="115" t="e">
        <f t="shared" si="167"/>
        <v>#VALUE!</v>
      </c>
      <c r="CN104" s="115" t="e">
        <f t="shared" si="167"/>
        <v>#VALUE!</v>
      </c>
      <c r="CO104" s="115" t="e">
        <f t="shared" si="167"/>
        <v>#VALUE!</v>
      </c>
      <c r="CP104" s="115" t="e">
        <f t="shared" si="167"/>
        <v>#VALUE!</v>
      </c>
      <c r="CQ104" s="115" t="e">
        <f t="shared" si="167"/>
        <v>#VALUE!</v>
      </c>
      <c r="CR104" s="115" t="e">
        <f t="shared" si="168"/>
        <v>#VALUE!</v>
      </c>
      <c r="CS104" s="115" t="e">
        <f t="shared" si="168"/>
        <v>#VALUE!</v>
      </c>
      <c r="CT104" s="115" t="e">
        <f t="shared" si="168"/>
        <v>#VALUE!</v>
      </c>
      <c r="CU104" s="115" t="e">
        <f t="shared" si="168"/>
        <v>#VALUE!</v>
      </c>
      <c r="CV104" s="115" t="e">
        <f t="shared" si="168"/>
        <v>#VALUE!</v>
      </c>
      <c r="CW104" s="115" t="e">
        <f t="shared" si="168"/>
        <v>#VALUE!</v>
      </c>
      <c r="CX104" s="115" t="e">
        <f t="shared" si="168"/>
        <v>#VALUE!</v>
      </c>
      <c r="CY104" s="115" t="e">
        <f t="shared" si="168"/>
        <v>#VALUE!</v>
      </c>
      <c r="CZ104" s="115" t="e">
        <f t="shared" si="168"/>
        <v>#VALUE!</v>
      </c>
      <c r="DA104" s="115" t="e">
        <f t="shared" si="168"/>
        <v>#VALUE!</v>
      </c>
      <c r="DB104" s="115" t="e">
        <f t="shared" si="169"/>
        <v>#VALUE!</v>
      </c>
      <c r="DC104" s="115" t="e">
        <f t="shared" si="169"/>
        <v>#VALUE!</v>
      </c>
      <c r="DD104" s="115" t="e">
        <f t="shared" si="169"/>
        <v>#VALUE!</v>
      </c>
      <c r="DE104" s="115" t="e">
        <f t="shared" si="169"/>
        <v>#VALUE!</v>
      </c>
      <c r="DF104" s="115" t="e">
        <f t="shared" si="169"/>
        <v>#VALUE!</v>
      </c>
      <c r="DG104" s="115" t="e">
        <f t="shared" si="169"/>
        <v>#VALUE!</v>
      </c>
      <c r="DH104" s="115" t="e">
        <f t="shared" si="169"/>
        <v>#VALUE!</v>
      </c>
      <c r="DI104" s="115" t="e">
        <f t="shared" si="169"/>
        <v>#VALUE!</v>
      </c>
      <c r="DJ104" s="115" t="e">
        <f t="shared" si="169"/>
        <v>#VALUE!</v>
      </c>
      <c r="DK104" s="115" t="e">
        <f t="shared" si="169"/>
        <v>#VALUE!</v>
      </c>
      <c r="DL104" s="115" t="e">
        <f t="shared" si="169"/>
        <v>#VALUE!</v>
      </c>
      <c r="DM104" s="115" t="e">
        <f t="shared" si="169"/>
        <v>#VALUE!</v>
      </c>
    </row>
    <row r="105" spans="1:117" ht="15" customHeight="1" thickBot="1">
      <c r="A105" s="293">
        <v>10100</v>
      </c>
      <c r="B105" s="172" t="s">
        <v>743</v>
      </c>
      <c r="C105" s="172" t="s">
        <v>856</v>
      </c>
      <c r="D105" s="172" t="s">
        <v>317</v>
      </c>
      <c r="E105" s="172"/>
      <c r="F105" s="172" t="s">
        <v>117</v>
      </c>
      <c r="G105" s="172"/>
      <c r="H105" s="172"/>
      <c r="I105" s="172"/>
      <c r="J105" s="172"/>
      <c r="K105" s="386"/>
      <c r="L105" s="172"/>
      <c r="M105" s="293"/>
      <c r="N105" s="293"/>
      <c r="O105" s="376" t="e">
        <f>SUM(O106:O107)</f>
        <v>#VALUE!</v>
      </c>
      <c r="P105" s="377" t="s">
        <v>103</v>
      </c>
      <c r="Q105" s="116"/>
      <c r="R105" s="116"/>
      <c r="S105" s="116"/>
      <c r="T105" s="116"/>
      <c r="U105" s="116"/>
      <c r="V105" s="116"/>
      <c r="W105" s="116"/>
      <c r="X105" s="116"/>
      <c r="Y105" s="116"/>
      <c r="Z105" s="116"/>
      <c r="AA105" s="116"/>
      <c r="AB105" s="116"/>
      <c r="AC105" s="116"/>
      <c r="AD105" s="116"/>
      <c r="AE105" s="116"/>
      <c r="AF105" s="116"/>
      <c r="AG105" s="116"/>
      <c r="AH105" s="116"/>
      <c r="AI105" s="116"/>
      <c r="AJ105" s="116"/>
      <c r="AK105" s="116"/>
      <c r="AL105" s="116"/>
      <c r="AM105" s="116"/>
      <c r="AN105" s="116"/>
      <c r="AO105" s="116"/>
      <c r="AP105" s="116"/>
      <c r="AQ105" s="116"/>
      <c r="AR105" s="116"/>
      <c r="AS105" s="116"/>
      <c r="AT105" s="116"/>
      <c r="AU105" s="116"/>
      <c r="AV105" s="116"/>
      <c r="AW105" s="116"/>
      <c r="AX105" s="116"/>
      <c r="AY105" s="116"/>
      <c r="AZ105" s="116"/>
      <c r="BA105" s="116"/>
      <c r="BB105" s="116"/>
      <c r="BC105" s="116"/>
      <c r="BD105" s="116"/>
      <c r="BE105" s="116"/>
      <c r="BF105" s="116"/>
      <c r="BG105" s="116"/>
      <c r="BH105" s="116"/>
      <c r="BI105" s="116"/>
      <c r="BJ105" s="116"/>
      <c r="BK105" s="116"/>
      <c r="BL105" s="116"/>
      <c r="BM105" s="116"/>
      <c r="BN105" s="116"/>
      <c r="BO105" s="116"/>
      <c r="BP105" s="116"/>
      <c r="BQ105" s="116"/>
      <c r="BR105" s="116"/>
      <c r="BS105" s="116"/>
      <c r="BT105" s="116"/>
      <c r="BU105" s="116"/>
      <c r="BV105" s="116"/>
      <c r="BW105" s="116"/>
      <c r="BX105" s="116"/>
      <c r="BY105" s="116"/>
      <c r="BZ105" s="116"/>
      <c r="CA105" s="116"/>
      <c r="CB105" s="116"/>
      <c r="CC105" s="116"/>
      <c r="CD105" s="116"/>
      <c r="CE105" s="116"/>
      <c r="CF105" s="116"/>
      <c r="CG105" s="116"/>
      <c r="CH105" s="116"/>
      <c r="CI105" s="116"/>
      <c r="CJ105" s="116"/>
      <c r="CK105" s="116"/>
      <c r="CL105" s="116"/>
      <c r="CM105" s="116"/>
      <c r="CN105" s="116"/>
      <c r="CO105" s="116"/>
      <c r="CP105" s="116"/>
      <c r="CQ105" s="116"/>
      <c r="CR105" s="116"/>
      <c r="CS105" s="116"/>
      <c r="CT105" s="116"/>
      <c r="CU105" s="116"/>
      <c r="CV105" s="116"/>
      <c r="CW105" s="116"/>
      <c r="CX105" s="116"/>
      <c r="CY105" s="116"/>
      <c r="CZ105" s="116"/>
      <c r="DA105" s="116"/>
      <c r="DB105" s="116"/>
      <c r="DC105" s="116"/>
      <c r="DD105" s="116"/>
      <c r="DE105" s="116"/>
      <c r="DF105" s="116"/>
      <c r="DG105" s="116"/>
      <c r="DH105" s="116"/>
      <c r="DI105" s="116"/>
      <c r="DJ105" s="116"/>
      <c r="DK105" s="116"/>
      <c r="DL105" s="116"/>
      <c r="DM105" s="116"/>
    </row>
    <row r="106" spans="1:117" ht="15" customHeight="1" thickBot="1">
      <c r="A106" s="55">
        <v>10200</v>
      </c>
      <c r="B106" s="194" t="s">
        <v>728</v>
      </c>
      <c r="C106" s="194" t="s">
        <v>857</v>
      </c>
      <c r="D106" s="194" t="s">
        <v>1987</v>
      </c>
      <c r="E106" s="194" t="s">
        <v>316</v>
      </c>
      <c r="F106" s="194" t="s">
        <v>1083</v>
      </c>
      <c r="G106" s="291" t="e">
        <f t="shared" si="159"/>
        <v>#VALUE!</v>
      </c>
      <c r="H106" s="292" t="e">
        <f>VLOOKUP("E2.D.03.a",Errichtungskosten,12,0)*VLOOKUP("GIF",Instandsetzung,5,0)/100*VLOOKUP("PFAKT",Instandsetzung,5,0)</f>
        <v>#VALUE!</v>
      </c>
      <c r="I106" s="168"/>
      <c r="J106" s="194" t="s">
        <v>850</v>
      </c>
      <c r="K106" s="385">
        <f>IF(ISNUMBER(VLOOKUP(E106,Nutzungsdauern,5,0)),VLOOKUP(E106,Nutzungsdauern,5,0),1000)</f>
        <v>1000</v>
      </c>
      <c r="L106" s="379" t="s">
        <v>356</v>
      </c>
      <c r="M106" s="325">
        <f>VLOOKUP(L106,Finanzielle_Parameter,5,0)</f>
        <v>2.77</v>
      </c>
      <c r="N106" s="380">
        <f>(1+VLOOKUP(L106,Finanzielle_Parameter,5,0)/100)/(1+VLOOKUP("R",Finanzielle_Parameter,5,0)/100)</f>
        <v>1.0105211406096364</v>
      </c>
      <c r="O106" s="381" t="e">
        <f t="shared" ref="O106:Y107" si="170">IF($N106&lt;&gt;1,$G106*($N106^$K106)*(($N106^($K106*INT(O$2/$K106))-1)/($N106^$K106-1)),$G106*INT(O$2/$K106))</f>
        <v>#VALUE!</v>
      </c>
      <c r="P106" s="169" t="s">
        <v>103</v>
      </c>
      <c r="Q106" s="114" t="e">
        <f t="shared" si="170"/>
        <v>#VALUE!</v>
      </c>
      <c r="R106" s="115" t="e">
        <f t="shared" si="170"/>
        <v>#VALUE!</v>
      </c>
      <c r="S106" s="115" t="e">
        <f t="shared" si="170"/>
        <v>#VALUE!</v>
      </c>
      <c r="T106" s="115" t="e">
        <f t="shared" si="170"/>
        <v>#VALUE!</v>
      </c>
      <c r="U106" s="115" t="e">
        <f t="shared" si="170"/>
        <v>#VALUE!</v>
      </c>
      <c r="V106" s="115" t="e">
        <f t="shared" si="170"/>
        <v>#VALUE!</v>
      </c>
      <c r="W106" s="115" t="e">
        <f t="shared" si="170"/>
        <v>#VALUE!</v>
      </c>
      <c r="X106" s="115" t="e">
        <f t="shared" si="170"/>
        <v>#VALUE!</v>
      </c>
      <c r="Y106" s="115" t="e">
        <f t="shared" si="170"/>
        <v>#VALUE!</v>
      </c>
      <c r="Z106" s="115" t="e">
        <f t="shared" ref="Z106:AI107" si="171">IF($N106&lt;&gt;1,$G106*($N106^$K106)*(($N106^($K106*INT(Z$2/$K106))-1)/($N106^$K106-1)),$G106*INT(Z$2/$K106))</f>
        <v>#VALUE!</v>
      </c>
      <c r="AA106" s="115" t="e">
        <f t="shared" si="171"/>
        <v>#VALUE!</v>
      </c>
      <c r="AB106" s="115" t="e">
        <f t="shared" si="171"/>
        <v>#VALUE!</v>
      </c>
      <c r="AC106" s="115" t="e">
        <f t="shared" si="171"/>
        <v>#VALUE!</v>
      </c>
      <c r="AD106" s="115" t="e">
        <f t="shared" si="171"/>
        <v>#VALUE!</v>
      </c>
      <c r="AE106" s="115" t="e">
        <f t="shared" si="171"/>
        <v>#VALUE!</v>
      </c>
      <c r="AF106" s="115" t="e">
        <f t="shared" si="171"/>
        <v>#VALUE!</v>
      </c>
      <c r="AG106" s="115" t="e">
        <f t="shared" si="171"/>
        <v>#VALUE!</v>
      </c>
      <c r="AH106" s="115" t="e">
        <f t="shared" si="171"/>
        <v>#VALUE!</v>
      </c>
      <c r="AI106" s="115" t="e">
        <f t="shared" si="171"/>
        <v>#VALUE!</v>
      </c>
      <c r="AJ106" s="115" t="e">
        <f t="shared" ref="AJ106:AS107" si="172">IF($N106&lt;&gt;1,$G106*($N106^$K106)*(($N106^($K106*INT(AJ$2/$K106))-1)/($N106^$K106-1)),$G106*INT(AJ$2/$K106))</f>
        <v>#VALUE!</v>
      </c>
      <c r="AK106" s="115" t="e">
        <f t="shared" si="172"/>
        <v>#VALUE!</v>
      </c>
      <c r="AL106" s="115" t="e">
        <f t="shared" si="172"/>
        <v>#VALUE!</v>
      </c>
      <c r="AM106" s="115" t="e">
        <f t="shared" si="172"/>
        <v>#VALUE!</v>
      </c>
      <c r="AN106" s="115" t="e">
        <f t="shared" si="172"/>
        <v>#VALUE!</v>
      </c>
      <c r="AO106" s="115" t="e">
        <f t="shared" si="172"/>
        <v>#VALUE!</v>
      </c>
      <c r="AP106" s="115" t="e">
        <f t="shared" si="172"/>
        <v>#VALUE!</v>
      </c>
      <c r="AQ106" s="115" t="e">
        <f t="shared" si="172"/>
        <v>#VALUE!</v>
      </c>
      <c r="AR106" s="115" t="e">
        <f t="shared" si="172"/>
        <v>#VALUE!</v>
      </c>
      <c r="AS106" s="115" t="e">
        <f t="shared" si="172"/>
        <v>#VALUE!</v>
      </c>
      <c r="AT106" s="115" t="e">
        <f t="shared" ref="AT106:BC107" si="173">IF($N106&lt;&gt;1,$G106*($N106^$K106)*(($N106^($K106*INT(AT$2/$K106))-1)/($N106^$K106-1)),$G106*INT(AT$2/$K106))</f>
        <v>#VALUE!</v>
      </c>
      <c r="AU106" s="115" t="e">
        <f t="shared" si="173"/>
        <v>#VALUE!</v>
      </c>
      <c r="AV106" s="115" t="e">
        <f t="shared" si="173"/>
        <v>#VALUE!</v>
      </c>
      <c r="AW106" s="115" t="e">
        <f t="shared" si="173"/>
        <v>#VALUE!</v>
      </c>
      <c r="AX106" s="115" t="e">
        <f t="shared" si="173"/>
        <v>#VALUE!</v>
      </c>
      <c r="AY106" s="115" t="e">
        <f t="shared" si="173"/>
        <v>#VALUE!</v>
      </c>
      <c r="AZ106" s="115" t="e">
        <f t="shared" si="173"/>
        <v>#VALUE!</v>
      </c>
      <c r="BA106" s="115" t="e">
        <f t="shared" si="173"/>
        <v>#VALUE!</v>
      </c>
      <c r="BB106" s="115" t="e">
        <f t="shared" si="173"/>
        <v>#VALUE!</v>
      </c>
      <c r="BC106" s="115" t="e">
        <f t="shared" si="173"/>
        <v>#VALUE!</v>
      </c>
      <c r="BD106" s="115" t="e">
        <f t="shared" ref="BD106:BM107" si="174">IF($N106&lt;&gt;1,$G106*($N106^$K106)*(($N106^($K106*INT(BD$2/$K106))-1)/($N106^$K106-1)),$G106*INT(BD$2/$K106))</f>
        <v>#VALUE!</v>
      </c>
      <c r="BE106" s="115" t="e">
        <f t="shared" si="174"/>
        <v>#VALUE!</v>
      </c>
      <c r="BF106" s="115" t="e">
        <f t="shared" si="174"/>
        <v>#VALUE!</v>
      </c>
      <c r="BG106" s="115" t="e">
        <f t="shared" si="174"/>
        <v>#VALUE!</v>
      </c>
      <c r="BH106" s="115" t="e">
        <f t="shared" si="174"/>
        <v>#VALUE!</v>
      </c>
      <c r="BI106" s="115" t="e">
        <f t="shared" si="174"/>
        <v>#VALUE!</v>
      </c>
      <c r="BJ106" s="115" t="e">
        <f t="shared" si="174"/>
        <v>#VALUE!</v>
      </c>
      <c r="BK106" s="115" t="e">
        <f t="shared" si="174"/>
        <v>#VALUE!</v>
      </c>
      <c r="BL106" s="115" t="e">
        <f t="shared" si="174"/>
        <v>#VALUE!</v>
      </c>
      <c r="BM106" s="115" t="e">
        <f t="shared" si="174"/>
        <v>#VALUE!</v>
      </c>
      <c r="BN106" s="115" t="e">
        <f t="shared" ref="BN106:BW107" si="175">IF($N106&lt;&gt;1,$G106*($N106^$K106)*(($N106^($K106*INT(BN$2/$K106))-1)/($N106^$K106-1)),$G106*INT(BN$2/$K106))</f>
        <v>#VALUE!</v>
      </c>
      <c r="BO106" s="115" t="e">
        <f t="shared" si="175"/>
        <v>#VALUE!</v>
      </c>
      <c r="BP106" s="115" t="e">
        <f t="shared" si="175"/>
        <v>#VALUE!</v>
      </c>
      <c r="BQ106" s="115" t="e">
        <f t="shared" si="175"/>
        <v>#VALUE!</v>
      </c>
      <c r="BR106" s="115" t="e">
        <f t="shared" si="175"/>
        <v>#VALUE!</v>
      </c>
      <c r="BS106" s="115" t="e">
        <f t="shared" si="175"/>
        <v>#VALUE!</v>
      </c>
      <c r="BT106" s="115" t="e">
        <f t="shared" si="175"/>
        <v>#VALUE!</v>
      </c>
      <c r="BU106" s="115" t="e">
        <f t="shared" si="175"/>
        <v>#VALUE!</v>
      </c>
      <c r="BV106" s="115" t="e">
        <f t="shared" si="175"/>
        <v>#VALUE!</v>
      </c>
      <c r="BW106" s="115" t="e">
        <f t="shared" si="175"/>
        <v>#VALUE!</v>
      </c>
      <c r="BX106" s="115" t="e">
        <f t="shared" ref="BX106:CG107" si="176">IF($N106&lt;&gt;1,$G106*($N106^$K106)*(($N106^($K106*INT(BX$2/$K106))-1)/($N106^$K106-1)),$G106*INT(BX$2/$K106))</f>
        <v>#VALUE!</v>
      </c>
      <c r="BY106" s="115" t="e">
        <f t="shared" si="176"/>
        <v>#VALUE!</v>
      </c>
      <c r="BZ106" s="115" t="e">
        <f t="shared" si="176"/>
        <v>#VALUE!</v>
      </c>
      <c r="CA106" s="115" t="e">
        <f t="shared" si="176"/>
        <v>#VALUE!</v>
      </c>
      <c r="CB106" s="115" t="e">
        <f t="shared" si="176"/>
        <v>#VALUE!</v>
      </c>
      <c r="CC106" s="115" t="e">
        <f t="shared" si="176"/>
        <v>#VALUE!</v>
      </c>
      <c r="CD106" s="115" t="e">
        <f t="shared" si="176"/>
        <v>#VALUE!</v>
      </c>
      <c r="CE106" s="115" t="e">
        <f t="shared" si="176"/>
        <v>#VALUE!</v>
      </c>
      <c r="CF106" s="115" t="e">
        <f t="shared" si="176"/>
        <v>#VALUE!</v>
      </c>
      <c r="CG106" s="115" t="e">
        <f t="shared" si="176"/>
        <v>#VALUE!</v>
      </c>
      <c r="CH106" s="115" t="e">
        <f t="shared" ref="CH106:CQ107" si="177">IF($N106&lt;&gt;1,$G106*($N106^$K106)*(($N106^($K106*INT(CH$2/$K106))-1)/($N106^$K106-1)),$G106*INT(CH$2/$K106))</f>
        <v>#VALUE!</v>
      </c>
      <c r="CI106" s="115" t="e">
        <f t="shared" si="177"/>
        <v>#VALUE!</v>
      </c>
      <c r="CJ106" s="115" t="e">
        <f t="shared" si="177"/>
        <v>#VALUE!</v>
      </c>
      <c r="CK106" s="115" t="e">
        <f t="shared" si="177"/>
        <v>#VALUE!</v>
      </c>
      <c r="CL106" s="115" t="e">
        <f t="shared" si="177"/>
        <v>#VALUE!</v>
      </c>
      <c r="CM106" s="115" t="e">
        <f t="shared" si="177"/>
        <v>#VALUE!</v>
      </c>
      <c r="CN106" s="115" t="e">
        <f t="shared" si="177"/>
        <v>#VALUE!</v>
      </c>
      <c r="CO106" s="115" t="e">
        <f t="shared" si="177"/>
        <v>#VALUE!</v>
      </c>
      <c r="CP106" s="115" t="e">
        <f t="shared" si="177"/>
        <v>#VALUE!</v>
      </c>
      <c r="CQ106" s="115" t="e">
        <f t="shared" si="177"/>
        <v>#VALUE!</v>
      </c>
      <c r="CR106" s="115" t="e">
        <f t="shared" ref="CR106:DA107" si="178">IF($N106&lt;&gt;1,$G106*($N106^$K106)*(($N106^($K106*INT(CR$2/$K106))-1)/($N106^$K106-1)),$G106*INT(CR$2/$K106))</f>
        <v>#VALUE!</v>
      </c>
      <c r="CS106" s="115" t="e">
        <f t="shared" si="178"/>
        <v>#VALUE!</v>
      </c>
      <c r="CT106" s="115" t="e">
        <f t="shared" si="178"/>
        <v>#VALUE!</v>
      </c>
      <c r="CU106" s="115" t="e">
        <f t="shared" si="178"/>
        <v>#VALUE!</v>
      </c>
      <c r="CV106" s="115" t="e">
        <f t="shared" si="178"/>
        <v>#VALUE!</v>
      </c>
      <c r="CW106" s="115" t="e">
        <f t="shared" si="178"/>
        <v>#VALUE!</v>
      </c>
      <c r="CX106" s="115" t="e">
        <f t="shared" si="178"/>
        <v>#VALUE!</v>
      </c>
      <c r="CY106" s="115" t="e">
        <f t="shared" si="178"/>
        <v>#VALUE!</v>
      </c>
      <c r="CZ106" s="115" t="e">
        <f t="shared" si="178"/>
        <v>#VALUE!</v>
      </c>
      <c r="DA106" s="115" t="e">
        <f t="shared" si="178"/>
        <v>#VALUE!</v>
      </c>
      <c r="DB106" s="115" t="e">
        <f t="shared" ref="DB106:DM107" si="179">IF($N106&lt;&gt;1,$G106*($N106^$K106)*(($N106^($K106*INT(DB$2/$K106))-1)/($N106^$K106-1)),$G106*INT(DB$2/$K106))</f>
        <v>#VALUE!</v>
      </c>
      <c r="DC106" s="115" t="e">
        <f t="shared" si="179"/>
        <v>#VALUE!</v>
      </c>
      <c r="DD106" s="115" t="e">
        <f t="shared" si="179"/>
        <v>#VALUE!</v>
      </c>
      <c r="DE106" s="115" t="e">
        <f t="shared" si="179"/>
        <v>#VALUE!</v>
      </c>
      <c r="DF106" s="115" t="e">
        <f t="shared" si="179"/>
        <v>#VALUE!</v>
      </c>
      <c r="DG106" s="115" t="e">
        <f t="shared" si="179"/>
        <v>#VALUE!</v>
      </c>
      <c r="DH106" s="115" t="e">
        <f t="shared" si="179"/>
        <v>#VALUE!</v>
      </c>
      <c r="DI106" s="115" t="e">
        <f t="shared" si="179"/>
        <v>#VALUE!</v>
      </c>
      <c r="DJ106" s="115" t="e">
        <f t="shared" si="179"/>
        <v>#VALUE!</v>
      </c>
      <c r="DK106" s="115" t="e">
        <f t="shared" si="179"/>
        <v>#VALUE!</v>
      </c>
      <c r="DL106" s="115" t="e">
        <f t="shared" si="179"/>
        <v>#VALUE!</v>
      </c>
      <c r="DM106" s="115" t="e">
        <f t="shared" si="179"/>
        <v>#VALUE!</v>
      </c>
    </row>
    <row r="107" spans="1:117" ht="15" customHeight="1" thickBot="1">
      <c r="A107" s="55">
        <v>10300</v>
      </c>
      <c r="B107" s="194" t="s">
        <v>728</v>
      </c>
      <c r="C107" s="194" t="s">
        <v>858</v>
      </c>
      <c r="D107" s="194" t="s">
        <v>1988</v>
      </c>
      <c r="E107" s="194" t="s">
        <v>314</v>
      </c>
      <c r="F107" s="194" t="s">
        <v>1084</v>
      </c>
      <c r="G107" s="291" t="e">
        <f t="shared" si="159"/>
        <v>#VALUE!</v>
      </c>
      <c r="H107" s="292" t="e">
        <f>VLOOKUP("E2.D.03.b",Errichtungskosten,12,0)*VLOOKUP("GIF",Instandsetzung,5,0)/100*VLOOKUP("PFAKT",Instandsetzung,5,0)</f>
        <v>#VALUE!</v>
      </c>
      <c r="I107" s="168"/>
      <c r="J107" s="194" t="s">
        <v>850</v>
      </c>
      <c r="K107" s="385">
        <f>IF(ISNUMBER(VLOOKUP(E107,Nutzungsdauern,5,0)),VLOOKUP(E107,Nutzungsdauern,5,0),1000)</f>
        <v>1000</v>
      </c>
      <c r="L107" s="379" t="s">
        <v>356</v>
      </c>
      <c r="M107" s="325">
        <f>VLOOKUP(L107,Finanzielle_Parameter,5,0)</f>
        <v>2.77</v>
      </c>
      <c r="N107" s="380">
        <f>(1+VLOOKUP(L107,Finanzielle_Parameter,5,0)/100)/(1+VLOOKUP("R",Finanzielle_Parameter,5,0)/100)</f>
        <v>1.0105211406096364</v>
      </c>
      <c r="O107" s="381" t="e">
        <f t="shared" si="170"/>
        <v>#VALUE!</v>
      </c>
      <c r="P107" s="169" t="s">
        <v>103</v>
      </c>
      <c r="Q107" s="114" t="e">
        <f t="shared" si="170"/>
        <v>#VALUE!</v>
      </c>
      <c r="R107" s="115" t="e">
        <f t="shared" si="170"/>
        <v>#VALUE!</v>
      </c>
      <c r="S107" s="115" t="e">
        <f t="shared" si="170"/>
        <v>#VALUE!</v>
      </c>
      <c r="T107" s="115" t="e">
        <f t="shared" si="170"/>
        <v>#VALUE!</v>
      </c>
      <c r="U107" s="115" t="e">
        <f t="shared" si="170"/>
        <v>#VALUE!</v>
      </c>
      <c r="V107" s="115" t="e">
        <f t="shared" si="170"/>
        <v>#VALUE!</v>
      </c>
      <c r="W107" s="115" t="e">
        <f t="shared" si="170"/>
        <v>#VALUE!</v>
      </c>
      <c r="X107" s="115" t="e">
        <f t="shared" si="170"/>
        <v>#VALUE!</v>
      </c>
      <c r="Y107" s="115" t="e">
        <f t="shared" si="170"/>
        <v>#VALUE!</v>
      </c>
      <c r="Z107" s="115" t="e">
        <f t="shared" si="171"/>
        <v>#VALUE!</v>
      </c>
      <c r="AA107" s="115" t="e">
        <f t="shared" si="171"/>
        <v>#VALUE!</v>
      </c>
      <c r="AB107" s="115" t="e">
        <f t="shared" si="171"/>
        <v>#VALUE!</v>
      </c>
      <c r="AC107" s="115" t="e">
        <f t="shared" si="171"/>
        <v>#VALUE!</v>
      </c>
      <c r="AD107" s="115" t="e">
        <f t="shared" si="171"/>
        <v>#VALUE!</v>
      </c>
      <c r="AE107" s="115" t="e">
        <f t="shared" si="171"/>
        <v>#VALUE!</v>
      </c>
      <c r="AF107" s="115" t="e">
        <f t="shared" si="171"/>
        <v>#VALUE!</v>
      </c>
      <c r="AG107" s="115" t="e">
        <f t="shared" si="171"/>
        <v>#VALUE!</v>
      </c>
      <c r="AH107" s="115" t="e">
        <f t="shared" si="171"/>
        <v>#VALUE!</v>
      </c>
      <c r="AI107" s="115" t="e">
        <f t="shared" si="171"/>
        <v>#VALUE!</v>
      </c>
      <c r="AJ107" s="115" t="e">
        <f t="shared" si="172"/>
        <v>#VALUE!</v>
      </c>
      <c r="AK107" s="115" t="e">
        <f t="shared" si="172"/>
        <v>#VALUE!</v>
      </c>
      <c r="AL107" s="115" t="e">
        <f t="shared" si="172"/>
        <v>#VALUE!</v>
      </c>
      <c r="AM107" s="115" t="e">
        <f t="shared" si="172"/>
        <v>#VALUE!</v>
      </c>
      <c r="AN107" s="115" t="e">
        <f t="shared" si="172"/>
        <v>#VALUE!</v>
      </c>
      <c r="AO107" s="115" t="e">
        <f t="shared" si="172"/>
        <v>#VALUE!</v>
      </c>
      <c r="AP107" s="115" t="e">
        <f t="shared" si="172"/>
        <v>#VALUE!</v>
      </c>
      <c r="AQ107" s="115" t="e">
        <f t="shared" si="172"/>
        <v>#VALUE!</v>
      </c>
      <c r="AR107" s="115" t="e">
        <f t="shared" si="172"/>
        <v>#VALUE!</v>
      </c>
      <c r="AS107" s="115" t="e">
        <f t="shared" si="172"/>
        <v>#VALUE!</v>
      </c>
      <c r="AT107" s="115" t="e">
        <f t="shared" si="173"/>
        <v>#VALUE!</v>
      </c>
      <c r="AU107" s="115" t="e">
        <f t="shared" si="173"/>
        <v>#VALUE!</v>
      </c>
      <c r="AV107" s="115" t="e">
        <f t="shared" si="173"/>
        <v>#VALUE!</v>
      </c>
      <c r="AW107" s="115" t="e">
        <f t="shared" si="173"/>
        <v>#VALUE!</v>
      </c>
      <c r="AX107" s="115" t="e">
        <f t="shared" si="173"/>
        <v>#VALUE!</v>
      </c>
      <c r="AY107" s="115" t="e">
        <f t="shared" si="173"/>
        <v>#VALUE!</v>
      </c>
      <c r="AZ107" s="115" t="e">
        <f t="shared" si="173"/>
        <v>#VALUE!</v>
      </c>
      <c r="BA107" s="115" t="e">
        <f t="shared" si="173"/>
        <v>#VALUE!</v>
      </c>
      <c r="BB107" s="115" t="e">
        <f t="shared" si="173"/>
        <v>#VALUE!</v>
      </c>
      <c r="BC107" s="115" t="e">
        <f t="shared" si="173"/>
        <v>#VALUE!</v>
      </c>
      <c r="BD107" s="115" t="e">
        <f t="shared" si="174"/>
        <v>#VALUE!</v>
      </c>
      <c r="BE107" s="115" t="e">
        <f t="shared" si="174"/>
        <v>#VALUE!</v>
      </c>
      <c r="BF107" s="115" t="e">
        <f t="shared" si="174"/>
        <v>#VALUE!</v>
      </c>
      <c r="BG107" s="115" t="e">
        <f t="shared" si="174"/>
        <v>#VALUE!</v>
      </c>
      <c r="BH107" s="115" t="e">
        <f t="shared" si="174"/>
        <v>#VALUE!</v>
      </c>
      <c r="BI107" s="115" t="e">
        <f t="shared" si="174"/>
        <v>#VALUE!</v>
      </c>
      <c r="BJ107" s="115" t="e">
        <f t="shared" si="174"/>
        <v>#VALUE!</v>
      </c>
      <c r="BK107" s="115" t="e">
        <f t="shared" si="174"/>
        <v>#VALUE!</v>
      </c>
      <c r="BL107" s="115" t="e">
        <f t="shared" si="174"/>
        <v>#VALUE!</v>
      </c>
      <c r="BM107" s="115" t="e">
        <f t="shared" si="174"/>
        <v>#VALUE!</v>
      </c>
      <c r="BN107" s="115" t="e">
        <f t="shared" si="175"/>
        <v>#VALUE!</v>
      </c>
      <c r="BO107" s="115" t="e">
        <f t="shared" si="175"/>
        <v>#VALUE!</v>
      </c>
      <c r="BP107" s="115" t="e">
        <f t="shared" si="175"/>
        <v>#VALUE!</v>
      </c>
      <c r="BQ107" s="115" t="e">
        <f t="shared" si="175"/>
        <v>#VALUE!</v>
      </c>
      <c r="BR107" s="115" t="e">
        <f t="shared" si="175"/>
        <v>#VALUE!</v>
      </c>
      <c r="BS107" s="115" t="e">
        <f t="shared" si="175"/>
        <v>#VALUE!</v>
      </c>
      <c r="BT107" s="115" t="e">
        <f t="shared" si="175"/>
        <v>#VALUE!</v>
      </c>
      <c r="BU107" s="115" t="e">
        <f t="shared" si="175"/>
        <v>#VALUE!</v>
      </c>
      <c r="BV107" s="115" t="e">
        <f t="shared" si="175"/>
        <v>#VALUE!</v>
      </c>
      <c r="BW107" s="115" t="e">
        <f t="shared" si="175"/>
        <v>#VALUE!</v>
      </c>
      <c r="BX107" s="115" t="e">
        <f t="shared" si="176"/>
        <v>#VALUE!</v>
      </c>
      <c r="BY107" s="115" t="e">
        <f t="shared" si="176"/>
        <v>#VALUE!</v>
      </c>
      <c r="BZ107" s="115" t="e">
        <f t="shared" si="176"/>
        <v>#VALUE!</v>
      </c>
      <c r="CA107" s="115" t="e">
        <f t="shared" si="176"/>
        <v>#VALUE!</v>
      </c>
      <c r="CB107" s="115" t="e">
        <f t="shared" si="176"/>
        <v>#VALUE!</v>
      </c>
      <c r="CC107" s="115" t="e">
        <f t="shared" si="176"/>
        <v>#VALUE!</v>
      </c>
      <c r="CD107" s="115" t="e">
        <f t="shared" si="176"/>
        <v>#VALUE!</v>
      </c>
      <c r="CE107" s="115" t="e">
        <f t="shared" si="176"/>
        <v>#VALUE!</v>
      </c>
      <c r="CF107" s="115" t="e">
        <f t="shared" si="176"/>
        <v>#VALUE!</v>
      </c>
      <c r="CG107" s="115" t="e">
        <f t="shared" si="176"/>
        <v>#VALUE!</v>
      </c>
      <c r="CH107" s="115" t="e">
        <f t="shared" si="177"/>
        <v>#VALUE!</v>
      </c>
      <c r="CI107" s="115" t="e">
        <f t="shared" si="177"/>
        <v>#VALUE!</v>
      </c>
      <c r="CJ107" s="115" t="e">
        <f t="shared" si="177"/>
        <v>#VALUE!</v>
      </c>
      <c r="CK107" s="115" t="e">
        <f t="shared" si="177"/>
        <v>#VALUE!</v>
      </c>
      <c r="CL107" s="115" t="e">
        <f t="shared" si="177"/>
        <v>#VALUE!</v>
      </c>
      <c r="CM107" s="115" t="e">
        <f t="shared" si="177"/>
        <v>#VALUE!</v>
      </c>
      <c r="CN107" s="115" t="e">
        <f t="shared" si="177"/>
        <v>#VALUE!</v>
      </c>
      <c r="CO107" s="115" t="e">
        <f t="shared" si="177"/>
        <v>#VALUE!</v>
      </c>
      <c r="CP107" s="115" t="e">
        <f t="shared" si="177"/>
        <v>#VALUE!</v>
      </c>
      <c r="CQ107" s="115" t="e">
        <f t="shared" si="177"/>
        <v>#VALUE!</v>
      </c>
      <c r="CR107" s="115" t="e">
        <f t="shared" si="178"/>
        <v>#VALUE!</v>
      </c>
      <c r="CS107" s="115" t="e">
        <f t="shared" si="178"/>
        <v>#VALUE!</v>
      </c>
      <c r="CT107" s="115" t="e">
        <f t="shared" si="178"/>
        <v>#VALUE!</v>
      </c>
      <c r="CU107" s="115" t="e">
        <f t="shared" si="178"/>
        <v>#VALUE!</v>
      </c>
      <c r="CV107" s="115" t="e">
        <f t="shared" si="178"/>
        <v>#VALUE!</v>
      </c>
      <c r="CW107" s="115" t="e">
        <f t="shared" si="178"/>
        <v>#VALUE!</v>
      </c>
      <c r="CX107" s="115" t="e">
        <f t="shared" si="178"/>
        <v>#VALUE!</v>
      </c>
      <c r="CY107" s="115" t="e">
        <f t="shared" si="178"/>
        <v>#VALUE!</v>
      </c>
      <c r="CZ107" s="115" t="e">
        <f t="shared" si="178"/>
        <v>#VALUE!</v>
      </c>
      <c r="DA107" s="115" t="e">
        <f t="shared" si="178"/>
        <v>#VALUE!</v>
      </c>
      <c r="DB107" s="115" t="e">
        <f t="shared" si="179"/>
        <v>#VALUE!</v>
      </c>
      <c r="DC107" s="115" t="e">
        <f t="shared" si="179"/>
        <v>#VALUE!</v>
      </c>
      <c r="DD107" s="115" t="e">
        <f t="shared" si="179"/>
        <v>#VALUE!</v>
      </c>
      <c r="DE107" s="115" t="e">
        <f t="shared" si="179"/>
        <v>#VALUE!</v>
      </c>
      <c r="DF107" s="115" t="e">
        <f t="shared" si="179"/>
        <v>#VALUE!</v>
      </c>
      <c r="DG107" s="115" t="e">
        <f t="shared" si="179"/>
        <v>#VALUE!</v>
      </c>
      <c r="DH107" s="115" t="e">
        <f t="shared" si="179"/>
        <v>#VALUE!</v>
      </c>
      <c r="DI107" s="115" t="e">
        <f t="shared" si="179"/>
        <v>#VALUE!</v>
      </c>
      <c r="DJ107" s="115" t="e">
        <f t="shared" si="179"/>
        <v>#VALUE!</v>
      </c>
      <c r="DK107" s="115" t="e">
        <f t="shared" si="179"/>
        <v>#VALUE!</v>
      </c>
      <c r="DL107" s="115" t="e">
        <f t="shared" si="179"/>
        <v>#VALUE!</v>
      </c>
      <c r="DM107" s="115" t="e">
        <f t="shared" si="179"/>
        <v>#VALUE!</v>
      </c>
    </row>
    <row r="108" spans="1:117" ht="15" customHeight="1">
      <c r="A108" s="293">
        <v>10800</v>
      </c>
      <c r="B108" s="172" t="s">
        <v>743</v>
      </c>
      <c r="C108" s="172" t="s">
        <v>859</v>
      </c>
      <c r="D108" s="172" t="s">
        <v>310</v>
      </c>
      <c r="E108" s="172"/>
      <c r="F108" s="172"/>
      <c r="G108" s="172"/>
      <c r="H108" s="172"/>
      <c r="I108" s="172"/>
      <c r="J108" s="172"/>
      <c r="K108" s="386"/>
      <c r="L108" s="172"/>
      <c r="M108" s="293"/>
      <c r="N108" s="293"/>
      <c r="O108" s="376" t="e">
        <f>SUM(O110:O117)</f>
        <v>#VALUE!</v>
      </c>
      <c r="P108" s="377" t="s">
        <v>103</v>
      </c>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6"/>
      <c r="AL108" s="116"/>
      <c r="AM108" s="116"/>
      <c r="AN108" s="116"/>
      <c r="AO108" s="116"/>
      <c r="AP108" s="116"/>
      <c r="AQ108" s="116"/>
      <c r="AR108" s="116"/>
      <c r="AS108" s="116"/>
      <c r="AT108" s="116"/>
      <c r="AU108" s="116"/>
      <c r="AV108" s="116"/>
      <c r="AW108" s="116"/>
      <c r="AX108" s="116"/>
      <c r="AY108" s="116"/>
      <c r="AZ108" s="116"/>
      <c r="BA108" s="116"/>
      <c r="BB108" s="116"/>
      <c r="BC108" s="116"/>
      <c r="BD108" s="116"/>
      <c r="BE108" s="116"/>
      <c r="BF108" s="116"/>
      <c r="BG108" s="116"/>
      <c r="BH108" s="116"/>
      <c r="BI108" s="116"/>
      <c r="BJ108" s="116"/>
      <c r="BK108" s="116"/>
      <c r="BL108" s="116"/>
      <c r="BM108" s="116"/>
      <c r="BN108" s="116"/>
      <c r="BO108" s="116"/>
      <c r="BP108" s="116"/>
      <c r="BQ108" s="116"/>
      <c r="BR108" s="116"/>
      <c r="BS108" s="116"/>
      <c r="BT108" s="116"/>
      <c r="BU108" s="116"/>
      <c r="BV108" s="116"/>
      <c r="BW108" s="116"/>
      <c r="BX108" s="116"/>
      <c r="BY108" s="116"/>
      <c r="BZ108" s="116"/>
      <c r="CA108" s="116"/>
      <c r="CB108" s="116"/>
      <c r="CC108" s="116"/>
      <c r="CD108" s="116"/>
      <c r="CE108" s="116"/>
      <c r="CF108" s="116"/>
      <c r="CG108" s="116"/>
      <c r="CH108" s="116"/>
      <c r="CI108" s="116"/>
      <c r="CJ108" s="116"/>
      <c r="CK108" s="116"/>
      <c r="CL108" s="116"/>
      <c r="CM108" s="116"/>
      <c r="CN108" s="116"/>
      <c r="CO108" s="116"/>
      <c r="CP108" s="116"/>
      <c r="CQ108" s="116"/>
      <c r="CR108" s="116"/>
      <c r="CS108" s="116"/>
      <c r="CT108" s="116"/>
      <c r="CU108" s="116"/>
      <c r="CV108" s="116"/>
      <c r="CW108" s="116"/>
      <c r="CX108" s="116"/>
      <c r="CY108" s="116"/>
      <c r="CZ108" s="116"/>
      <c r="DA108" s="116"/>
      <c r="DB108" s="116"/>
      <c r="DC108" s="116"/>
      <c r="DD108" s="116"/>
      <c r="DE108" s="116"/>
      <c r="DF108" s="116"/>
      <c r="DG108" s="116"/>
      <c r="DH108" s="116"/>
      <c r="DI108" s="116"/>
      <c r="DJ108" s="116"/>
      <c r="DK108" s="116"/>
      <c r="DL108" s="116"/>
      <c r="DM108" s="116"/>
    </row>
    <row r="109" spans="1:117" ht="15" customHeight="1" thickBot="1">
      <c r="A109" s="293">
        <v>10900</v>
      </c>
      <c r="B109" s="172" t="s">
        <v>743</v>
      </c>
      <c r="C109" s="172" t="s">
        <v>860</v>
      </c>
      <c r="D109" s="172" t="s">
        <v>308</v>
      </c>
      <c r="E109" s="172"/>
      <c r="F109" s="172"/>
      <c r="G109" s="172"/>
      <c r="H109" s="172"/>
      <c r="I109" s="172"/>
      <c r="J109" s="172"/>
      <c r="K109" s="386"/>
      <c r="L109" s="172"/>
      <c r="M109" s="293"/>
      <c r="N109" s="293"/>
      <c r="O109" s="376" t="e">
        <f>SUM(O110:O113)</f>
        <v>#VALUE!</v>
      </c>
      <c r="P109" s="377" t="s">
        <v>103</v>
      </c>
      <c r="Q109" s="116"/>
      <c r="R109" s="116"/>
      <c r="S109" s="116"/>
      <c r="T109" s="116"/>
      <c r="U109" s="116"/>
      <c r="V109" s="116"/>
      <c r="W109" s="116"/>
      <c r="X109" s="116"/>
      <c r="Y109" s="116"/>
      <c r="Z109" s="116"/>
      <c r="AA109" s="116"/>
      <c r="AB109" s="116"/>
      <c r="AC109" s="116"/>
      <c r="AD109" s="116"/>
      <c r="AE109" s="116"/>
      <c r="AF109" s="116"/>
      <c r="AG109" s="116"/>
      <c r="AH109" s="116"/>
      <c r="AI109" s="116"/>
      <c r="AJ109" s="116"/>
      <c r="AK109" s="116"/>
      <c r="AL109" s="116"/>
      <c r="AM109" s="116"/>
      <c r="AN109" s="116"/>
      <c r="AO109" s="116"/>
      <c r="AP109" s="116"/>
      <c r="AQ109" s="116"/>
      <c r="AR109" s="116"/>
      <c r="AS109" s="116"/>
      <c r="AT109" s="116"/>
      <c r="AU109" s="116"/>
      <c r="AV109" s="116"/>
      <c r="AW109" s="116"/>
      <c r="AX109" s="116"/>
      <c r="AY109" s="116"/>
      <c r="AZ109" s="116"/>
      <c r="BA109" s="116"/>
      <c r="BB109" s="116"/>
      <c r="BC109" s="116"/>
      <c r="BD109" s="116"/>
      <c r="BE109" s="116"/>
      <c r="BF109" s="116"/>
      <c r="BG109" s="116"/>
      <c r="BH109" s="116"/>
      <c r="BI109" s="116"/>
      <c r="BJ109" s="116"/>
      <c r="BK109" s="116"/>
      <c r="BL109" s="116"/>
      <c r="BM109" s="116"/>
      <c r="BN109" s="116"/>
      <c r="BO109" s="116"/>
      <c r="BP109" s="116"/>
      <c r="BQ109" s="116"/>
      <c r="BR109" s="116"/>
      <c r="BS109" s="116"/>
      <c r="BT109" s="116"/>
      <c r="BU109" s="116"/>
      <c r="BV109" s="116"/>
      <c r="BW109" s="116"/>
      <c r="BX109" s="116"/>
      <c r="BY109" s="116"/>
      <c r="BZ109" s="116"/>
      <c r="CA109" s="116"/>
      <c r="CB109" s="116"/>
      <c r="CC109" s="116"/>
      <c r="CD109" s="116"/>
      <c r="CE109" s="116"/>
      <c r="CF109" s="116"/>
      <c r="CG109" s="116"/>
      <c r="CH109" s="116"/>
      <c r="CI109" s="116"/>
      <c r="CJ109" s="116"/>
      <c r="CK109" s="116"/>
      <c r="CL109" s="116"/>
      <c r="CM109" s="116"/>
      <c r="CN109" s="116"/>
      <c r="CO109" s="116"/>
      <c r="CP109" s="116"/>
      <c r="CQ109" s="116"/>
      <c r="CR109" s="116"/>
      <c r="CS109" s="116"/>
      <c r="CT109" s="116"/>
      <c r="CU109" s="116"/>
      <c r="CV109" s="116"/>
      <c r="CW109" s="116"/>
      <c r="CX109" s="116"/>
      <c r="CY109" s="116"/>
      <c r="CZ109" s="116"/>
      <c r="DA109" s="116"/>
      <c r="DB109" s="116"/>
      <c r="DC109" s="116"/>
      <c r="DD109" s="116"/>
      <c r="DE109" s="116"/>
      <c r="DF109" s="116"/>
      <c r="DG109" s="116"/>
      <c r="DH109" s="116"/>
      <c r="DI109" s="116"/>
      <c r="DJ109" s="116"/>
      <c r="DK109" s="116"/>
      <c r="DL109" s="116"/>
      <c r="DM109" s="116"/>
    </row>
    <row r="110" spans="1:117" ht="15" customHeight="1" thickBot="1">
      <c r="A110" s="55">
        <v>11000</v>
      </c>
      <c r="B110" s="194" t="s">
        <v>728</v>
      </c>
      <c r="C110" s="194" t="s">
        <v>861</v>
      </c>
      <c r="D110" s="194" t="s">
        <v>2305</v>
      </c>
      <c r="E110" s="194" t="s">
        <v>307</v>
      </c>
      <c r="F110" s="194" t="s">
        <v>1085</v>
      </c>
      <c r="G110" s="291" t="e">
        <f t="shared" ref="G110:G118" si="180">IF(I110="",H110,I110)</f>
        <v>#VALUE!</v>
      </c>
      <c r="H110" s="292" t="e">
        <f>VLOOKUP("E2.E.01.a",Errichtungskosten,12,0)*VLOOKUP("GIF",Instandsetzung,5,0)/100*VLOOKUP("PFAKT",Instandsetzung,5,0)</f>
        <v>#VALUE!</v>
      </c>
      <c r="I110" s="168"/>
      <c r="J110" s="194" t="s">
        <v>850</v>
      </c>
      <c r="K110" s="385">
        <f t="shared" ref="K110:K118" si="181">IF(ISNUMBER(VLOOKUP(E110,Nutzungsdauern,5,0)),VLOOKUP(E110,Nutzungsdauern,5,0),1000)</f>
        <v>1000</v>
      </c>
      <c r="L110" s="379" t="s">
        <v>356</v>
      </c>
      <c r="M110" s="325">
        <f t="shared" ref="M110:M118" si="182">VLOOKUP(L110,Finanzielle_Parameter,5,0)</f>
        <v>2.77</v>
      </c>
      <c r="N110" s="380">
        <f t="shared" ref="N110:N118" si="183">(1+VLOOKUP(L110,Finanzielle_Parameter,5,0)/100)/(1+VLOOKUP("R",Finanzielle_Parameter,5,0)/100)</f>
        <v>1.0105211406096364</v>
      </c>
      <c r="O110" s="381" t="e">
        <f t="shared" ref="O110:Y118" si="184">IF($N110&lt;&gt;1,$G110*($N110^$K110)*(($N110^($K110*INT(O$2/$K110))-1)/($N110^$K110-1)),$G110*INT(O$2/$K110))</f>
        <v>#VALUE!</v>
      </c>
      <c r="P110" s="169" t="s">
        <v>103</v>
      </c>
      <c r="Q110" s="114" t="e">
        <f t="shared" si="184"/>
        <v>#VALUE!</v>
      </c>
      <c r="R110" s="115" t="e">
        <f t="shared" si="184"/>
        <v>#VALUE!</v>
      </c>
      <c r="S110" s="115" t="e">
        <f t="shared" si="184"/>
        <v>#VALUE!</v>
      </c>
      <c r="T110" s="115" t="e">
        <f t="shared" si="184"/>
        <v>#VALUE!</v>
      </c>
      <c r="U110" s="115" t="e">
        <f t="shared" si="184"/>
        <v>#VALUE!</v>
      </c>
      <c r="V110" s="115" t="e">
        <f t="shared" si="184"/>
        <v>#VALUE!</v>
      </c>
      <c r="W110" s="115" t="e">
        <f t="shared" si="184"/>
        <v>#VALUE!</v>
      </c>
      <c r="X110" s="115" t="e">
        <f t="shared" si="184"/>
        <v>#VALUE!</v>
      </c>
      <c r="Y110" s="115" t="e">
        <f t="shared" si="184"/>
        <v>#VALUE!</v>
      </c>
      <c r="Z110" s="115" t="e">
        <f t="shared" ref="Z110:AI118" si="185">IF($N110&lt;&gt;1,$G110*($N110^$K110)*(($N110^($K110*INT(Z$2/$K110))-1)/($N110^$K110-1)),$G110*INT(Z$2/$K110))</f>
        <v>#VALUE!</v>
      </c>
      <c r="AA110" s="115" t="e">
        <f t="shared" si="185"/>
        <v>#VALUE!</v>
      </c>
      <c r="AB110" s="115" t="e">
        <f t="shared" si="185"/>
        <v>#VALUE!</v>
      </c>
      <c r="AC110" s="115" t="e">
        <f t="shared" si="185"/>
        <v>#VALUE!</v>
      </c>
      <c r="AD110" s="115" t="e">
        <f t="shared" si="185"/>
        <v>#VALUE!</v>
      </c>
      <c r="AE110" s="115" t="e">
        <f t="shared" si="185"/>
        <v>#VALUE!</v>
      </c>
      <c r="AF110" s="115" t="e">
        <f t="shared" si="185"/>
        <v>#VALUE!</v>
      </c>
      <c r="AG110" s="115" t="e">
        <f t="shared" si="185"/>
        <v>#VALUE!</v>
      </c>
      <c r="AH110" s="115" t="e">
        <f t="shared" si="185"/>
        <v>#VALUE!</v>
      </c>
      <c r="AI110" s="115" t="e">
        <f t="shared" si="185"/>
        <v>#VALUE!</v>
      </c>
      <c r="AJ110" s="115" t="e">
        <f t="shared" ref="AJ110:AS118" si="186">IF($N110&lt;&gt;1,$G110*($N110^$K110)*(($N110^($K110*INT(AJ$2/$K110))-1)/($N110^$K110-1)),$G110*INT(AJ$2/$K110))</f>
        <v>#VALUE!</v>
      </c>
      <c r="AK110" s="115" t="e">
        <f t="shared" si="186"/>
        <v>#VALUE!</v>
      </c>
      <c r="AL110" s="115" t="e">
        <f t="shared" si="186"/>
        <v>#VALUE!</v>
      </c>
      <c r="AM110" s="115" t="e">
        <f t="shared" si="186"/>
        <v>#VALUE!</v>
      </c>
      <c r="AN110" s="115" t="e">
        <f t="shared" si="186"/>
        <v>#VALUE!</v>
      </c>
      <c r="AO110" s="115" t="e">
        <f t="shared" si="186"/>
        <v>#VALUE!</v>
      </c>
      <c r="AP110" s="115" t="e">
        <f t="shared" si="186"/>
        <v>#VALUE!</v>
      </c>
      <c r="AQ110" s="115" t="e">
        <f t="shared" si="186"/>
        <v>#VALUE!</v>
      </c>
      <c r="AR110" s="115" t="e">
        <f t="shared" si="186"/>
        <v>#VALUE!</v>
      </c>
      <c r="AS110" s="115" t="e">
        <f t="shared" si="186"/>
        <v>#VALUE!</v>
      </c>
      <c r="AT110" s="115" t="e">
        <f t="shared" ref="AT110:BC118" si="187">IF($N110&lt;&gt;1,$G110*($N110^$K110)*(($N110^($K110*INT(AT$2/$K110))-1)/($N110^$K110-1)),$G110*INT(AT$2/$K110))</f>
        <v>#VALUE!</v>
      </c>
      <c r="AU110" s="115" t="e">
        <f t="shared" si="187"/>
        <v>#VALUE!</v>
      </c>
      <c r="AV110" s="115" t="e">
        <f t="shared" si="187"/>
        <v>#VALUE!</v>
      </c>
      <c r="AW110" s="115" t="e">
        <f t="shared" si="187"/>
        <v>#VALUE!</v>
      </c>
      <c r="AX110" s="115" t="e">
        <f t="shared" si="187"/>
        <v>#VALUE!</v>
      </c>
      <c r="AY110" s="115" t="e">
        <f t="shared" si="187"/>
        <v>#VALUE!</v>
      </c>
      <c r="AZ110" s="115" t="e">
        <f t="shared" si="187"/>
        <v>#VALUE!</v>
      </c>
      <c r="BA110" s="115" t="e">
        <f t="shared" si="187"/>
        <v>#VALUE!</v>
      </c>
      <c r="BB110" s="115" t="e">
        <f t="shared" si="187"/>
        <v>#VALUE!</v>
      </c>
      <c r="BC110" s="115" t="e">
        <f t="shared" si="187"/>
        <v>#VALUE!</v>
      </c>
      <c r="BD110" s="115" t="e">
        <f t="shared" ref="BD110:BM118" si="188">IF($N110&lt;&gt;1,$G110*($N110^$K110)*(($N110^($K110*INT(BD$2/$K110))-1)/($N110^$K110-1)),$G110*INT(BD$2/$K110))</f>
        <v>#VALUE!</v>
      </c>
      <c r="BE110" s="115" t="e">
        <f t="shared" si="188"/>
        <v>#VALUE!</v>
      </c>
      <c r="BF110" s="115" t="e">
        <f t="shared" si="188"/>
        <v>#VALUE!</v>
      </c>
      <c r="BG110" s="115" t="e">
        <f t="shared" si="188"/>
        <v>#VALUE!</v>
      </c>
      <c r="BH110" s="115" t="e">
        <f t="shared" si="188"/>
        <v>#VALUE!</v>
      </c>
      <c r="BI110" s="115" t="e">
        <f t="shared" si="188"/>
        <v>#VALUE!</v>
      </c>
      <c r="BJ110" s="115" t="e">
        <f t="shared" si="188"/>
        <v>#VALUE!</v>
      </c>
      <c r="BK110" s="115" t="e">
        <f t="shared" si="188"/>
        <v>#VALUE!</v>
      </c>
      <c r="BL110" s="115" t="e">
        <f t="shared" si="188"/>
        <v>#VALUE!</v>
      </c>
      <c r="BM110" s="115" t="e">
        <f t="shared" si="188"/>
        <v>#VALUE!</v>
      </c>
      <c r="BN110" s="115" t="e">
        <f t="shared" ref="BN110:BW118" si="189">IF($N110&lt;&gt;1,$G110*($N110^$K110)*(($N110^($K110*INT(BN$2/$K110))-1)/($N110^$K110-1)),$G110*INT(BN$2/$K110))</f>
        <v>#VALUE!</v>
      </c>
      <c r="BO110" s="115" t="e">
        <f t="shared" si="189"/>
        <v>#VALUE!</v>
      </c>
      <c r="BP110" s="115" t="e">
        <f t="shared" si="189"/>
        <v>#VALUE!</v>
      </c>
      <c r="BQ110" s="115" t="e">
        <f t="shared" si="189"/>
        <v>#VALUE!</v>
      </c>
      <c r="BR110" s="115" t="e">
        <f t="shared" si="189"/>
        <v>#VALUE!</v>
      </c>
      <c r="BS110" s="115" t="e">
        <f t="shared" si="189"/>
        <v>#VALUE!</v>
      </c>
      <c r="BT110" s="115" t="e">
        <f t="shared" si="189"/>
        <v>#VALUE!</v>
      </c>
      <c r="BU110" s="115" t="e">
        <f t="shared" si="189"/>
        <v>#VALUE!</v>
      </c>
      <c r="BV110" s="115" t="e">
        <f t="shared" si="189"/>
        <v>#VALUE!</v>
      </c>
      <c r="BW110" s="115" t="e">
        <f t="shared" si="189"/>
        <v>#VALUE!</v>
      </c>
      <c r="BX110" s="115" t="e">
        <f t="shared" ref="BX110:CG118" si="190">IF($N110&lt;&gt;1,$G110*($N110^$K110)*(($N110^($K110*INT(BX$2/$K110))-1)/($N110^$K110-1)),$G110*INT(BX$2/$K110))</f>
        <v>#VALUE!</v>
      </c>
      <c r="BY110" s="115" t="e">
        <f t="shared" si="190"/>
        <v>#VALUE!</v>
      </c>
      <c r="BZ110" s="115" t="e">
        <f t="shared" si="190"/>
        <v>#VALUE!</v>
      </c>
      <c r="CA110" s="115" t="e">
        <f t="shared" si="190"/>
        <v>#VALUE!</v>
      </c>
      <c r="CB110" s="115" t="e">
        <f t="shared" si="190"/>
        <v>#VALUE!</v>
      </c>
      <c r="CC110" s="115" t="e">
        <f t="shared" si="190"/>
        <v>#VALUE!</v>
      </c>
      <c r="CD110" s="115" t="e">
        <f t="shared" si="190"/>
        <v>#VALUE!</v>
      </c>
      <c r="CE110" s="115" t="e">
        <f t="shared" si="190"/>
        <v>#VALUE!</v>
      </c>
      <c r="CF110" s="115" t="e">
        <f t="shared" si="190"/>
        <v>#VALUE!</v>
      </c>
      <c r="CG110" s="115" t="e">
        <f t="shared" si="190"/>
        <v>#VALUE!</v>
      </c>
      <c r="CH110" s="115" t="e">
        <f t="shared" ref="CH110:CQ118" si="191">IF($N110&lt;&gt;1,$G110*($N110^$K110)*(($N110^($K110*INT(CH$2/$K110))-1)/($N110^$K110-1)),$G110*INT(CH$2/$K110))</f>
        <v>#VALUE!</v>
      </c>
      <c r="CI110" s="115" t="e">
        <f t="shared" si="191"/>
        <v>#VALUE!</v>
      </c>
      <c r="CJ110" s="115" t="e">
        <f t="shared" si="191"/>
        <v>#VALUE!</v>
      </c>
      <c r="CK110" s="115" t="e">
        <f t="shared" si="191"/>
        <v>#VALUE!</v>
      </c>
      <c r="CL110" s="115" t="e">
        <f t="shared" si="191"/>
        <v>#VALUE!</v>
      </c>
      <c r="CM110" s="115" t="e">
        <f t="shared" si="191"/>
        <v>#VALUE!</v>
      </c>
      <c r="CN110" s="115" t="e">
        <f t="shared" si="191"/>
        <v>#VALUE!</v>
      </c>
      <c r="CO110" s="115" t="e">
        <f t="shared" si="191"/>
        <v>#VALUE!</v>
      </c>
      <c r="CP110" s="115" t="e">
        <f t="shared" si="191"/>
        <v>#VALUE!</v>
      </c>
      <c r="CQ110" s="115" t="e">
        <f t="shared" si="191"/>
        <v>#VALUE!</v>
      </c>
      <c r="CR110" s="115" t="e">
        <f t="shared" ref="CR110:DA118" si="192">IF($N110&lt;&gt;1,$G110*($N110^$K110)*(($N110^($K110*INT(CR$2/$K110))-1)/($N110^$K110-1)),$G110*INT(CR$2/$K110))</f>
        <v>#VALUE!</v>
      </c>
      <c r="CS110" s="115" t="e">
        <f t="shared" si="192"/>
        <v>#VALUE!</v>
      </c>
      <c r="CT110" s="115" t="e">
        <f t="shared" si="192"/>
        <v>#VALUE!</v>
      </c>
      <c r="CU110" s="115" t="e">
        <f t="shared" si="192"/>
        <v>#VALUE!</v>
      </c>
      <c r="CV110" s="115" t="e">
        <f t="shared" si="192"/>
        <v>#VALUE!</v>
      </c>
      <c r="CW110" s="115" t="e">
        <f t="shared" si="192"/>
        <v>#VALUE!</v>
      </c>
      <c r="CX110" s="115" t="e">
        <f t="shared" si="192"/>
        <v>#VALUE!</v>
      </c>
      <c r="CY110" s="115" t="e">
        <f t="shared" si="192"/>
        <v>#VALUE!</v>
      </c>
      <c r="CZ110" s="115" t="e">
        <f t="shared" si="192"/>
        <v>#VALUE!</v>
      </c>
      <c r="DA110" s="115" t="e">
        <f t="shared" si="192"/>
        <v>#VALUE!</v>
      </c>
      <c r="DB110" s="115" t="e">
        <f t="shared" ref="DB110:DM118" si="193">IF($N110&lt;&gt;1,$G110*($N110^$K110)*(($N110^($K110*INT(DB$2/$K110))-1)/($N110^$K110-1)),$G110*INT(DB$2/$K110))</f>
        <v>#VALUE!</v>
      </c>
      <c r="DC110" s="115" t="e">
        <f t="shared" si="193"/>
        <v>#VALUE!</v>
      </c>
      <c r="DD110" s="115" t="e">
        <f t="shared" si="193"/>
        <v>#VALUE!</v>
      </c>
      <c r="DE110" s="115" t="e">
        <f t="shared" si="193"/>
        <v>#VALUE!</v>
      </c>
      <c r="DF110" s="115" t="e">
        <f t="shared" si="193"/>
        <v>#VALUE!</v>
      </c>
      <c r="DG110" s="115" t="e">
        <f t="shared" si="193"/>
        <v>#VALUE!</v>
      </c>
      <c r="DH110" s="115" t="e">
        <f t="shared" si="193"/>
        <v>#VALUE!</v>
      </c>
      <c r="DI110" s="115" t="e">
        <f t="shared" si="193"/>
        <v>#VALUE!</v>
      </c>
      <c r="DJ110" s="115" t="e">
        <f t="shared" si="193"/>
        <v>#VALUE!</v>
      </c>
      <c r="DK110" s="115" t="e">
        <f t="shared" si="193"/>
        <v>#VALUE!</v>
      </c>
      <c r="DL110" s="115" t="e">
        <f t="shared" si="193"/>
        <v>#VALUE!</v>
      </c>
      <c r="DM110" s="115" t="e">
        <f t="shared" si="193"/>
        <v>#VALUE!</v>
      </c>
    </row>
    <row r="111" spans="1:117" ht="15" customHeight="1" thickBot="1">
      <c r="A111" s="55">
        <v>11100</v>
      </c>
      <c r="B111" s="194" t="s">
        <v>728</v>
      </c>
      <c r="C111" s="194" t="s">
        <v>862</v>
      </c>
      <c r="D111" s="194" t="s">
        <v>2306</v>
      </c>
      <c r="E111" s="194" t="s">
        <v>306</v>
      </c>
      <c r="F111" s="194" t="s">
        <v>1086</v>
      </c>
      <c r="G111" s="291" t="e">
        <f t="shared" si="180"/>
        <v>#VALUE!</v>
      </c>
      <c r="H111" s="292" t="e">
        <f>VLOOKUP("E2.E.01.b",Errichtungskosten,12,0)*VLOOKUP("GIF",Instandsetzung,5,0)/100*VLOOKUP("PFAKT",Instandsetzung,5,0)</f>
        <v>#VALUE!</v>
      </c>
      <c r="I111" s="168"/>
      <c r="J111" s="194" t="s">
        <v>850</v>
      </c>
      <c r="K111" s="385">
        <f t="shared" si="181"/>
        <v>1000</v>
      </c>
      <c r="L111" s="379" t="s">
        <v>356</v>
      </c>
      <c r="M111" s="325">
        <f t="shared" si="182"/>
        <v>2.77</v>
      </c>
      <c r="N111" s="380">
        <f t="shared" si="183"/>
        <v>1.0105211406096364</v>
      </c>
      <c r="O111" s="381" t="e">
        <f t="shared" si="184"/>
        <v>#VALUE!</v>
      </c>
      <c r="P111" s="169" t="s">
        <v>103</v>
      </c>
      <c r="Q111" s="114" t="e">
        <f t="shared" si="184"/>
        <v>#VALUE!</v>
      </c>
      <c r="R111" s="115" t="e">
        <f t="shared" si="184"/>
        <v>#VALUE!</v>
      </c>
      <c r="S111" s="115" t="e">
        <f t="shared" si="184"/>
        <v>#VALUE!</v>
      </c>
      <c r="T111" s="115" t="e">
        <f t="shared" si="184"/>
        <v>#VALUE!</v>
      </c>
      <c r="U111" s="115" t="e">
        <f t="shared" si="184"/>
        <v>#VALUE!</v>
      </c>
      <c r="V111" s="115" t="e">
        <f t="shared" si="184"/>
        <v>#VALUE!</v>
      </c>
      <c r="W111" s="115" t="e">
        <f t="shared" si="184"/>
        <v>#VALUE!</v>
      </c>
      <c r="X111" s="115" t="e">
        <f t="shared" si="184"/>
        <v>#VALUE!</v>
      </c>
      <c r="Y111" s="115" t="e">
        <f t="shared" si="184"/>
        <v>#VALUE!</v>
      </c>
      <c r="Z111" s="115" t="e">
        <f t="shared" si="185"/>
        <v>#VALUE!</v>
      </c>
      <c r="AA111" s="115" t="e">
        <f t="shared" si="185"/>
        <v>#VALUE!</v>
      </c>
      <c r="AB111" s="115" t="e">
        <f t="shared" si="185"/>
        <v>#VALUE!</v>
      </c>
      <c r="AC111" s="115" t="e">
        <f t="shared" si="185"/>
        <v>#VALUE!</v>
      </c>
      <c r="AD111" s="115" t="e">
        <f t="shared" si="185"/>
        <v>#VALUE!</v>
      </c>
      <c r="AE111" s="115" t="e">
        <f t="shared" si="185"/>
        <v>#VALUE!</v>
      </c>
      <c r="AF111" s="115" t="e">
        <f t="shared" si="185"/>
        <v>#VALUE!</v>
      </c>
      <c r="AG111" s="115" t="e">
        <f t="shared" si="185"/>
        <v>#VALUE!</v>
      </c>
      <c r="AH111" s="115" t="e">
        <f t="shared" si="185"/>
        <v>#VALUE!</v>
      </c>
      <c r="AI111" s="115" t="e">
        <f t="shared" si="185"/>
        <v>#VALUE!</v>
      </c>
      <c r="AJ111" s="115" t="e">
        <f t="shared" si="186"/>
        <v>#VALUE!</v>
      </c>
      <c r="AK111" s="115" t="e">
        <f t="shared" si="186"/>
        <v>#VALUE!</v>
      </c>
      <c r="AL111" s="115" t="e">
        <f t="shared" si="186"/>
        <v>#VALUE!</v>
      </c>
      <c r="AM111" s="115" t="e">
        <f t="shared" si="186"/>
        <v>#VALUE!</v>
      </c>
      <c r="AN111" s="115" t="e">
        <f t="shared" si="186"/>
        <v>#VALUE!</v>
      </c>
      <c r="AO111" s="115" t="e">
        <f t="shared" si="186"/>
        <v>#VALUE!</v>
      </c>
      <c r="AP111" s="115" t="e">
        <f t="shared" si="186"/>
        <v>#VALUE!</v>
      </c>
      <c r="AQ111" s="115" t="e">
        <f t="shared" si="186"/>
        <v>#VALUE!</v>
      </c>
      <c r="AR111" s="115" t="e">
        <f t="shared" si="186"/>
        <v>#VALUE!</v>
      </c>
      <c r="AS111" s="115" t="e">
        <f t="shared" si="186"/>
        <v>#VALUE!</v>
      </c>
      <c r="AT111" s="115" t="e">
        <f t="shared" si="187"/>
        <v>#VALUE!</v>
      </c>
      <c r="AU111" s="115" t="e">
        <f t="shared" si="187"/>
        <v>#VALUE!</v>
      </c>
      <c r="AV111" s="115" t="e">
        <f t="shared" si="187"/>
        <v>#VALUE!</v>
      </c>
      <c r="AW111" s="115" t="e">
        <f t="shared" si="187"/>
        <v>#VALUE!</v>
      </c>
      <c r="AX111" s="115" t="e">
        <f t="shared" si="187"/>
        <v>#VALUE!</v>
      </c>
      <c r="AY111" s="115" t="e">
        <f t="shared" si="187"/>
        <v>#VALUE!</v>
      </c>
      <c r="AZ111" s="115" t="e">
        <f t="shared" si="187"/>
        <v>#VALUE!</v>
      </c>
      <c r="BA111" s="115" t="e">
        <f t="shared" si="187"/>
        <v>#VALUE!</v>
      </c>
      <c r="BB111" s="115" t="e">
        <f t="shared" si="187"/>
        <v>#VALUE!</v>
      </c>
      <c r="BC111" s="115" t="e">
        <f t="shared" si="187"/>
        <v>#VALUE!</v>
      </c>
      <c r="BD111" s="115" t="e">
        <f t="shared" si="188"/>
        <v>#VALUE!</v>
      </c>
      <c r="BE111" s="115" t="e">
        <f t="shared" si="188"/>
        <v>#VALUE!</v>
      </c>
      <c r="BF111" s="115" t="e">
        <f t="shared" si="188"/>
        <v>#VALUE!</v>
      </c>
      <c r="BG111" s="115" t="e">
        <f t="shared" si="188"/>
        <v>#VALUE!</v>
      </c>
      <c r="BH111" s="115" t="e">
        <f t="shared" si="188"/>
        <v>#VALUE!</v>
      </c>
      <c r="BI111" s="115" t="e">
        <f t="shared" si="188"/>
        <v>#VALUE!</v>
      </c>
      <c r="BJ111" s="115" t="e">
        <f t="shared" si="188"/>
        <v>#VALUE!</v>
      </c>
      <c r="BK111" s="115" t="e">
        <f t="shared" si="188"/>
        <v>#VALUE!</v>
      </c>
      <c r="BL111" s="115" t="e">
        <f t="shared" si="188"/>
        <v>#VALUE!</v>
      </c>
      <c r="BM111" s="115" t="e">
        <f t="shared" si="188"/>
        <v>#VALUE!</v>
      </c>
      <c r="BN111" s="115" t="e">
        <f t="shared" si="189"/>
        <v>#VALUE!</v>
      </c>
      <c r="BO111" s="115" t="e">
        <f t="shared" si="189"/>
        <v>#VALUE!</v>
      </c>
      <c r="BP111" s="115" t="e">
        <f t="shared" si="189"/>
        <v>#VALUE!</v>
      </c>
      <c r="BQ111" s="115" t="e">
        <f t="shared" si="189"/>
        <v>#VALUE!</v>
      </c>
      <c r="BR111" s="115" t="e">
        <f t="shared" si="189"/>
        <v>#VALUE!</v>
      </c>
      <c r="BS111" s="115" t="e">
        <f t="shared" si="189"/>
        <v>#VALUE!</v>
      </c>
      <c r="BT111" s="115" t="e">
        <f t="shared" si="189"/>
        <v>#VALUE!</v>
      </c>
      <c r="BU111" s="115" t="e">
        <f t="shared" si="189"/>
        <v>#VALUE!</v>
      </c>
      <c r="BV111" s="115" t="e">
        <f t="shared" si="189"/>
        <v>#VALUE!</v>
      </c>
      <c r="BW111" s="115" t="e">
        <f t="shared" si="189"/>
        <v>#VALUE!</v>
      </c>
      <c r="BX111" s="115" t="e">
        <f t="shared" si="190"/>
        <v>#VALUE!</v>
      </c>
      <c r="BY111" s="115" t="e">
        <f t="shared" si="190"/>
        <v>#VALUE!</v>
      </c>
      <c r="BZ111" s="115" t="e">
        <f t="shared" si="190"/>
        <v>#VALUE!</v>
      </c>
      <c r="CA111" s="115" t="e">
        <f t="shared" si="190"/>
        <v>#VALUE!</v>
      </c>
      <c r="CB111" s="115" t="e">
        <f t="shared" si="190"/>
        <v>#VALUE!</v>
      </c>
      <c r="CC111" s="115" t="e">
        <f t="shared" si="190"/>
        <v>#VALUE!</v>
      </c>
      <c r="CD111" s="115" t="e">
        <f t="shared" si="190"/>
        <v>#VALUE!</v>
      </c>
      <c r="CE111" s="115" t="e">
        <f t="shared" si="190"/>
        <v>#VALUE!</v>
      </c>
      <c r="CF111" s="115" t="e">
        <f t="shared" si="190"/>
        <v>#VALUE!</v>
      </c>
      <c r="CG111" s="115" t="e">
        <f t="shared" si="190"/>
        <v>#VALUE!</v>
      </c>
      <c r="CH111" s="115" t="e">
        <f t="shared" si="191"/>
        <v>#VALUE!</v>
      </c>
      <c r="CI111" s="115" t="e">
        <f t="shared" si="191"/>
        <v>#VALUE!</v>
      </c>
      <c r="CJ111" s="115" t="e">
        <f t="shared" si="191"/>
        <v>#VALUE!</v>
      </c>
      <c r="CK111" s="115" t="e">
        <f t="shared" si="191"/>
        <v>#VALUE!</v>
      </c>
      <c r="CL111" s="115" t="e">
        <f t="shared" si="191"/>
        <v>#VALUE!</v>
      </c>
      <c r="CM111" s="115" t="e">
        <f t="shared" si="191"/>
        <v>#VALUE!</v>
      </c>
      <c r="CN111" s="115" t="e">
        <f t="shared" si="191"/>
        <v>#VALUE!</v>
      </c>
      <c r="CO111" s="115" t="e">
        <f t="shared" si="191"/>
        <v>#VALUE!</v>
      </c>
      <c r="CP111" s="115" t="e">
        <f t="shared" si="191"/>
        <v>#VALUE!</v>
      </c>
      <c r="CQ111" s="115" t="e">
        <f t="shared" si="191"/>
        <v>#VALUE!</v>
      </c>
      <c r="CR111" s="115" t="e">
        <f t="shared" si="192"/>
        <v>#VALUE!</v>
      </c>
      <c r="CS111" s="115" t="e">
        <f t="shared" si="192"/>
        <v>#VALUE!</v>
      </c>
      <c r="CT111" s="115" t="e">
        <f t="shared" si="192"/>
        <v>#VALUE!</v>
      </c>
      <c r="CU111" s="115" t="e">
        <f t="shared" si="192"/>
        <v>#VALUE!</v>
      </c>
      <c r="CV111" s="115" t="e">
        <f t="shared" si="192"/>
        <v>#VALUE!</v>
      </c>
      <c r="CW111" s="115" t="e">
        <f t="shared" si="192"/>
        <v>#VALUE!</v>
      </c>
      <c r="CX111" s="115" t="e">
        <f t="shared" si="192"/>
        <v>#VALUE!</v>
      </c>
      <c r="CY111" s="115" t="e">
        <f t="shared" si="192"/>
        <v>#VALUE!</v>
      </c>
      <c r="CZ111" s="115" t="e">
        <f t="shared" si="192"/>
        <v>#VALUE!</v>
      </c>
      <c r="DA111" s="115" t="e">
        <f t="shared" si="192"/>
        <v>#VALUE!</v>
      </c>
      <c r="DB111" s="115" t="e">
        <f t="shared" si="193"/>
        <v>#VALUE!</v>
      </c>
      <c r="DC111" s="115" t="e">
        <f t="shared" si="193"/>
        <v>#VALUE!</v>
      </c>
      <c r="DD111" s="115" t="e">
        <f t="shared" si="193"/>
        <v>#VALUE!</v>
      </c>
      <c r="DE111" s="115" t="e">
        <f t="shared" si="193"/>
        <v>#VALUE!</v>
      </c>
      <c r="DF111" s="115" t="e">
        <f t="shared" si="193"/>
        <v>#VALUE!</v>
      </c>
      <c r="DG111" s="115" t="e">
        <f t="shared" si="193"/>
        <v>#VALUE!</v>
      </c>
      <c r="DH111" s="115" t="e">
        <f t="shared" si="193"/>
        <v>#VALUE!</v>
      </c>
      <c r="DI111" s="115" t="e">
        <f t="shared" si="193"/>
        <v>#VALUE!</v>
      </c>
      <c r="DJ111" s="115" t="e">
        <f t="shared" si="193"/>
        <v>#VALUE!</v>
      </c>
      <c r="DK111" s="115" t="e">
        <f t="shared" si="193"/>
        <v>#VALUE!</v>
      </c>
      <c r="DL111" s="115" t="e">
        <f t="shared" si="193"/>
        <v>#VALUE!</v>
      </c>
      <c r="DM111" s="115" t="e">
        <f t="shared" si="193"/>
        <v>#VALUE!</v>
      </c>
    </row>
    <row r="112" spans="1:117" ht="15" customHeight="1" thickBot="1">
      <c r="A112" s="55">
        <v>11300</v>
      </c>
      <c r="B112" s="194" t="s">
        <v>728</v>
      </c>
      <c r="C112" s="194" t="s">
        <v>863</v>
      </c>
      <c r="D112" s="194" t="s">
        <v>1752</v>
      </c>
      <c r="E112" s="194" t="s">
        <v>304</v>
      </c>
      <c r="F112" s="194" t="s">
        <v>1087</v>
      </c>
      <c r="G112" s="291" t="e">
        <f t="shared" si="180"/>
        <v>#VALUE!</v>
      </c>
      <c r="H112" s="292" t="e">
        <f>VLOOKUP("E2.E.01.d",Errichtungskosten,12,0)*VLOOKUP("GIF",Instandsetzung,5,0)/100*VLOOKUP("PFAKT",Instandsetzung,5,0)</f>
        <v>#VALUE!</v>
      </c>
      <c r="I112" s="168"/>
      <c r="J112" s="194" t="s">
        <v>850</v>
      </c>
      <c r="K112" s="385">
        <f t="shared" si="181"/>
        <v>1000</v>
      </c>
      <c r="L112" s="379" t="s">
        <v>356</v>
      </c>
      <c r="M112" s="325">
        <f t="shared" si="182"/>
        <v>2.77</v>
      </c>
      <c r="N112" s="380">
        <f t="shared" si="183"/>
        <v>1.0105211406096364</v>
      </c>
      <c r="O112" s="381" t="e">
        <f t="shared" si="184"/>
        <v>#VALUE!</v>
      </c>
      <c r="P112" s="169" t="s">
        <v>103</v>
      </c>
      <c r="Q112" s="114" t="e">
        <f t="shared" si="184"/>
        <v>#VALUE!</v>
      </c>
      <c r="R112" s="115" t="e">
        <f t="shared" si="184"/>
        <v>#VALUE!</v>
      </c>
      <c r="S112" s="115" t="e">
        <f t="shared" si="184"/>
        <v>#VALUE!</v>
      </c>
      <c r="T112" s="115" t="e">
        <f t="shared" si="184"/>
        <v>#VALUE!</v>
      </c>
      <c r="U112" s="115" t="e">
        <f t="shared" si="184"/>
        <v>#VALUE!</v>
      </c>
      <c r="V112" s="115" t="e">
        <f t="shared" si="184"/>
        <v>#VALUE!</v>
      </c>
      <c r="W112" s="115" t="e">
        <f t="shared" si="184"/>
        <v>#VALUE!</v>
      </c>
      <c r="X112" s="115" t="e">
        <f t="shared" si="184"/>
        <v>#VALUE!</v>
      </c>
      <c r="Y112" s="115" t="e">
        <f t="shared" si="184"/>
        <v>#VALUE!</v>
      </c>
      <c r="Z112" s="115" t="e">
        <f t="shared" si="185"/>
        <v>#VALUE!</v>
      </c>
      <c r="AA112" s="115" t="e">
        <f t="shared" si="185"/>
        <v>#VALUE!</v>
      </c>
      <c r="AB112" s="115" t="e">
        <f t="shared" si="185"/>
        <v>#VALUE!</v>
      </c>
      <c r="AC112" s="115" t="e">
        <f t="shared" si="185"/>
        <v>#VALUE!</v>
      </c>
      <c r="AD112" s="115" t="e">
        <f t="shared" si="185"/>
        <v>#VALUE!</v>
      </c>
      <c r="AE112" s="115" t="e">
        <f t="shared" si="185"/>
        <v>#VALUE!</v>
      </c>
      <c r="AF112" s="115" t="e">
        <f t="shared" si="185"/>
        <v>#VALUE!</v>
      </c>
      <c r="AG112" s="115" t="e">
        <f t="shared" si="185"/>
        <v>#VALUE!</v>
      </c>
      <c r="AH112" s="115" t="e">
        <f t="shared" si="185"/>
        <v>#VALUE!</v>
      </c>
      <c r="AI112" s="115" t="e">
        <f t="shared" si="185"/>
        <v>#VALUE!</v>
      </c>
      <c r="AJ112" s="115" t="e">
        <f t="shared" si="186"/>
        <v>#VALUE!</v>
      </c>
      <c r="AK112" s="115" t="e">
        <f t="shared" si="186"/>
        <v>#VALUE!</v>
      </c>
      <c r="AL112" s="115" t="e">
        <f t="shared" si="186"/>
        <v>#VALUE!</v>
      </c>
      <c r="AM112" s="115" t="e">
        <f t="shared" si="186"/>
        <v>#VALUE!</v>
      </c>
      <c r="AN112" s="115" t="e">
        <f t="shared" si="186"/>
        <v>#VALUE!</v>
      </c>
      <c r="AO112" s="115" t="e">
        <f t="shared" si="186"/>
        <v>#VALUE!</v>
      </c>
      <c r="AP112" s="115" t="e">
        <f t="shared" si="186"/>
        <v>#VALUE!</v>
      </c>
      <c r="AQ112" s="115" t="e">
        <f t="shared" si="186"/>
        <v>#VALUE!</v>
      </c>
      <c r="AR112" s="115" t="e">
        <f t="shared" si="186"/>
        <v>#VALUE!</v>
      </c>
      <c r="AS112" s="115" t="e">
        <f t="shared" si="186"/>
        <v>#VALUE!</v>
      </c>
      <c r="AT112" s="115" t="e">
        <f t="shared" si="187"/>
        <v>#VALUE!</v>
      </c>
      <c r="AU112" s="115" t="e">
        <f t="shared" si="187"/>
        <v>#VALUE!</v>
      </c>
      <c r="AV112" s="115" t="e">
        <f t="shared" si="187"/>
        <v>#VALUE!</v>
      </c>
      <c r="AW112" s="115" t="e">
        <f t="shared" si="187"/>
        <v>#VALUE!</v>
      </c>
      <c r="AX112" s="115" t="e">
        <f t="shared" si="187"/>
        <v>#VALUE!</v>
      </c>
      <c r="AY112" s="115" t="e">
        <f t="shared" si="187"/>
        <v>#VALUE!</v>
      </c>
      <c r="AZ112" s="115" t="e">
        <f t="shared" si="187"/>
        <v>#VALUE!</v>
      </c>
      <c r="BA112" s="115" t="e">
        <f t="shared" si="187"/>
        <v>#VALUE!</v>
      </c>
      <c r="BB112" s="115" t="e">
        <f t="shared" si="187"/>
        <v>#VALUE!</v>
      </c>
      <c r="BC112" s="115" t="e">
        <f t="shared" si="187"/>
        <v>#VALUE!</v>
      </c>
      <c r="BD112" s="115" t="e">
        <f t="shared" si="188"/>
        <v>#VALUE!</v>
      </c>
      <c r="BE112" s="115" t="e">
        <f t="shared" si="188"/>
        <v>#VALUE!</v>
      </c>
      <c r="BF112" s="115" t="e">
        <f t="shared" si="188"/>
        <v>#VALUE!</v>
      </c>
      <c r="BG112" s="115" t="e">
        <f t="shared" si="188"/>
        <v>#VALUE!</v>
      </c>
      <c r="BH112" s="115" t="e">
        <f t="shared" si="188"/>
        <v>#VALUE!</v>
      </c>
      <c r="BI112" s="115" t="e">
        <f t="shared" si="188"/>
        <v>#VALUE!</v>
      </c>
      <c r="BJ112" s="115" t="e">
        <f t="shared" si="188"/>
        <v>#VALUE!</v>
      </c>
      <c r="BK112" s="115" t="e">
        <f t="shared" si="188"/>
        <v>#VALUE!</v>
      </c>
      <c r="BL112" s="115" t="e">
        <f t="shared" si="188"/>
        <v>#VALUE!</v>
      </c>
      <c r="BM112" s="115" t="e">
        <f t="shared" si="188"/>
        <v>#VALUE!</v>
      </c>
      <c r="BN112" s="115" t="e">
        <f t="shared" si="189"/>
        <v>#VALUE!</v>
      </c>
      <c r="BO112" s="115" t="e">
        <f t="shared" si="189"/>
        <v>#VALUE!</v>
      </c>
      <c r="BP112" s="115" t="e">
        <f t="shared" si="189"/>
        <v>#VALUE!</v>
      </c>
      <c r="BQ112" s="115" t="e">
        <f t="shared" si="189"/>
        <v>#VALUE!</v>
      </c>
      <c r="BR112" s="115" t="e">
        <f t="shared" si="189"/>
        <v>#VALUE!</v>
      </c>
      <c r="BS112" s="115" t="e">
        <f t="shared" si="189"/>
        <v>#VALUE!</v>
      </c>
      <c r="BT112" s="115" t="e">
        <f t="shared" si="189"/>
        <v>#VALUE!</v>
      </c>
      <c r="BU112" s="115" t="e">
        <f t="shared" si="189"/>
        <v>#VALUE!</v>
      </c>
      <c r="BV112" s="115" t="e">
        <f t="shared" si="189"/>
        <v>#VALUE!</v>
      </c>
      <c r="BW112" s="115" t="e">
        <f t="shared" si="189"/>
        <v>#VALUE!</v>
      </c>
      <c r="BX112" s="115" t="e">
        <f t="shared" si="190"/>
        <v>#VALUE!</v>
      </c>
      <c r="BY112" s="115" t="e">
        <f t="shared" si="190"/>
        <v>#VALUE!</v>
      </c>
      <c r="BZ112" s="115" t="e">
        <f t="shared" si="190"/>
        <v>#VALUE!</v>
      </c>
      <c r="CA112" s="115" t="e">
        <f t="shared" si="190"/>
        <v>#VALUE!</v>
      </c>
      <c r="CB112" s="115" t="e">
        <f t="shared" si="190"/>
        <v>#VALUE!</v>
      </c>
      <c r="CC112" s="115" t="e">
        <f t="shared" si="190"/>
        <v>#VALUE!</v>
      </c>
      <c r="CD112" s="115" t="e">
        <f t="shared" si="190"/>
        <v>#VALUE!</v>
      </c>
      <c r="CE112" s="115" t="e">
        <f t="shared" si="190"/>
        <v>#VALUE!</v>
      </c>
      <c r="CF112" s="115" t="e">
        <f t="shared" si="190"/>
        <v>#VALUE!</v>
      </c>
      <c r="CG112" s="115" t="e">
        <f t="shared" si="190"/>
        <v>#VALUE!</v>
      </c>
      <c r="CH112" s="115" t="e">
        <f t="shared" si="191"/>
        <v>#VALUE!</v>
      </c>
      <c r="CI112" s="115" t="e">
        <f t="shared" si="191"/>
        <v>#VALUE!</v>
      </c>
      <c r="CJ112" s="115" t="e">
        <f t="shared" si="191"/>
        <v>#VALUE!</v>
      </c>
      <c r="CK112" s="115" t="e">
        <f t="shared" si="191"/>
        <v>#VALUE!</v>
      </c>
      <c r="CL112" s="115" t="e">
        <f t="shared" si="191"/>
        <v>#VALUE!</v>
      </c>
      <c r="CM112" s="115" t="e">
        <f t="shared" si="191"/>
        <v>#VALUE!</v>
      </c>
      <c r="CN112" s="115" t="e">
        <f t="shared" si="191"/>
        <v>#VALUE!</v>
      </c>
      <c r="CO112" s="115" t="e">
        <f t="shared" si="191"/>
        <v>#VALUE!</v>
      </c>
      <c r="CP112" s="115" t="e">
        <f t="shared" si="191"/>
        <v>#VALUE!</v>
      </c>
      <c r="CQ112" s="115" t="e">
        <f t="shared" si="191"/>
        <v>#VALUE!</v>
      </c>
      <c r="CR112" s="115" t="e">
        <f t="shared" si="192"/>
        <v>#VALUE!</v>
      </c>
      <c r="CS112" s="115" t="e">
        <f t="shared" si="192"/>
        <v>#VALUE!</v>
      </c>
      <c r="CT112" s="115" t="e">
        <f t="shared" si="192"/>
        <v>#VALUE!</v>
      </c>
      <c r="CU112" s="115" t="e">
        <f t="shared" si="192"/>
        <v>#VALUE!</v>
      </c>
      <c r="CV112" s="115" t="e">
        <f t="shared" si="192"/>
        <v>#VALUE!</v>
      </c>
      <c r="CW112" s="115" t="e">
        <f t="shared" si="192"/>
        <v>#VALUE!</v>
      </c>
      <c r="CX112" s="115" t="e">
        <f t="shared" si="192"/>
        <v>#VALUE!</v>
      </c>
      <c r="CY112" s="115" t="e">
        <f t="shared" si="192"/>
        <v>#VALUE!</v>
      </c>
      <c r="CZ112" s="115" t="e">
        <f t="shared" si="192"/>
        <v>#VALUE!</v>
      </c>
      <c r="DA112" s="115" t="e">
        <f t="shared" si="192"/>
        <v>#VALUE!</v>
      </c>
      <c r="DB112" s="115" t="e">
        <f t="shared" si="193"/>
        <v>#VALUE!</v>
      </c>
      <c r="DC112" s="115" t="e">
        <f t="shared" si="193"/>
        <v>#VALUE!</v>
      </c>
      <c r="DD112" s="115" t="e">
        <f t="shared" si="193"/>
        <v>#VALUE!</v>
      </c>
      <c r="DE112" s="115" t="e">
        <f t="shared" si="193"/>
        <v>#VALUE!</v>
      </c>
      <c r="DF112" s="115" t="e">
        <f t="shared" si="193"/>
        <v>#VALUE!</v>
      </c>
      <c r="DG112" s="115" t="e">
        <f t="shared" si="193"/>
        <v>#VALUE!</v>
      </c>
      <c r="DH112" s="115" t="e">
        <f t="shared" si="193"/>
        <v>#VALUE!</v>
      </c>
      <c r="DI112" s="115" t="e">
        <f t="shared" si="193"/>
        <v>#VALUE!</v>
      </c>
      <c r="DJ112" s="115" t="e">
        <f t="shared" si="193"/>
        <v>#VALUE!</v>
      </c>
      <c r="DK112" s="115" t="e">
        <f t="shared" si="193"/>
        <v>#VALUE!</v>
      </c>
      <c r="DL112" s="115" t="e">
        <f t="shared" si="193"/>
        <v>#VALUE!</v>
      </c>
      <c r="DM112" s="115" t="e">
        <f t="shared" si="193"/>
        <v>#VALUE!</v>
      </c>
    </row>
    <row r="113" spans="1:118" ht="15" customHeight="1" thickBot="1">
      <c r="A113" s="55"/>
      <c r="B113" s="194" t="s">
        <v>728</v>
      </c>
      <c r="C113" s="194" t="s">
        <v>1994</v>
      </c>
      <c r="D113" s="194" t="s">
        <v>1472</v>
      </c>
      <c r="E113" s="194" t="s">
        <v>1796</v>
      </c>
      <c r="F113" s="194" t="s">
        <v>2283</v>
      </c>
      <c r="G113" s="291" t="e">
        <f t="shared" si="180"/>
        <v>#VALUE!</v>
      </c>
      <c r="H113" s="292" t="e">
        <f>VLOOKUP("E2.E.01.f",Errichtungskosten,12,0)*VLOOKUP("GIF",Instandsetzung,5,0)/100*VLOOKUP("PFAKT",Instandsetzung,5,0)</f>
        <v>#VALUE!</v>
      </c>
      <c r="I113" s="168"/>
      <c r="J113" s="194" t="s">
        <v>850</v>
      </c>
      <c r="K113" s="385">
        <f t="shared" si="181"/>
        <v>1000</v>
      </c>
      <c r="L113" s="379" t="s">
        <v>356</v>
      </c>
      <c r="M113" s="325">
        <f t="shared" si="182"/>
        <v>2.77</v>
      </c>
      <c r="N113" s="380">
        <f t="shared" si="183"/>
        <v>1.0105211406096364</v>
      </c>
      <c r="O113" s="381" t="e">
        <f t="shared" si="184"/>
        <v>#VALUE!</v>
      </c>
      <c r="P113" s="169" t="s">
        <v>103</v>
      </c>
      <c r="Q113" s="114" t="e">
        <f t="shared" si="184"/>
        <v>#VALUE!</v>
      </c>
      <c r="R113" s="115" t="e">
        <f t="shared" si="184"/>
        <v>#VALUE!</v>
      </c>
      <c r="S113" s="115" t="e">
        <f t="shared" si="184"/>
        <v>#VALUE!</v>
      </c>
      <c r="T113" s="115" t="e">
        <f t="shared" si="184"/>
        <v>#VALUE!</v>
      </c>
      <c r="U113" s="115" t="e">
        <f t="shared" si="184"/>
        <v>#VALUE!</v>
      </c>
      <c r="V113" s="115" t="e">
        <f t="shared" si="184"/>
        <v>#VALUE!</v>
      </c>
      <c r="W113" s="115" t="e">
        <f t="shared" si="184"/>
        <v>#VALUE!</v>
      </c>
      <c r="X113" s="115" t="e">
        <f t="shared" si="184"/>
        <v>#VALUE!</v>
      </c>
      <c r="Y113" s="115" t="e">
        <f t="shared" si="184"/>
        <v>#VALUE!</v>
      </c>
      <c r="Z113" s="115" t="e">
        <f t="shared" si="185"/>
        <v>#VALUE!</v>
      </c>
      <c r="AA113" s="115" t="e">
        <f t="shared" si="185"/>
        <v>#VALUE!</v>
      </c>
      <c r="AB113" s="115" t="e">
        <f t="shared" si="185"/>
        <v>#VALUE!</v>
      </c>
      <c r="AC113" s="115" t="e">
        <f t="shared" si="185"/>
        <v>#VALUE!</v>
      </c>
      <c r="AD113" s="115" t="e">
        <f t="shared" si="185"/>
        <v>#VALUE!</v>
      </c>
      <c r="AE113" s="115" t="e">
        <f t="shared" si="185"/>
        <v>#VALUE!</v>
      </c>
      <c r="AF113" s="115" t="e">
        <f t="shared" si="185"/>
        <v>#VALUE!</v>
      </c>
      <c r="AG113" s="115" t="e">
        <f t="shared" si="185"/>
        <v>#VALUE!</v>
      </c>
      <c r="AH113" s="115" t="e">
        <f t="shared" si="185"/>
        <v>#VALUE!</v>
      </c>
      <c r="AI113" s="115" t="e">
        <f t="shared" si="185"/>
        <v>#VALUE!</v>
      </c>
      <c r="AJ113" s="115" t="e">
        <f t="shared" si="186"/>
        <v>#VALUE!</v>
      </c>
      <c r="AK113" s="115" t="e">
        <f t="shared" si="186"/>
        <v>#VALUE!</v>
      </c>
      <c r="AL113" s="115" t="e">
        <f t="shared" si="186"/>
        <v>#VALUE!</v>
      </c>
      <c r="AM113" s="115" t="e">
        <f t="shared" si="186"/>
        <v>#VALUE!</v>
      </c>
      <c r="AN113" s="115" t="e">
        <f t="shared" si="186"/>
        <v>#VALUE!</v>
      </c>
      <c r="AO113" s="115" t="e">
        <f t="shared" si="186"/>
        <v>#VALUE!</v>
      </c>
      <c r="AP113" s="115" t="e">
        <f t="shared" si="186"/>
        <v>#VALUE!</v>
      </c>
      <c r="AQ113" s="115" t="e">
        <f t="shared" si="186"/>
        <v>#VALUE!</v>
      </c>
      <c r="AR113" s="115" t="e">
        <f t="shared" si="186"/>
        <v>#VALUE!</v>
      </c>
      <c r="AS113" s="115" t="e">
        <f t="shared" si="186"/>
        <v>#VALUE!</v>
      </c>
      <c r="AT113" s="115" t="e">
        <f t="shared" si="187"/>
        <v>#VALUE!</v>
      </c>
      <c r="AU113" s="115" t="e">
        <f t="shared" si="187"/>
        <v>#VALUE!</v>
      </c>
      <c r="AV113" s="115" t="e">
        <f t="shared" si="187"/>
        <v>#VALUE!</v>
      </c>
      <c r="AW113" s="115" t="e">
        <f t="shared" si="187"/>
        <v>#VALUE!</v>
      </c>
      <c r="AX113" s="115" t="e">
        <f t="shared" si="187"/>
        <v>#VALUE!</v>
      </c>
      <c r="AY113" s="115" t="e">
        <f t="shared" si="187"/>
        <v>#VALUE!</v>
      </c>
      <c r="AZ113" s="115" t="e">
        <f t="shared" si="187"/>
        <v>#VALUE!</v>
      </c>
      <c r="BA113" s="115" t="e">
        <f t="shared" si="187"/>
        <v>#VALUE!</v>
      </c>
      <c r="BB113" s="115" t="e">
        <f t="shared" si="187"/>
        <v>#VALUE!</v>
      </c>
      <c r="BC113" s="115" t="e">
        <f t="shared" si="187"/>
        <v>#VALUE!</v>
      </c>
      <c r="BD113" s="115" t="e">
        <f t="shared" si="188"/>
        <v>#VALUE!</v>
      </c>
      <c r="BE113" s="115" t="e">
        <f t="shared" si="188"/>
        <v>#VALUE!</v>
      </c>
      <c r="BF113" s="115" t="e">
        <f t="shared" si="188"/>
        <v>#VALUE!</v>
      </c>
      <c r="BG113" s="115" t="e">
        <f t="shared" si="188"/>
        <v>#VALUE!</v>
      </c>
      <c r="BH113" s="115" t="e">
        <f t="shared" si="188"/>
        <v>#VALUE!</v>
      </c>
      <c r="BI113" s="115" t="e">
        <f t="shared" si="188"/>
        <v>#VALUE!</v>
      </c>
      <c r="BJ113" s="115" t="e">
        <f t="shared" si="188"/>
        <v>#VALUE!</v>
      </c>
      <c r="BK113" s="115" t="e">
        <f t="shared" si="188"/>
        <v>#VALUE!</v>
      </c>
      <c r="BL113" s="115" t="e">
        <f t="shared" si="188"/>
        <v>#VALUE!</v>
      </c>
      <c r="BM113" s="115" t="e">
        <f t="shared" si="188"/>
        <v>#VALUE!</v>
      </c>
      <c r="BN113" s="115" t="e">
        <f t="shared" si="189"/>
        <v>#VALUE!</v>
      </c>
      <c r="BO113" s="115" t="e">
        <f t="shared" si="189"/>
        <v>#VALUE!</v>
      </c>
      <c r="BP113" s="115" t="e">
        <f t="shared" si="189"/>
        <v>#VALUE!</v>
      </c>
      <c r="BQ113" s="115" t="e">
        <f t="shared" si="189"/>
        <v>#VALUE!</v>
      </c>
      <c r="BR113" s="115" t="e">
        <f t="shared" si="189"/>
        <v>#VALUE!</v>
      </c>
      <c r="BS113" s="115" t="e">
        <f t="shared" si="189"/>
        <v>#VALUE!</v>
      </c>
      <c r="BT113" s="115" t="e">
        <f t="shared" si="189"/>
        <v>#VALUE!</v>
      </c>
      <c r="BU113" s="115" t="e">
        <f t="shared" si="189"/>
        <v>#VALUE!</v>
      </c>
      <c r="BV113" s="115" t="e">
        <f t="shared" si="189"/>
        <v>#VALUE!</v>
      </c>
      <c r="BW113" s="115" t="e">
        <f t="shared" si="189"/>
        <v>#VALUE!</v>
      </c>
      <c r="BX113" s="115" t="e">
        <f t="shared" si="190"/>
        <v>#VALUE!</v>
      </c>
      <c r="BY113" s="115" t="e">
        <f t="shared" si="190"/>
        <v>#VALUE!</v>
      </c>
      <c r="BZ113" s="115" t="e">
        <f t="shared" si="190"/>
        <v>#VALUE!</v>
      </c>
      <c r="CA113" s="115" t="e">
        <f t="shared" si="190"/>
        <v>#VALUE!</v>
      </c>
      <c r="CB113" s="115" t="e">
        <f t="shared" si="190"/>
        <v>#VALUE!</v>
      </c>
      <c r="CC113" s="115" t="e">
        <f t="shared" si="190"/>
        <v>#VALUE!</v>
      </c>
      <c r="CD113" s="115" t="e">
        <f t="shared" si="190"/>
        <v>#VALUE!</v>
      </c>
      <c r="CE113" s="115" t="e">
        <f t="shared" si="190"/>
        <v>#VALUE!</v>
      </c>
      <c r="CF113" s="115" t="e">
        <f t="shared" si="190"/>
        <v>#VALUE!</v>
      </c>
      <c r="CG113" s="115" t="e">
        <f t="shared" si="190"/>
        <v>#VALUE!</v>
      </c>
      <c r="CH113" s="115" t="e">
        <f t="shared" si="191"/>
        <v>#VALUE!</v>
      </c>
      <c r="CI113" s="115" t="e">
        <f t="shared" si="191"/>
        <v>#VALUE!</v>
      </c>
      <c r="CJ113" s="115" t="e">
        <f t="shared" si="191"/>
        <v>#VALUE!</v>
      </c>
      <c r="CK113" s="115" t="e">
        <f t="shared" si="191"/>
        <v>#VALUE!</v>
      </c>
      <c r="CL113" s="115" t="e">
        <f t="shared" si="191"/>
        <v>#VALUE!</v>
      </c>
      <c r="CM113" s="115" t="e">
        <f t="shared" si="191"/>
        <v>#VALUE!</v>
      </c>
      <c r="CN113" s="115" t="e">
        <f t="shared" si="191"/>
        <v>#VALUE!</v>
      </c>
      <c r="CO113" s="115" t="e">
        <f t="shared" si="191"/>
        <v>#VALUE!</v>
      </c>
      <c r="CP113" s="115" t="e">
        <f t="shared" si="191"/>
        <v>#VALUE!</v>
      </c>
      <c r="CQ113" s="115" t="e">
        <f t="shared" si="191"/>
        <v>#VALUE!</v>
      </c>
      <c r="CR113" s="115" t="e">
        <f t="shared" si="192"/>
        <v>#VALUE!</v>
      </c>
      <c r="CS113" s="115" t="e">
        <f t="shared" si="192"/>
        <v>#VALUE!</v>
      </c>
      <c r="CT113" s="115" t="e">
        <f t="shared" si="192"/>
        <v>#VALUE!</v>
      </c>
      <c r="CU113" s="115" t="e">
        <f t="shared" si="192"/>
        <v>#VALUE!</v>
      </c>
      <c r="CV113" s="115" t="e">
        <f t="shared" si="192"/>
        <v>#VALUE!</v>
      </c>
      <c r="CW113" s="115" t="e">
        <f t="shared" si="192"/>
        <v>#VALUE!</v>
      </c>
      <c r="CX113" s="115" t="e">
        <f t="shared" si="192"/>
        <v>#VALUE!</v>
      </c>
      <c r="CY113" s="115" t="e">
        <f t="shared" si="192"/>
        <v>#VALUE!</v>
      </c>
      <c r="CZ113" s="115" t="e">
        <f t="shared" si="192"/>
        <v>#VALUE!</v>
      </c>
      <c r="DA113" s="115" t="e">
        <f t="shared" si="192"/>
        <v>#VALUE!</v>
      </c>
      <c r="DB113" s="115" t="e">
        <f t="shared" si="193"/>
        <v>#VALUE!</v>
      </c>
      <c r="DC113" s="115" t="e">
        <f t="shared" si="193"/>
        <v>#VALUE!</v>
      </c>
      <c r="DD113" s="115" t="e">
        <f t="shared" si="193"/>
        <v>#VALUE!</v>
      </c>
      <c r="DE113" s="115" t="e">
        <f t="shared" si="193"/>
        <v>#VALUE!</v>
      </c>
      <c r="DF113" s="115" t="e">
        <f t="shared" si="193"/>
        <v>#VALUE!</v>
      </c>
      <c r="DG113" s="115" t="e">
        <f t="shared" si="193"/>
        <v>#VALUE!</v>
      </c>
      <c r="DH113" s="115" t="e">
        <f t="shared" si="193"/>
        <v>#VALUE!</v>
      </c>
      <c r="DI113" s="115" t="e">
        <f t="shared" si="193"/>
        <v>#VALUE!</v>
      </c>
      <c r="DJ113" s="115" t="e">
        <f t="shared" si="193"/>
        <v>#VALUE!</v>
      </c>
      <c r="DK113" s="115" t="e">
        <f t="shared" si="193"/>
        <v>#VALUE!</v>
      </c>
      <c r="DL113" s="115" t="e">
        <f t="shared" si="193"/>
        <v>#VALUE!</v>
      </c>
      <c r="DM113" s="115" t="e">
        <f t="shared" si="193"/>
        <v>#VALUE!</v>
      </c>
    </row>
    <row r="114" spans="1:118" ht="15" customHeight="1" thickBot="1">
      <c r="A114" s="55">
        <v>11500</v>
      </c>
      <c r="B114" s="194" t="s">
        <v>728</v>
      </c>
      <c r="C114" s="194" t="s">
        <v>864</v>
      </c>
      <c r="D114" s="194" t="s">
        <v>302</v>
      </c>
      <c r="E114" s="194" t="s">
        <v>303</v>
      </c>
      <c r="F114" s="194" t="s">
        <v>1088</v>
      </c>
      <c r="G114" s="291" t="e">
        <f t="shared" si="180"/>
        <v>#VALUE!</v>
      </c>
      <c r="H114" s="292" t="e">
        <f>VLOOKUP("E2.E.02",Errichtungskosten,12,0)*VLOOKUP("GIF",Instandsetzung,5,0)/100*VLOOKUP("PFAKT",Instandsetzung,5,0)</f>
        <v>#VALUE!</v>
      </c>
      <c r="I114" s="168"/>
      <c r="J114" s="194" t="s">
        <v>850</v>
      </c>
      <c r="K114" s="385">
        <f t="shared" si="181"/>
        <v>1000</v>
      </c>
      <c r="L114" s="379" t="s">
        <v>356</v>
      </c>
      <c r="M114" s="325">
        <f t="shared" si="182"/>
        <v>2.77</v>
      </c>
      <c r="N114" s="380">
        <f t="shared" si="183"/>
        <v>1.0105211406096364</v>
      </c>
      <c r="O114" s="381" t="e">
        <f t="shared" si="184"/>
        <v>#VALUE!</v>
      </c>
      <c r="P114" s="169" t="s">
        <v>103</v>
      </c>
      <c r="Q114" s="114" t="e">
        <f t="shared" si="184"/>
        <v>#VALUE!</v>
      </c>
      <c r="R114" s="115" t="e">
        <f t="shared" si="184"/>
        <v>#VALUE!</v>
      </c>
      <c r="S114" s="115" t="e">
        <f t="shared" si="184"/>
        <v>#VALUE!</v>
      </c>
      <c r="T114" s="115" t="e">
        <f t="shared" si="184"/>
        <v>#VALUE!</v>
      </c>
      <c r="U114" s="115" t="e">
        <f t="shared" si="184"/>
        <v>#VALUE!</v>
      </c>
      <c r="V114" s="115" t="e">
        <f t="shared" si="184"/>
        <v>#VALUE!</v>
      </c>
      <c r="W114" s="115" t="e">
        <f t="shared" si="184"/>
        <v>#VALUE!</v>
      </c>
      <c r="X114" s="115" t="e">
        <f t="shared" si="184"/>
        <v>#VALUE!</v>
      </c>
      <c r="Y114" s="115" t="e">
        <f t="shared" si="184"/>
        <v>#VALUE!</v>
      </c>
      <c r="Z114" s="115" t="e">
        <f t="shared" si="185"/>
        <v>#VALUE!</v>
      </c>
      <c r="AA114" s="115" t="e">
        <f t="shared" si="185"/>
        <v>#VALUE!</v>
      </c>
      <c r="AB114" s="115" t="e">
        <f t="shared" si="185"/>
        <v>#VALUE!</v>
      </c>
      <c r="AC114" s="115" t="e">
        <f t="shared" si="185"/>
        <v>#VALUE!</v>
      </c>
      <c r="AD114" s="115" t="e">
        <f t="shared" si="185"/>
        <v>#VALUE!</v>
      </c>
      <c r="AE114" s="115" t="e">
        <f t="shared" si="185"/>
        <v>#VALUE!</v>
      </c>
      <c r="AF114" s="115" t="e">
        <f t="shared" si="185"/>
        <v>#VALUE!</v>
      </c>
      <c r="AG114" s="115" t="e">
        <f t="shared" si="185"/>
        <v>#VALUE!</v>
      </c>
      <c r="AH114" s="115" t="e">
        <f t="shared" si="185"/>
        <v>#VALUE!</v>
      </c>
      <c r="AI114" s="115" t="e">
        <f t="shared" si="185"/>
        <v>#VALUE!</v>
      </c>
      <c r="AJ114" s="115" t="e">
        <f t="shared" si="186"/>
        <v>#VALUE!</v>
      </c>
      <c r="AK114" s="115" t="e">
        <f t="shared" si="186"/>
        <v>#VALUE!</v>
      </c>
      <c r="AL114" s="115" t="e">
        <f t="shared" si="186"/>
        <v>#VALUE!</v>
      </c>
      <c r="AM114" s="115" t="e">
        <f t="shared" si="186"/>
        <v>#VALUE!</v>
      </c>
      <c r="AN114" s="115" t="e">
        <f t="shared" si="186"/>
        <v>#VALUE!</v>
      </c>
      <c r="AO114" s="115" t="e">
        <f t="shared" si="186"/>
        <v>#VALUE!</v>
      </c>
      <c r="AP114" s="115" t="e">
        <f t="shared" si="186"/>
        <v>#VALUE!</v>
      </c>
      <c r="AQ114" s="115" t="e">
        <f t="shared" si="186"/>
        <v>#VALUE!</v>
      </c>
      <c r="AR114" s="115" t="e">
        <f t="shared" si="186"/>
        <v>#VALUE!</v>
      </c>
      <c r="AS114" s="115" t="e">
        <f t="shared" si="186"/>
        <v>#VALUE!</v>
      </c>
      <c r="AT114" s="115" t="e">
        <f t="shared" si="187"/>
        <v>#VALUE!</v>
      </c>
      <c r="AU114" s="115" t="e">
        <f t="shared" si="187"/>
        <v>#VALUE!</v>
      </c>
      <c r="AV114" s="115" t="e">
        <f t="shared" si="187"/>
        <v>#VALUE!</v>
      </c>
      <c r="AW114" s="115" t="e">
        <f t="shared" si="187"/>
        <v>#VALUE!</v>
      </c>
      <c r="AX114" s="115" t="e">
        <f t="shared" si="187"/>
        <v>#VALUE!</v>
      </c>
      <c r="AY114" s="115" t="e">
        <f t="shared" si="187"/>
        <v>#VALUE!</v>
      </c>
      <c r="AZ114" s="115" t="e">
        <f t="shared" si="187"/>
        <v>#VALUE!</v>
      </c>
      <c r="BA114" s="115" t="e">
        <f t="shared" si="187"/>
        <v>#VALUE!</v>
      </c>
      <c r="BB114" s="115" t="e">
        <f t="shared" si="187"/>
        <v>#VALUE!</v>
      </c>
      <c r="BC114" s="115" t="e">
        <f t="shared" si="187"/>
        <v>#VALUE!</v>
      </c>
      <c r="BD114" s="115" t="e">
        <f t="shared" si="188"/>
        <v>#VALUE!</v>
      </c>
      <c r="BE114" s="115" t="e">
        <f t="shared" si="188"/>
        <v>#VALUE!</v>
      </c>
      <c r="BF114" s="115" t="e">
        <f t="shared" si="188"/>
        <v>#VALUE!</v>
      </c>
      <c r="BG114" s="115" t="e">
        <f t="shared" si="188"/>
        <v>#VALUE!</v>
      </c>
      <c r="BH114" s="115" t="e">
        <f t="shared" si="188"/>
        <v>#VALUE!</v>
      </c>
      <c r="BI114" s="115" t="e">
        <f t="shared" si="188"/>
        <v>#VALUE!</v>
      </c>
      <c r="BJ114" s="115" t="e">
        <f t="shared" si="188"/>
        <v>#VALUE!</v>
      </c>
      <c r="BK114" s="115" t="e">
        <f t="shared" si="188"/>
        <v>#VALUE!</v>
      </c>
      <c r="BL114" s="115" t="e">
        <f t="shared" si="188"/>
        <v>#VALUE!</v>
      </c>
      <c r="BM114" s="115" t="e">
        <f t="shared" si="188"/>
        <v>#VALUE!</v>
      </c>
      <c r="BN114" s="115" t="e">
        <f t="shared" si="189"/>
        <v>#VALUE!</v>
      </c>
      <c r="BO114" s="115" t="e">
        <f t="shared" si="189"/>
        <v>#VALUE!</v>
      </c>
      <c r="BP114" s="115" t="e">
        <f t="shared" si="189"/>
        <v>#VALUE!</v>
      </c>
      <c r="BQ114" s="115" t="e">
        <f t="shared" si="189"/>
        <v>#VALUE!</v>
      </c>
      <c r="BR114" s="115" t="e">
        <f t="shared" si="189"/>
        <v>#VALUE!</v>
      </c>
      <c r="BS114" s="115" t="e">
        <f t="shared" si="189"/>
        <v>#VALUE!</v>
      </c>
      <c r="BT114" s="115" t="e">
        <f t="shared" si="189"/>
        <v>#VALUE!</v>
      </c>
      <c r="BU114" s="115" t="e">
        <f t="shared" si="189"/>
        <v>#VALUE!</v>
      </c>
      <c r="BV114" s="115" t="e">
        <f t="shared" si="189"/>
        <v>#VALUE!</v>
      </c>
      <c r="BW114" s="115" t="e">
        <f t="shared" si="189"/>
        <v>#VALUE!</v>
      </c>
      <c r="BX114" s="115" t="e">
        <f t="shared" si="190"/>
        <v>#VALUE!</v>
      </c>
      <c r="BY114" s="115" t="e">
        <f t="shared" si="190"/>
        <v>#VALUE!</v>
      </c>
      <c r="BZ114" s="115" t="e">
        <f t="shared" si="190"/>
        <v>#VALUE!</v>
      </c>
      <c r="CA114" s="115" t="e">
        <f t="shared" si="190"/>
        <v>#VALUE!</v>
      </c>
      <c r="CB114" s="115" t="e">
        <f t="shared" si="190"/>
        <v>#VALUE!</v>
      </c>
      <c r="CC114" s="115" t="e">
        <f t="shared" si="190"/>
        <v>#VALUE!</v>
      </c>
      <c r="CD114" s="115" t="e">
        <f t="shared" si="190"/>
        <v>#VALUE!</v>
      </c>
      <c r="CE114" s="115" t="e">
        <f t="shared" si="190"/>
        <v>#VALUE!</v>
      </c>
      <c r="CF114" s="115" t="e">
        <f t="shared" si="190"/>
        <v>#VALUE!</v>
      </c>
      <c r="CG114" s="115" t="e">
        <f t="shared" si="190"/>
        <v>#VALUE!</v>
      </c>
      <c r="CH114" s="115" t="e">
        <f t="shared" si="191"/>
        <v>#VALUE!</v>
      </c>
      <c r="CI114" s="115" t="e">
        <f t="shared" si="191"/>
        <v>#VALUE!</v>
      </c>
      <c r="CJ114" s="115" t="e">
        <f t="shared" si="191"/>
        <v>#VALUE!</v>
      </c>
      <c r="CK114" s="115" t="e">
        <f t="shared" si="191"/>
        <v>#VALUE!</v>
      </c>
      <c r="CL114" s="115" t="e">
        <f t="shared" si="191"/>
        <v>#VALUE!</v>
      </c>
      <c r="CM114" s="115" t="e">
        <f t="shared" si="191"/>
        <v>#VALUE!</v>
      </c>
      <c r="CN114" s="115" t="e">
        <f t="shared" si="191"/>
        <v>#VALUE!</v>
      </c>
      <c r="CO114" s="115" t="e">
        <f t="shared" si="191"/>
        <v>#VALUE!</v>
      </c>
      <c r="CP114" s="115" t="e">
        <f t="shared" si="191"/>
        <v>#VALUE!</v>
      </c>
      <c r="CQ114" s="115" t="e">
        <f t="shared" si="191"/>
        <v>#VALUE!</v>
      </c>
      <c r="CR114" s="115" t="e">
        <f t="shared" si="192"/>
        <v>#VALUE!</v>
      </c>
      <c r="CS114" s="115" t="e">
        <f t="shared" si="192"/>
        <v>#VALUE!</v>
      </c>
      <c r="CT114" s="115" t="e">
        <f t="shared" si="192"/>
        <v>#VALUE!</v>
      </c>
      <c r="CU114" s="115" t="e">
        <f t="shared" si="192"/>
        <v>#VALUE!</v>
      </c>
      <c r="CV114" s="115" t="e">
        <f t="shared" si="192"/>
        <v>#VALUE!</v>
      </c>
      <c r="CW114" s="115" t="e">
        <f t="shared" si="192"/>
        <v>#VALUE!</v>
      </c>
      <c r="CX114" s="115" t="e">
        <f t="shared" si="192"/>
        <v>#VALUE!</v>
      </c>
      <c r="CY114" s="115" t="e">
        <f t="shared" si="192"/>
        <v>#VALUE!</v>
      </c>
      <c r="CZ114" s="115" t="e">
        <f t="shared" si="192"/>
        <v>#VALUE!</v>
      </c>
      <c r="DA114" s="115" t="e">
        <f t="shared" si="192"/>
        <v>#VALUE!</v>
      </c>
      <c r="DB114" s="115" t="e">
        <f t="shared" si="193"/>
        <v>#VALUE!</v>
      </c>
      <c r="DC114" s="115" t="e">
        <f t="shared" si="193"/>
        <v>#VALUE!</v>
      </c>
      <c r="DD114" s="115" t="e">
        <f t="shared" si="193"/>
        <v>#VALUE!</v>
      </c>
      <c r="DE114" s="115" t="e">
        <f t="shared" si="193"/>
        <v>#VALUE!</v>
      </c>
      <c r="DF114" s="115" t="e">
        <f t="shared" si="193"/>
        <v>#VALUE!</v>
      </c>
      <c r="DG114" s="115" t="e">
        <f t="shared" si="193"/>
        <v>#VALUE!</v>
      </c>
      <c r="DH114" s="115" t="e">
        <f t="shared" si="193"/>
        <v>#VALUE!</v>
      </c>
      <c r="DI114" s="115" t="e">
        <f t="shared" si="193"/>
        <v>#VALUE!</v>
      </c>
      <c r="DJ114" s="115" t="e">
        <f t="shared" si="193"/>
        <v>#VALUE!</v>
      </c>
      <c r="DK114" s="115" t="e">
        <f t="shared" si="193"/>
        <v>#VALUE!</v>
      </c>
      <c r="DL114" s="115" t="e">
        <f t="shared" si="193"/>
        <v>#VALUE!</v>
      </c>
      <c r="DM114" s="115" t="e">
        <f t="shared" si="193"/>
        <v>#VALUE!</v>
      </c>
    </row>
    <row r="115" spans="1:118" ht="15" customHeight="1" thickBot="1">
      <c r="A115" s="55">
        <v>11600</v>
      </c>
      <c r="B115" s="194" t="s">
        <v>728</v>
      </c>
      <c r="C115" s="194" t="s">
        <v>865</v>
      </c>
      <c r="D115" s="194" t="s">
        <v>300</v>
      </c>
      <c r="E115" s="194" t="s">
        <v>301</v>
      </c>
      <c r="F115" s="194" t="s">
        <v>1089</v>
      </c>
      <c r="G115" s="291" t="e">
        <f t="shared" si="180"/>
        <v>#VALUE!</v>
      </c>
      <c r="H115" s="292" t="e">
        <f>VLOOKUP("E2.E.03",Errichtungskosten,12,0)*VLOOKUP("GIF",Instandsetzung,5,0)/100*VLOOKUP("PFAKT",Instandsetzung,5,0)</f>
        <v>#VALUE!</v>
      </c>
      <c r="I115" s="168"/>
      <c r="J115" s="194" t="s">
        <v>850</v>
      </c>
      <c r="K115" s="385">
        <f t="shared" si="181"/>
        <v>1000</v>
      </c>
      <c r="L115" s="379" t="s">
        <v>356</v>
      </c>
      <c r="M115" s="325">
        <f t="shared" si="182"/>
        <v>2.77</v>
      </c>
      <c r="N115" s="380">
        <f t="shared" si="183"/>
        <v>1.0105211406096364</v>
      </c>
      <c r="O115" s="381" t="e">
        <f t="shared" si="184"/>
        <v>#VALUE!</v>
      </c>
      <c r="P115" s="169" t="s">
        <v>103</v>
      </c>
      <c r="Q115" s="114" t="e">
        <f t="shared" si="184"/>
        <v>#VALUE!</v>
      </c>
      <c r="R115" s="115" t="e">
        <f t="shared" si="184"/>
        <v>#VALUE!</v>
      </c>
      <c r="S115" s="115" t="e">
        <f t="shared" si="184"/>
        <v>#VALUE!</v>
      </c>
      <c r="T115" s="115" t="e">
        <f t="shared" si="184"/>
        <v>#VALUE!</v>
      </c>
      <c r="U115" s="115" t="e">
        <f t="shared" si="184"/>
        <v>#VALUE!</v>
      </c>
      <c r="V115" s="115" t="e">
        <f t="shared" si="184"/>
        <v>#VALUE!</v>
      </c>
      <c r="W115" s="115" t="e">
        <f t="shared" si="184"/>
        <v>#VALUE!</v>
      </c>
      <c r="X115" s="115" t="e">
        <f t="shared" si="184"/>
        <v>#VALUE!</v>
      </c>
      <c r="Y115" s="115" t="e">
        <f t="shared" si="184"/>
        <v>#VALUE!</v>
      </c>
      <c r="Z115" s="115" t="e">
        <f t="shared" si="185"/>
        <v>#VALUE!</v>
      </c>
      <c r="AA115" s="115" t="e">
        <f t="shared" si="185"/>
        <v>#VALUE!</v>
      </c>
      <c r="AB115" s="115" t="e">
        <f t="shared" si="185"/>
        <v>#VALUE!</v>
      </c>
      <c r="AC115" s="115" t="e">
        <f t="shared" si="185"/>
        <v>#VALUE!</v>
      </c>
      <c r="AD115" s="115" t="e">
        <f t="shared" si="185"/>
        <v>#VALUE!</v>
      </c>
      <c r="AE115" s="115" t="e">
        <f t="shared" si="185"/>
        <v>#VALUE!</v>
      </c>
      <c r="AF115" s="115" t="e">
        <f t="shared" si="185"/>
        <v>#VALUE!</v>
      </c>
      <c r="AG115" s="115" t="e">
        <f t="shared" si="185"/>
        <v>#VALUE!</v>
      </c>
      <c r="AH115" s="115" t="e">
        <f t="shared" si="185"/>
        <v>#VALUE!</v>
      </c>
      <c r="AI115" s="115" t="e">
        <f t="shared" si="185"/>
        <v>#VALUE!</v>
      </c>
      <c r="AJ115" s="115" t="e">
        <f t="shared" si="186"/>
        <v>#VALUE!</v>
      </c>
      <c r="AK115" s="115" t="e">
        <f t="shared" si="186"/>
        <v>#VALUE!</v>
      </c>
      <c r="AL115" s="115" t="e">
        <f t="shared" si="186"/>
        <v>#VALUE!</v>
      </c>
      <c r="AM115" s="115" t="e">
        <f t="shared" si="186"/>
        <v>#VALUE!</v>
      </c>
      <c r="AN115" s="115" t="e">
        <f t="shared" si="186"/>
        <v>#VALUE!</v>
      </c>
      <c r="AO115" s="115" t="e">
        <f t="shared" si="186"/>
        <v>#VALUE!</v>
      </c>
      <c r="AP115" s="115" t="e">
        <f t="shared" si="186"/>
        <v>#VALUE!</v>
      </c>
      <c r="AQ115" s="115" t="e">
        <f t="shared" si="186"/>
        <v>#VALUE!</v>
      </c>
      <c r="AR115" s="115" t="e">
        <f t="shared" si="186"/>
        <v>#VALUE!</v>
      </c>
      <c r="AS115" s="115" t="e">
        <f t="shared" si="186"/>
        <v>#VALUE!</v>
      </c>
      <c r="AT115" s="115" t="e">
        <f t="shared" si="187"/>
        <v>#VALUE!</v>
      </c>
      <c r="AU115" s="115" t="e">
        <f t="shared" si="187"/>
        <v>#VALUE!</v>
      </c>
      <c r="AV115" s="115" t="e">
        <f t="shared" si="187"/>
        <v>#VALUE!</v>
      </c>
      <c r="AW115" s="115" t="e">
        <f t="shared" si="187"/>
        <v>#VALUE!</v>
      </c>
      <c r="AX115" s="115" t="e">
        <f t="shared" si="187"/>
        <v>#VALUE!</v>
      </c>
      <c r="AY115" s="115" t="e">
        <f t="shared" si="187"/>
        <v>#VALUE!</v>
      </c>
      <c r="AZ115" s="115" t="e">
        <f t="shared" si="187"/>
        <v>#VALUE!</v>
      </c>
      <c r="BA115" s="115" t="e">
        <f t="shared" si="187"/>
        <v>#VALUE!</v>
      </c>
      <c r="BB115" s="115" t="e">
        <f t="shared" si="187"/>
        <v>#VALUE!</v>
      </c>
      <c r="BC115" s="115" t="e">
        <f t="shared" si="187"/>
        <v>#VALUE!</v>
      </c>
      <c r="BD115" s="115" t="e">
        <f t="shared" si="188"/>
        <v>#VALUE!</v>
      </c>
      <c r="BE115" s="115" t="e">
        <f t="shared" si="188"/>
        <v>#VALUE!</v>
      </c>
      <c r="BF115" s="115" t="e">
        <f t="shared" si="188"/>
        <v>#VALUE!</v>
      </c>
      <c r="BG115" s="115" t="e">
        <f t="shared" si="188"/>
        <v>#VALUE!</v>
      </c>
      <c r="BH115" s="115" t="e">
        <f t="shared" si="188"/>
        <v>#VALUE!</v>
      </c>
      <c r="BI115" s="115" t="e">
        <f t="shared" si="188"/>
        <v>#VALUE!</v>
      </c>
      <c r="BJ115" s="115" t="e">
        <f t="shared" si="188"/>
        <v>#VALUE!</v>
      </c>
      <c r="BK115" s="115" t="e">
        <f t="shared" si="188"/>
        <v>#VALUE!</v>
      </c>
      <c r="BL115" s="115" t="e">
        <f t="shared" si="188"/>
        <v>#VALUE!</v>
      </c>
      <c r="BM115" s="115" t="e">
        <f t="shared" si="188"/>
        <v>#VALUE!</v>
      </c>
      <c r="BN115" s="115" t="e">
        <f t="shared" si="189"/>
        <v>#VALUE!</v>
      </c>
      <c r="BO115" s="115" t="e">
        <f t="shared" si="189"/>
        <v>#VALUE!</v>
      </c>
      <c r="BP115" s="115" t="e">
        <f t="shared" si="189"/>
        <v>#VALUE!</v>
      </c>
      <c r="BQ115" s="115" t="e">
        <f t="shared" si="189"/>
        <v>#VALUE!</v>
      </c>
      <c r="BR115" s="115" t="e">
        <f t="shared" si="189"/>
        <v>#VALUE!</v>
      </c>
      <c r="BS115" s="115" t="e">
        <f t="shared" si="189"/>
        <v>#VALUE!</v>
      </c>
      <c r="BT115" s="115" t="e">
        <f t="shared" si="189"/>
        <v>#VALUE!</v>
      </c>
      <c r="BU115" s="115" t="e">
        <f t="shared" si="189"/>
        <v>#VALUE!</v>
      </c>
      <c r="BV115" s="115" t="e">
        <f t="shared" si="189"/>
        <v>#VALUE!</v>
      </c>
      <c r="BW115" s="115" t="e">
        <f t="shared" si="189"/>
        <v>#VALUE!</v>
      </c>
      <c r="BX115" s="115" t="e">
        <f t="shared" si="190"/>
        <v>#VALUE!</v>
      </c>
      <c r="BY115" s="115" t="e">
        <f t="shared" si="190"/>
        <v>#VALUE!</v>
      </c>
      <c r="BZ115" s="115" t="e">
        <f t="shared" si="190"/>
        <v>#VALUE!</v>
      </c>
      <c r="CA115" s="115" t="e">
        <f t="shared" si="190"/>
        <v>#VALUE!</v>
      </c>
      <c r="CB115" s="115" t="e">
        <f t="shared" si="190"/>
        <v>#VALUE!</v>
      </c>
      <c r="CC115" s="115" t="e">
        <f t="shared" si="190"/>
        <v>#VALUE!</v>
      </c>
      <c r="CD115" s="115" t="e">
        <f t="shared" si="190"/>
        <v>#VALUE!</v>
      </c>
      <c r="CE115" s="115" t="e">
        <f t="shared" si="190"/>
        <v>#VALUE!</v>
      </c>
      <c r="CF115" s="115" t="e">
        <f t="shared" si="190"/>
        <v>#VALUE!</v>
      </c>
      <c r="CG115" s="115" t="e">
        <f t="shared" si="190"/>
        <v>#VALUE!</v>
      </c>
      <c r="CH115" s="115" t="e">
        <f t="shared" si="191"/>
        <v>#VALUE!</v>
      </c>
      <c r="CI115" s="115" t="e">
        <f t="shared" si="191"/>
        <v>#VALUE!</v>
      </c>
      <c r="CJ115" s="115" t="e">
        <f t="shared" si="191"/>
        <v>#VALUE!</v>
      </c>
      <c r="CK115" s="115" t="e">
        <f t="shared" si="191"/>
        <v>#VALUE!</v>
      </c>
      <c r="CL115" s="115" t="e">
        <f t="shared" si="191"/>
        <v>#VALUE!</v>
      </c>
      <c r="CM115" s="115" t="e">
        <f t="shared" si="191"/>
        <v>#VALUE!</v>
      </c>
      <c r="CN115" s="115" t="e">
        <f t="shared" si="191"/>
        <v>#VALUE!</v>
      </c>
      <c r="CO115" s="115" t="e">
        <f t="shared" si="191"/>
        <v>#VALUE!</v>
      </c>
      <c r="CP115" s="115" t="e">
        <f t="shared" si="191"/>
        <v>#VALUE!</v>
      </c>
      <c r="CQ115" s="115" t="e">
        <f t="shared" si="191"/>
        <v>#VALUE!</v>
      </c>
      <c r="CR115" s="115" t="e">
        <f t="shared" si="192"/>
        <v>#VALUE!</v>
      </c>
      <c r="CS115" s="115" t="e">
        <f t="shared" si="192"/>
        <v>#VALUE!</v>
      </c>
      <c r="CT115" s="115" t="e">
        <f t="shared" si="192"/>
        <v>#VALUE!</v>
      </c>
      <c r="CU115" s="115" t="e">
        <f t="shared" si="192"/>
        <v>#VALUE!</v>
      </c>
      <c r="CV115" s="115" t="e">
        <f t="shared" si="192"/>
        <v>#VALUE!</v>
      </c>
      <c r="CW115" s="115" t="e">
        <f t="shared" si="192"/>
        <v>#VALUE!</v>
      </c>
      <c r="CX115" s="115" t="e">
        <f t="shared" si="192"/>
        <v>#VALUE!</v>
      </c>
      <c r="CY115" s="115" t="e">
        <f t="shared" si="192"/>
        <v>#VALUE!</v>
      </c>
      <c r="CZ115" s="115" t="e">
        <f t="shared" si="192"/>
        <v>#VALUE!</v>
      </c>
      <c r="DA115" s="115" t="e">
        <f t="shared" si="192"/>
        <v>#VALUE!</v>
      </c>
      <c r="DB115" s="115" t="e">
        <f t="shared" si="193"/>
        <v>#VALUE!</v>
      </c>
      <c r="DC115" s="115" t="e">
        <f t="shared" si="193"/>
        <v>#VALUE!</v>
      </c>
      <c r="DD115" s="115" t="e">
        <f t="shared" si="193"/>
        <v>#VALUE!</v>
      </c>
      <c r="DE115" s="115" t="e">
        <f t="shared" si="193"/>
        <v>#VALUE!</v>
      </c>
      <c r="DF115" s="115" t="e">
        <f t="shared" si="193"/>
        <v>#VALUE!</v>
      </c>
      <c r="DG115" s="115" t="e">
        <f t="shared" si="193"/>
        <v>#VALUE!</v>
      </c>
      <c r="DH115" s="115" t="e">
        <f t="shared" si="193"/>
        <v>#VALUE!</v>
      </c>
      <c r="DI115" s="115" t="e">
        <f t="shared" si="193"/>
        <v>#VALUE!</v>
      </c>
      <c r="DJ115" s="115" t="e">
        <f t="shared" si="193"/>
        <v>#VALUE!</v>
      </c>
      <c r="DK115" s="115" t="e">
        <f t="shared" si="193"/>
        <v>#VALUE!</v>
      </c>
      <c r="DL115" s="115" t="e">
        <f t="shared" si="193"/>
        <v>#VALUE!</v>
      </c>
      <c r="DM115" s="115" t="e">
        <f t="shared" si="193"/>
        <v>#VALUE!</v>
      </c>
    </row>
    <row r="116" spans="1:118" ht="15" customHeight="1" thickBot="1">
      <c r="A116" s="55">
        <v>11700</v>
      </c>
      <c r="B116" s="194" t="s">
        <v>728</v>
      </c>
      <c r="C116" s="194" t="s">
        <v>866</v>
      </c>
      <c r="D116" s="194" t="s">
        <v>297</v>
      </c>
      <c r="E116" s="194" t="s">
        <v>298</v>
      </c>
      <c r="F116" s="194" t="s">
        <v>1090</v>
      </c>
      <c r="G116" s="291" t="e">
        <f t="shared" si="180"/>
        <v>#VALUE!</v>
      </c>
      <c r="H116" s="292" t="e">
        <f>VLOOKUP("E2.E.04",Errichtungskosten,12,0)*VLOOKUP("GIF",Instandsetzung,5,0)/100*VLOOKUP("PFAKT",Instandsetzung,5,0)</f>
        <v>#VALUE!</v>
      </c>
      <c r="I116" s="168"/>
      <c r="J116" s="194" t="s">
        <v>850</v>
      </c>
      <c r="K116" s="385">
        <f t="shared" si="181"/>
        <v>50</v>
      </c>
      <c r="L116" s="379" t="s">
        <v>356</v>
      </c>
      <c r="M116" s="325">
        <f t="shared" si="182"/>
        <v>2.77</v>
      </c>
      <c r="N116" s="380">
        <f t="shared" si="183"/>
        <v>1.0105211406096364</v>
      </c>
      <c r="O116" s="381" t="e">
        <f t="shared" si="184"/>
        <v>#VALUE!</v>
      </c>
      <c r="P116" s="169" t="s">
        <v>103</v>
      </c>
      <c r="Q116" s="114" t="e">
        <f t="shared" si="184"/>
        <v>#VALUE!</v>
      </c>
      <c r="R116" s="115" t="e">
        <f t="shared" si="184"/>
        <v>#VALUE!</v>
      </c>
      <c r="S116" s="115" t="e">
        <f t="shared" si="184"/>
        <v>#VALUE!</v>
      </c>
      <c r="T116" s="115" t="e">
        <f t="shared" si="184"/>
        <v>#VALUE!</v>
      </c>
      <c r="U116" s="115" t="e">
        <f t="shared" si="184"/>
        <v>#VALUE!</v>
      </c>
      <c r="V116" s="115" t="e">
        <f t="shared" si="184"/>
        <v>#VALUE!</v>
      </c>
      <c r="W116" s="115" t="e">
        <f t="shared" si="184"/>
        <v>#VALUE!</v>
      </c>
      <c r="X116" s="115" t="e">
        <f t="shared" si="184"/>
        <v>#VALUE!</v>
      </c>
      <c r="Y116" s="115" t="e">
        <f t="shared" si="184"/>
        <v>#VALUE!</v>
      </c>
      <c r="Z116" s="115" t="e">
        <f t="shared" si="185"/>
        <v>#VALUE!</v>
      </c>
      <c r="AA116" s="115" t="e">
        <f t="shared" si="185"/>
        <v>#VALUE!</v>
      </c>
      <c r="AB116" s="115" t="e">
        <f t="shared" si="185"/>
        <v>#VALUE!</v>
      </c>
      <c r="AC116" s="115" t="e">
        <f t="shared" si="185"/>
        <v>#VALUE!</v>
      </c>
      <c r="AD116" s="115" t="e">
        <f t="shared" si="185"/>
        <v>#VALUE!</v>
      </c>
      <c r="AE116" s="115" t="e">
        <f t="shared" si="185"/>
        <v>#VALUE!</v>
      </c>
      <c r="AF116" s="115" t="e">
        <f t="shared" si="185"/>
        <v>#VALUE!</v>
      </c>
      <c r="AG116" s="115" t="e">
        <f t="shared" si="185"/>
        <v>#VALUE!</v>
      </c>
      <c r="AH116" s="115" t="e">
        <f t="shared" si="185"/>
        <v>#VALUE!</v>
      </c>
      <c r="AI116" s="115" t="e">
        <f t="shared" si="185"/>
        <v>#VALUE!</v>
      </c>
      <c r="AJ116" s="115" t="e">
        <f t="shared" si="186"/>
        <v>#VALUE!</v>
      </c>
      <c r="AK116" s="115" t="e">
        <f t="shared" si="186"/>
        <v>#VALUE!</v>
      </c>
      <c r="AL116" s="115" t="e">
        <f t="shared" si="186"/>
        <v>#VALUE!</v>
      </c>
      <c r="AM116" s="115" t="e">
        <f t="shared" si="186"/>
        <v>#VALUE!</v>
      </c>
      <c r="AN116" s="115" t="e">
        <f t="shared" si="186"/>
        <v>#VALUE!</v>
      </c>
      <c r="AO116" s="115" t="e">
        <f t="shared" si="186"/>
        <v>#VALUE!</v>
      </c>
      <c r="AP116" s="115" t="e">
        <f t="shared" si="186"/>
        <v>#VALUE!</v>
      </c>
      <c r="AQ116" s="115" t="e">
        <f t="shared" si="186"/>
        <v>#VALUE!</v>
      </c>
      <c r="AR116" s="115" t="e">
        <f t="shared" si="186"/>
        <v>#VALUE!</v>
      </c>
      <c r="AS116" s="115" t="e">
        <f t="shared" si="186"/>
        <v>#VALUE!</v>
      </c>
      <c r="AT116" s="115" t="e">
        <f t="shared" si="187"/>
        <v>#VALUE!</v>
      </c>
      <c r="AU116" s="115" t="e">
        <f t="shared" si="187"/>
        <v>#VALUE!</v>
      </c>
      <c r="AV116" s="115" t="e">
        <f t="shared" si="187"/>
        <v>#VALUE!</v>
      </c>
      <c r="AW116" s="115" t="e">
        <f t="shared" si="187"/>
        <v>#VALUE!</v>
      </c>
      <c r="AX116" s="115" t="e">
        <f t="shared" si="187"/>
        <v>#VALUE!</v>
      </c>
      <c r="AY116" s="115" t="e">
        <f t="shared" si="187"/>
        <v>#VALUE!</v>
      </c>
      <c r="AZ116" s="115" t="e">
        <f t="shared" si="187"/>
        <v>#VALUE!</v>
      </c>
      <c r="BA116" s="115" t="e">
        <f t="shared" si="187"/>
        <v>#VALUE!</v>
      </c>
      <c r="BB116" s="115" t="e">
        <f t="shared" si="187"/>
        <v>#VALUE!</v>
      </c>
      <c r="BC116" s="115" t="e">
        <f t="shared" si="187"/>
        <v>#VALUE!</v>
      </c>
      <c r="BD116" s="115" t="e">
        <f t="shared" si="188"/>
        <v>#VALUE!</v>
      </c>
      <c r="BE116" s="115" t="e">
        <f t="shared" si="188"/>
        <v>#VALUE!</v>
      </c>
      <c r="BF116" s="115" t="e">
        <f t="shared" si="188"/>
        <v>#VALUE!</v>
      </c>
      <c r="BG116" s="115" t="e">
        <f t="shared" si="188"/>
        <v>#VALUE!</v>
      </c>
      <c r="BH116" s="115" t="e">
        <f t="shared" si="188"/>
        <v>#VALUE!</v>
      </c>
      <c r="BI116" s="115" t="e">
        <f t="shared" si="188"/>
        <v>#VALUE!</v>
      </c>
      <c r="BJ116" s="115" t="e">
        <f t="shared" si="188"/>
        <v>#VALUE!</v>
      </c>
      <c r="BK116" s="115" t="e">
        <f t="shared" si="188"/>
        <v>#VALUE!</v>
      </c>
      <c r="BL116" s="115" t="e">
        <f t="shared" si="188"/>
        <v>#VALUE!</v>
      </c>
      <c r="BM116" s="115" t="e">
        <f t="shared" si="188"/>
        <v>#VALUE!</v>
      </c>
      <c r="BN116" s="115" t="e">
        <f t="shared" si="189"/>
        <v>#VALUE!</v>
      </c>
      <c r="BO116" s="115" t="e">
        <f t="shared" si="189"/>
        <v>#VALUE!</v>
      </c>
      <c r="BP116" s="115" t="e">
        <f t="shared" si="189"/>
        <v>#VALUE!</v>
      </c>
      <c r="BQ116" s="115" t="e">
        <f t="shared" si="189"/>
        <v>#VALUE!</v>
      </c>
      <c r="BR116" s="115" t="e">
        <f t="shared" si="189"/>
        <v>#VALUE!</v>
      </c>
      <c r="BS116" s="115" t="e">
        <f t="shared" si="189"/>
        <v>#VALUE!</v>
      </c>
      <c r="BT116" s="115" t="e">
        <f t="shared" si="189"/>
        <v>#VALUE!</v>
      </c>
      <c r="BU116" s="115" t="e">
        <f t="shared" si="189"/>
        <v>#VALUE!</v>
      </c>
      <c r="BV116" s="115" t="e">
        <f t="shared" si="189"/>
        <v>#VALUE!</v>
      </c>
      <c r="BW116" s="115" t="e">
        <f t="shared" si="189"/>
        <v>#VALUE!</v>
      </c>
      <c r="BX116" s="115" t="e">
        <f t="shared" si="190"/>
        <v>#VALUE!</v>
      </c>
      <c r="BY116" s="115" t="e">
        <f t="shared" si="190"/>
        <v>#VALUE!</v>
      </c>
      <c r="BZ116" s="115" t="e">
        <f t="shared" si="190"/>
        <v>#VALUE!</v>
      </c>
      <c r="CA116" s="115" t="e">
        <f t="shared" si="190"/>
        <v>#VALUE!</v>
      </c>
      <c r="CB116" s="115" t="e">
        <f t="shared" si="190"/>
        <v>#VALUE!</v>
      </c>
      <c r="CC116" s="115" t="e">
        <f t="shared" si="190"/>
        <v>#VALUE!</v>
      </c>
      <c r="CD116" s="115" t="e">
        <f t="shared" si="190"/>
        <v>#VALUE!</v>
      </c>
      <c r="CE116" s="115" t="e">
        <f t="shared" si="190"/>
        <v>#VALUE!</v>
      </c>
      <c r="CF116" s="115" t="e">
        <f t="shared" si="190"/>
        <v>#VALUE!</v>
      </c>
      <c r="CG116" s="115" t="e">
        <f t="shared" si="190"/>
        <v>#VALUE!</v>
      </c>
      <c r="CH116" s="115" t="e">
        <f t="shared" si="191"/>
        <v>#VALUE!</v>
      </c>
      <c r="CI116" s="115" t="e">
        <f t="shared" si="191"/>
        <v>#VALUE!</v>
      </c>
      <c r="CJ116" s="115" t="e">
        <f t="shared" si="191"/>
        <v>#VALUE!</v>
      </c>
      <c r="CK116" s="115" t="e">
        <f t="shared" si="191"/>
        <v>#VALUE!</v>
      </c>
      <c r="CL116" s="115" t="e">
        <f t="shared" si="191"/>
        <v>#VALUE!</v>
      </c>
      <c r="CM116" s="115" t="e">
        <f t="shared" si="191"/>
        <v>#VALUE!</v>
      </c>
      <c r="CN116" s="115" t="e">
        <f t="shared" si="191"/>
        <v>#VALUE!</v>
      </c>
      <c r="CO116" s="115" t="e">
        <f t="shared" si="191"/>
        <v>#VALUE!</v>
      </c>
      <c r="CP116" s="115" t="e">
        <f t="shared" si="191"/>
        <v>#VALUE!</v>
      </c>
      <c r="CQ116" s="115" t="e">
        <f t="shared" si="191"/>
        <v>#VALUE!</v>
      </c>
      <c r="CR116" s="115" t="e">
        <f t="shared" si="192"/>
        <v>#VALUE!</v>
      </c>
      <c r="CS116" s="115" t="e">
        <f t="shared" si="192"/>
        <v>#VALUE!</v>
      </c>
      <c r="CT116" s="115" t="e">
        <f t="shared" si="192"/>
        <v>#VALUE!</v>
      </c>
      <c r="CU116" s="115" t="e">
        <f t="shared" si="192"/>
        <v>#VALUE!</v>
      </c>
      <c r="CV116" s="115" t="e">
        <f t="shared" si="192"/>
        <v>#VALUE!</v>
      </c>
      <c r="CW116" s="115" t="e">
        <f t="shared" si="192"/>
        <v>#VALUE!</v>
      </c>
      <c r="CX116" s="115" t="e">
        <f t="shared" si="192"/>
        <v>#VALUE!</v>
      </c>
      <c r="CY116" s="115" t="e">
        <f t="shared" si="192"/>
        <v>#VALUE!</v>
      </c>
      <c r="CZ116" s="115" t="e">
        <f t="shared" si="192"/>
        <v>#VALUE!</v>
      </c>
      <c r="DA116" s="115" t="e">
        <f t="shared" si="192"/>
        <v>#VALUE!</v>
      </c>
      <c r="DB116" s="115" t="e">
        <f t="shared" si="193"/>
        <v>#VALUE!</v>
      </c>
      <c r="DC116" s="115" t="e">
        <f t="shared" si="193"/>
        <v>#VALUE!</v>
      </c>
      <c r="DD116" s="115" t="e">
        <f t="shared" si="193"/>
        <v>#VALUE!</v>
      </c>
      <c r="DE116" s="115" t="e">
        <f t="shared" si="193"/>
        <v>#VALUE!</v>
      </c>
      <c r="DF116" s="115" t="e">
        <f t="shared" si="193"/>
        <v>#VALUE!</v>
      </c>
      <c r="DG116" s="115" t="e">
        <f t="shared" si="193"/>
        <v>#VALUE!</v>
      </c>
      <c r="DH116" s="115" t="e">
        <f t="shared" si="193"/>
        <v>#VALUE!</v>
      </c>
      <c r="DI116" s="115" t="e">
        <f t="shared" si="193"/>
        <v>#VALUE!</v>
      </c>
      <c r="DJ116" s="115" t="e">
        <f t="shared" si="193"/>
        <v>#VALUE!</v>
      </c>
      <c r="DK116" s="115" t="e">
        <f t="shared" si="193"/>
        <v>#VALUE!</v>
      </c>
      <c r="DL116" s="115" t="e">
        <f t="shared" si="193"/>
        <v>#VALUE!</v>
      </c>
      <c r="DM116" s="115" t="e">
        <f t="shared" si="193"/>
        <v>#VALUE!</v>
      </c>
    </row>
    <row r="117" spans="1:118" ht="15" customHeight="1" thickBot="1">
      <c r="A117" s="55">
        <v>11800</v>
      </c>
      <c r="B117" s="194" t="s">
        <v>728</v>
      </c>
      <c r="C117" s="194" t="s">
        <v>867</v>
      </c>
      <c r="D117" s="194" t="s">
        <v>295</v>
      </c>
      <c r="E117" s="194" t="s">
        <v>296</v>
      </c>
      <c r="F117" s="194" t="s">
        <v>1091</v>
      </c>
      <c r="G117" s="291" t="e">
        <f t="shared" si="180"/>
        <v>#VALUE!</v>
      </c>
      <c r="H117" s="292" t="e">
        <f>VLOOKUP("E2.E.S",Errichtungskosten,12,0)*VLOOKUP("GIF",Instandsetzung,5,0)/100*VLOOKUP("PFAKT",Instandsetzung,5,0)</f>
        <v>#VALUE!</v>
      </c>
      <c r="I117" s="168"/>
      <c r="J117" s="194" t="s">
        <v>850</v>
      </c>
      <c r="K117" s="385">
        <f t="shared" si="181"/>
        <v>50</v>
      </c>
      <c r="L117" s="379" t="s">
        <v>356</v>
      </c>
      <c r="M117" s="325">
        <f t="shared" si="182"/>
        <v>2.77</v>
      </c>
      <c r="N117" s="380">
        <f t="shared" si="183"/>
        <v>1.0105211406096364</v>
      </c>
      <c r="O117" s="381" t="e">
        <f t="shared" si="184"/>
        <v>#VALUE!</v>
      </c>
      <c r="P117" s="169" t="s">
        <v>103</v>
      </c>
      <c r="Q117" s="114" t="e">
        <f t="shared" si="184"/>
        <v>#VALUE!</v>
      </c>
      <c r="R117" s="115" t="e">
        <f t="shared" si="184"/>
        <v>#VALUE!</v>
      </c>
      <c r="S117" s="115" t="e">
        <f t="shared" si="184"/>
        <v>#VALUE!</v>
      </c>
      <c r="T117" s="115" t="e">
        <f t="shared" si="184"/>
        <v>#VALUE!</v>
      </c>
      <c r="U117" s="115" t="e">
        <f t="shared" si="184"/>
        <v>#VALUE!</v>
      </c>
      <c r="V117" s="115" t="e">
        <f t="shared" si="184"/>
        <v>#VALUE!</v>
      </c>
      <c r="W117" s="115" t="e">
        <f t="shared" si="184"/>
        <v>#VALUE!</v>
      </c>
      <c r="X117" s="115" t="e">
        <f t="shared" si="184"/>
        <v>#VALUE!</v>
      </c>
      <c r="Y117" s="115" t="e">
        <f t="shared" si="184"/>
        <v>#VALUE!</v>
      </c>
      <c r="Z117" s="115" t="e">
        <f t="shared" si="185"/>
        <v>#VALUE!</v>
      </c>
      <c r="AA117" s="115" t="e">
        <f t="shared" si="185"/>
        <v>#VALUE!</v>
      </c>
      <c r="AB117" s="115" t="e">
        <f t="shared" si="185"/>
        <v>#VALUE!</v>
      </c>
      <c r="AC117" s="115" t="e">
        <f t="shared" si="185"/>
        <v>#VALUE!</v>
      </c>
      <c r="AD117" s="115" t="e">
        <f t="shared" si="185"/>
        <v>#VALUE!</v>
      </c>
      <c r="AE117" s="115" t="e">
        <f t="shared" si="185"/>
        <v>#VALUE!</v>
      </c>
      <c r="AF117" s="115" t="e">
        <f t="shared" si="185"/>
        <v>#VALUE!</v>
      </c>
      <c r="AG117" s="115" t="e">
        <f t="shared" si="185"/>
        <v>#VALUE!</v>
      </c>
      <c r="AH117" s="115" t="e">
        <f t="shared" si="185"/>
        <v>#VALUE!</v>
      </c>
      <c r="AI117" s="115" t="e">
        <f t="shared" si="185"/>
        <v>#VALUE!</v>
      </c>
      <c r="AJ117" s="115" t="e">
        <f t="shared" si="186"/>
        <v>#VALUE!</v>
      </c>
      <c r="AK117" s="115" t="e">
        <f t="shared" si="186"/>
        <v>#VALUE!</v>
      </c>
      <c r="AL117" s="115" t="e">
        <f t="shared" si="186"/>
        <v>#VALUE!</v>
      </c>
      <c r="AM117" s="115" t="e">
        <f t="shared" si="186"/>
        <v>#VALUE!</v>
      </c>
      <c r="AN117" s="115" t="e">
        <f t="shared" si="186"/>
        <v>#VALUE!</v>
      </c>
      <c r="AO117" s="115" t="e">
        <f t="shared" si="186"/>
        <v>#VALUE!</v>
      </c>
      <c r="AP117" s="115" t="e">
        <f t="shared" si="186"/>
        <v>#VALUE!</v>
      </c>
      <c r="AQ117" s="115" t="e">
        <f t="shared" si="186"/>
        <v>#VALUE!</v>
      </c>
      <c r="AR117" s="115" t="e">
        <f t="shared" si="186"/>
        <v>#VALUE!</v>
      </c>
      <c r="AS117" s="115" t="e">
        <f t="shared" si="186"/>
        <v>#VALUE!</v>
      </c>
      <c r="AT117" s="115" t="e">
        <f t="shared" si="187"/>
        <v>#VALUE!</v>
      </c>
      <c r="AU117" s="115" t="e">
        <f t="shared" si="187"/>
        <v>#VALUE!</v>
      </c>
      <c r="AV117" s="115" t="e">
        <f t="shared" si="187"/>
        <v>#VALUE!</v>
      </c>
      <c r="AW117" s="115" t="e">
        <f t="shared" si="187"/>
        <v>#VALUE!</v>
      </c>
      <c r="AX117" s="115" t="e">
        <f t="shared" si="187"/>
        <v>#VALUE!</v>
      </c>
      <c r="AY117" s="115" t="e">
        <f t="shared" si="187"/>
        <v>#VALUE!</v>
      </c>
      <c r="AZ117" s="115" t="e">
        <f t="shared" si="187"/>
        <v>#VALUE!</v>
      </c>
      <c r="BA117" s="115" t="e">
        <f t="shared" si="187"/>
        <v>#VALUE!</v>
      </c>
      <c r="BB117" s="115" t="e">
        <f t="shared" si="187"/>
        <v>#VALUE!</v>
      </c>
      <c r="BC117" s="115" t="e">
        <f t="shared" si="187"/>
        <v>#VALUE!</v>
      </c>
      <c r="BD117" s="115" t="e">
        <f t="shared" si="188"/>
        <v>#VALUE!</v>
      </c>
      <c r="BE117" s="115" t="e">
        <f t="shared" si="188"/>
        <v>#VALUE!</v>
      </c>
      <c r="BF117" s="115" t="e">
        <f t="shared" si="188"/>
        <v>#VALUE!</v>
      </c>
      <c r="BG117" s="115" t="e">
        <f t="shared" si="188"/>
        <v>#VALUE!</v>
      </c>
      <c r="BH117" s="115" t="e">
        <f t="shared" si="188"/>
        <v>#VALUE!</v>
      </c>
      <c r="BI117" s="115" t="e">
        <f t="shared" si="188"/>
        <v>#VALUE!</v>
      </c>
      <c r="BJ117" s="115" t="e">
        <f t="shared" si="188"/>
        <v>#VALUE!</v>
      </c>
      <c r="BK117" s="115" t="e">
        <f t="shared" si="188"/>
        <v>#VALUE!</v>
      </c>
      <c r="BL117" s="115" t="e">
        <f t="shared" si="188"/>
        <v>#VALUE!</v>
      </c>
      <c r="BM117" s="115" t="e">
        <f t="shared" si="188"/>
        <v>#VALUE!</v>
      </c>
      <c r="BN117" s="115" t="e">
        <f t="shared" si="189"/>
        <v>#VALUE!</v>
      </c>
      <c r="BO117" s="115" t="e">
        <f t="shared" si="189"/>
        <v>#VALUE!</v>
      </c>
      <c r="BP117" s="115" t="e">
        <f t="shared" si="189"/>
        <v>#VALUE!</v>
      </c>
      <c r="BQ117" s="115" t="e">
        <f t="shared" si="189"/>
        <v>#VALUE!</v>
      </c>
      <c r="BR117" s="115" t="e">
        <f t="shared" si="189"/>
        <v>#VALUE!</v>
      </c>
      <c r="BS117" s="115" t="e">
        <f t="shared" si="189"/>
        <v>#VALUE!</v>
      </c>
      <c r="BT117" s="115" t="e">
        <f t="shared" si="189"/>
        <v>#VALUE!</v>
      </c>
      <c r="BU117" s="115" t="e">
        <f t="shared" si="189"/>
        <v>#VALUE!</v>
      </c>
      <c r="BV117" s="115" t="e">
        <f t="shared" si="189"/>
        <v>#VALUE!</v>
      </c>
      <c r="BW117" s="115" t="e">
        <f t="shared" si="189"/>
        <v>#VALUE!</v>
      </c>
      <c r="BX117" s="115" t="e">
        <f t="shared" si="190"/>
        <v>#VALUE!</v>
      </c>
      <c r="BY117" s="115" t="e">
        <f t="shared" si="190"/>
        <v>#VALUE!</v>
      </c>
      <c r="BZ117" s="115" t="e">
        <f t="shared" si="190"/>
        <v>#VALUE!</v>
      </c>
      <c r="CA117" s="115" t="e">
        <f t="shared" si="190"/>
        <v>#VALUE!</v>
      </c>
      <c r="CB117" s="115" t="e">
        <f t="shared" si="190"/>
        <v>#VALUE!</v>
      </c>
      <c r="CC117" s="115" t="e">
        <f t="shared" si="190"/>
        <v>#VALUE!</v>
      </c>
      <c r="CD117" s="115" t="e">
        <f t="shared" si="190"/>
        <v>#VALUE!</v>
      </c>
      <c r="CE117" s="115" t="e">
        <f t="shared" si="190"/>
        <v>#VALUE!</v>
      </c>
      <c r="CF117" s="115" t="e">
        <f t="shared" si="190"/>
        <v>#VALUE!</v>
      </c>
      <c r="CG117" s="115" t="e">
        <f t="shared" si="190"/>
        <v>#VALUE!</v>
      </c>
      <c r="CH117" s="115" t="e">
        <f t="shared" si="191"/>
        <v>#VALUE!</v>
      </c>
      <c r="CI117" s="115" t="e">
        <f t="shared" si="191"/>
        <v>#VALUE!</v>
      </c>
      <c r="CJ117" s="115" t="e">
        <f t="shared" si="191"/>
        <v>#VALUE!</v>
      </c>
      <c r="CK117" s="115" t="e">
        <f t="shared" si="191"/>
        <v>#VALUE!</v>
      </c>
      <c r="CL117" s="115" t="e">
        <f t="shared" si="191"/>
        <v>#VALUE!</v>
      </c>
      <c r="CM117" s="115" t="e">
        <f t="shared" si="191"/>
        <v>#VALUE!</v>
      </c>
      <c r="CN117" s="115" t="e">
        <f t="shared" si="191"/>
        <v>#VALUE!</v>
      </c>
      <c r="CO117" s="115" t="e">
        <f t="shared" si="191"/>
        <v>#VALUE!</v>
      </c>
      <c r="CP117" s="115" t="e">
        <f t="shared" si="191"/>
        <v>#VALUE!</v>
      </c>
      <c r="CQ117" s="115" t="e">
        <f t="shared" si="191"/>
        <v>#VALUE!</v>
      </c>
      <c r="CR117" s="115" t="e">
        <f t="shared" si="192"/>
        <v>#VALUE!</v>
      </c>
      <c r="CS117" s="115" t="e">
        <f t="shared" si="192"/>
        <v>#VALUE!</v>
      </c>
      <c r="CT117" s="115" t="e">
        <f t="shared" si="192"/>
        <v>#VALUE!</v>
      </c>
      <c r="CU117" s="115" t="e">
        <f t="shared" si="192"/>
        <v>#VALUE!</v>
      </c>
      <c r="CV117" s="115" t="e">
        <f t="shared" si="192"/>
        <v>#VALUE!</v>
      </c>
      <c r="CW117" s="115" t="e">
        <f t="shared" si="192"/>
        <v>#VALUE!</v>
      </c>
      <c r="CX117" s="115" t="e">
        <f t="shared" si="192"/>
        <v>#VALUE!</v>
      </c>
      <c r="CY117" s="115" t="e">
        <f t="shared" si="192"/>
        <v>#VALUE!</v>
      </c>
      <c r="CZ117" s="115" t="e">
        <f t="shared" si="192"/>
        <v>#VALUE!</v>
      </c>
      <c r="DA117" s="115" t="e">
        <f t="shared" si="192"/>
        <v>#VALUE!</v>
      </c>
      <c r="DB117" s="115" t="e">
        <f t="shared" si="193"/>
        <v>#VALUE!</v>
      </c>
      <c r="DC117" s="115" t="e">
        <f t="shared" si="193"/>
        <v>#VALUE!</v>
      </c>
      <c r="DD117" s="115" t="e">
        <f t="shared" si="193"/>
        <v>#VALUE!</v>
      </c>
      <c r="DE117" s="115" t="e">
        <f t="shared" si="193"/>
        <v>#VALUE!</v>
      </c>
      <c r="DF117" s="115" t="e">
        <f t="shared" si="193"/>
        <v>#VALUE!</v>
      </c>
      <c r="DG117" s="115" t="e">
        <f t="shared" si="193"/>
        <v>#VALUE!</v>
      </c>
      <c r="DH117" s="115" t="e">
        <f t="shared" si="193"/>
        <v>#VALUE!</v>
      </c>
      <c r="DI117" s="115" t="e">
        <f t="shared" si="193"/>
        <v>#VALUE!</v>
      </c>
      <c r="DJ117" s="115" t="e">
        <f t="shared" si="193"/>
        <v>#VALUE!</v>
      </c>
      <c r="DK117" s="115" t="e">
        <f t="shared" si="193"/>
        <v>#VALUE!</v>
      </c>
      <c r="DL117" s="115" t="e">
        <f t="shared" si="193"/>
        <v>#VALUE!</v>
      </c>
      <c r="DM117" s="115" t="e">
        <f t="shared" si="193"/>
        <v>#VALUE!</v>
      </c>
    </row>
    <row r="118" spans="1:118" ht="15" customHeight="1" thickBot="1">
      <c r="A118" s="55">
        <v>12000</v>
      </c>
      <c r="B118" s="194" t="s">
        <v>728</v>
      </c>
      <c r="C118" s="194" t="s">
        <v>868</v>
      </c>
      <c r="D118" s="194" t="s">
        <v>869</v>
      </c>
      <c r="E118" s="194" t="s">
        <v>294</v>
      </c>
      <c r="F118" s="194" t="s">
        <v>1092</v>
      </c>
      <c r="G118" s="291" t="e">
        <f t="shared" si="180"/>
        <v>#VALUE!</v>
      </c>
      <c r="H118" s="292" t="e">
        <f>VLOOKUP("E2.S",Errichtungskosten,12,0)*VLOOKUP("GIF",Instandsetzung,5,0)/100*VLOOKUP("PFAKT",Instandsetzung,5,0)</f>
        <v>#VALUE!</v>
      </c>
      <c r="I118" s="168"/>
      <c r="J118" s="194" t="s">
        <v>850</v>
      </c>
      <c r="K118" s="385">
        <f t="shared" si="181"/>
        <v>50</v>
      </c>
      <c r="L118" s="379" t="s">
        <v>356</v>
      </c>
      <c r="M118" s="325">
        <f t="shared" si="182"/>
        <v>2.77</v>
      </c>
      <c r="N118" s="380">
        <f t="shared" si="183"/>
        <v>1.0105211406096364</v>
      </c>
      <c r="O118" s="381" t="e">
        <f t="shared" si="184"/>
        <v>#VALUE!</v>
      </c>
      <c r="P118" s="169" t="s">
        <v>103</v>
      </c>
      <c r="Q118" s="114" t="e">
        <f t="shared" si="184"/>
        <v>#VALUE!</v>
      </c>
      <c r="R118" s="115" t="e">
        <f t="shared" si="184"/>
        <v>#VALUE!</v>
      </c>
      <c r="S118" s="115" t="e">
        <f t="shared" si="184"/>
        <v>#VALUE!</v>
      </c>
      <c r="T118" s="115" t="e">
        <f t="shared" si="184"/>
        <v>#VALUE!</v>
      </c>
      <c r="U118" s="115" t="e">
        <f t="shared" si="184"/>
        <v>#VALUE!</v>
      </c>
      <c r="V118" s="115" t="e">
        <f t="shared" si="184"/>
        <v>#VALUE!</v>
      </c>
      <c r="W118" s="115" t="e">
        <f t="shared" si="184"/>
        <v>#VALUE!</v>
      </c>
      <c r="X118" s="115" t="e">
        <f t="shared" si="184"/>
        <v>#VALUE!</v>
      </c>
      <c r="Y118" s="115" t="e">
        <f t="shared" si="184"/>
        <v>#VALUE!</v>
      </c>
      <c r="Z118" s="115" t="e">
        <f t="shared" si="185"/>
        <v>#VALUE!</v>
      </c>
      <c r="AA118" s="115" t="e">
        <f t="shared" si="185"/>
        <v>#VALUE!</v>
      </c>
      <c r="AB118" s="115" t="e">
        <f t="shared" si="185"/>
        <v>#VALUE!</v>
      </c>
      <c r="AC118" s="115" t="e">
        <f t="shared" si="185"/>
        <v>#VALUE!</v>
      </c>
      <c r="AD118" s="115" t="e">
        <f t="shared" si="185"/>
        <v>#VALUE!</v>
      </c>
      <c r="AE118" s="115" t="e">
        <f t="shared" si="185"/>
        <v>#VALUE!</v>
      </c>
      <c r="AF118" s="115" t="e">
        <f t="shared" si="185"/>
        <v>#VALUE!</v>
      </c>
      <c r="AG118" s="115" t="e">
        <f t="shared" si="185"/>
        <v>#VALUE!</v>
      </c>
      <c r="AH118" s="115" t="e">
        <f t="shared" si="185"/>
        <v>#VALUE!</v>
      </c>
      <c r="AI118" s="115" t="e">
        <f t="shared" si="185"/>
        <v>#VALUE!</v>
      </c>
      <c r="AJ118" s="115" t="e">
        <f t="shared" si="186"/>
        <v>#VALUE!</v>
      </c>
      <c r="AK118" s="115" t="e">
        <f t="shared" si="186"/>
        <v>#VALUE!</v>
      </c>
      <c r="AL118" s="115" t="e">
        <f t="shared" si="186"/>
        <v>#VALUE!</v>
      </c>
      <c r="AM118" s="115" t="e">
        <f t="shared" si="186"/>
        <v>#VALUE!</v>
      </c>
      <c r="AN118" s="115" t="e">
        <f t="shared" si="186"/>
        <v>#VALUE!</v>
      </c>
      <c r="AO118" s="115" t="e">
        <f t="shared" si="186"/>
        <v>#VALUE!</v>
      </c>
      <c r="AP118" s="115" t="e">
        <f t="shared" si="186"/>
        <v>#VALUE!</v>
      </c>
      <c r="AQ118" s="115" t="e">
        <f t="shared" si="186"/>
        <v>#VALUE!</v>
      </c>
      <c r="AR118" s="115" t="e">
        <f t="shared" si="186"/>
        <v>#VALUE!</v>
      </c>
      <c r="AS118" s="115" t="e">
        <f t="shared" si="186"/>
        <v>#VALUE!</v>
      </c>
      <c r="AT118" s="115" t="e">
        <f t="shared" si="187"/>
        <v>#VALUE!</v>
      </c>
      <c r="AU118" s="115" t="e">
        <f t="shared" si="187"/>
        <v>#VALUE!</v>
      </c>
      <c r="AV118" s="115" t="e">
        <f t="shared" si="187"/>
        <v>#VALUE!</v>
      </c>
      <c r="AW118" s="115" t="e">
        <f t="shared" si="187"/>
        <v>#VALUE!</v>
      </c>
      <c r="AX118" s="115" t="e">
        <f t="shared" si="187"/>
        <v>#VALUE!</v>
      </c>
      <c r="AY118" s="115" t="e">
        <f t="shared" si="187"/>
        <v>#VALUE!</v>
      </c>
      <c r="AZ118" s="115" t="e">
        <f t="shared" si="187"/>
        <v>#VALUE!</v>
      </c>
      <c r="BA118" s="115" t="e">
        <f t="shared" si="187"/>
        <v>#VALUE!</v>
      </c>
      <c r="BB118" s="115" t="e">
        <f t="shared" si="187"/>
        <v>#VALUE!</v>
      </c>
      <c r="BC118" s="115" t="e">
        <f t="shared" si="187"/>
        <v>#VALUE!</v>
      </c>
      <c r="BD118" s="115" t="e">
        <f t="shared" si="188"/>
        <v>#VALUE!</v>
      </c>
      <c r="BE118" s="115" t="e">
        <f t="shared" si="188"/>
        <v>#VALUE!</v>
      </c>
      <c r="BF118" s="115" t="e">
        <f t="shared" si="188"/>
        <v>#VALUE!</v>
      </c>
      <c r="BG118" s="115" t="e">
        <f t="shared" si="188"/>
        <v>#VALUE!</v>
      </c>
      <c r="BH118" s="115" t="e">
        <f t="shared" si="188"/>
        <v>#VALUE!</v>
      </c>
      <c r="BI118" s="115" t="e">
        <f t="shared" si="188"/>
        <v>#VALUE!</v>
      </c>
      <c r="BJ118" s="115" t="e">
        <f t="shared" si="188"/>
        <v>#VALUE!</v>
      </c>
      <c r="BK118" s="115" t="e">
        <f t="shared" si="188"/>
        <v>#VALUE!</v>
      </c>
      <c r="BL118" s="115" t="e">
        <f t="shared" si="188"/>
        <v>#VALUE!</v>
      </c>
      <c r="BM118" s="115" t="e">
        <f t="shared" si="188"/>
        <v>#VALUE!</v>
      </c>
      <c r="BN118" s="115" t="e">
        <f t="shared" si="189"/>
        <v>#VALUE!</v>
      </c>
      <c r="BO118" s="115" t="e">
        <f t="shared" si="189"/>
        <v>#VALUE!</v>
      </c>
      <c r="BP118" s="115" t="e">
        <f t="shared" si="189"/>
        <v>#VALUE!</v>
      </c>
      <c r="BQ118" s="115" t="e">
        <f t="shared" si="189"/>
        <v>#VALUE!</v>
      </c>
      <c r="BR118" s="115" t="e">
        <f t="shared" si="189"/>
        <v>#VALUE!</v>
      </c>
      <c r="BS118" s="115" t="e">
        <f t="shared" si="189"/>
        <v>#VALUE!</v>
      </c>
      <c r="BT118" s="115" t="e">
        <f t="shared" si="189"/>
        <v>#VALUE!</v>
      </c>
      <c r="BU118" s="115" t="e">
        <f t="shared" si="189"/>
        <v>#VALUE!</v>
      </c>
      <c r="BV118" s="115" t="e">
        <f t="shared" si="189"/>
        <v>#VALUE!</v>
      </c>
      <c r="BW118" s="115" t="e">
        <f t="shared" si="189"/>
        <v>#VALUE!</v>
      </c>
      <c r="BX118" s="115" t="e">
        <f t="shared" si="190"/>
        <v>#VALUE!</v>
      </c>
      <c r="BY118" s="115" t="e">
        <f t="shared" si="190"/>
        <v>#VALUE!</v>
      </c>
      <c r="BZ118" s="115" t="e">
        <f t="shared" si="190"/>
        <v>#VALUE!</v>
      </c>
      <c r="CA118" s="115" t="e">
        <f t="shared" si="190"/>
        <v>#VALUE!</v>
      </c>
      <c r="CB118" s="115" t="e">
        <f t="shared" si="190"/>
        <v>#VALUE!</v>
      </c>
      <c r="CC118" s="115" t="e">
        <f t="shared" si="190"/>
        <v>#VALUE!</v>
      </c>
      <c r="CD118" s="115" t="e">
        <f t="shared" si="190"/>
        <v>#VALUE!</v>
      </c>
      <c r="CE118" s="115" t="e">
        <f t="shared" si="190"/>
        <v>#VALUE!</v>
      </c>
      <c r="CF118" s="115" t="e">
        <f t="shared" si="190"/>
        <v>#VALUE!</v>
      </c>
      <c r="CG118" s="115" t="e">
        <f t="shared" si="190"/>
        <v>#VALUE!</v>
      </c>
      <c r="CH118" s="115" t="e">
        <f t="shared" si="191"/>
        <v>#VALUE!</v>
      </c>
      <c r="CI118" s="115" t="e">
        <f t="shared" si="191"/>
        <v>#VALUE!</v>
      </c>
      <c r="CJ118" s="115" t="e">
        <f t="shared" si="191"/>
        <v>#VALUE!</v>
      </c>
      <c r="CK118" s="115" t="e">
        <f t="shared" si="191"/>
        <v>#VALUE!</v>
      </c>
      <c r="CL118" s="115" t="e">
        <f t="shared" si="191"/>
        <v>#VALUE!</v>
      </c>
      <c r="CM118" s="115" t="e">
        <f t="shared" si="191"/>
        <v>#VALUE!</v>
      </c>
      <c r="CN118" s="115" t="e">
        <f t="shared" si="191"/>
        <v>#VALUE!</v>
      </c>
      <c r="CO118" s="115" t="e">
        <f t="shared" si="191"/>
        <v>#VALUE!</v>
      </c>
      <c r="CP118" s="115" t="e">
        <f t="shared" si="191"/>
        <v>#VALUE!</v>
      </c>
      <c r="CQ118" s="115" t="e">
        <f t="shared" si="191"/>
        <v>#VALUE!</v>
      </c>
      <c r="CR118" s="115" t="e">
        <f t="shared" si="192"/>
        <v>#VALUE!</v>
      </c>
      <c r="CS118" s="115" t="e">
        <f t="shared" si="192"/>
        <v>#VALUE!</v>
      </c>
      <c r="CT118" s="115" t="e">
        <f t="shared" si="192"/>
        <v>#VALUE!</v>
      </c>
      <c r="CU118" s="115" t="e">
        <f t="shared" si="192"/>
        <v>#VALUE!</v>
      </c>
      <c r="CV118" s="115" t="e">
        <f t="shared" si="192"/>
        <v>#VALUE!</v>
      </c>
      <c r="CW118" s="115" t="e">
        <f t="shared" si="192"/>
        <v>#VALUE!</v>
      </c>
      <c r="CX118" s="115" t="e">
        <f t="shared" si="192"/>
        <v>#VALUE!</v>
      </c>
      <c r="CY118" s="115" t="e">
        <f t="shared" si="192"/>
        <v>#VALUE!</v>
      </c>
      <c r="CZ118" s="115" t="e">
        <f t="shared" si="192"/>
        <v>#VALUE!</v>
      </c>
      <c r="DA118" s="115" t="e">
        <f t="shared" si="192"/>
        <v>#VALUE!</v>
      </c>
      <c r="DB118" s="115" t="e">
        <f t="shared" si="193"/>
        <v>#VALUE!</v>
      </c>
      <c r="DC118" s="115" t="e">
        <f t="shared" si="193"/>
        <v>#VALUE!</v>
      </c>
      <c r="DD118" s="115" t="e">
        <f t="shared" si="193"/>
        <v>#VALUE!</v>
      </c>
      <c r="DE118" s="115" t="e">
        <f t="shared" si="193"/>
        <v>#VALUE!</v>
      </c>
      <c r="DF118" s="115" t="e">
        <f t="shared" si="193"/>
        <v>#VALUE!</v>
      </c>
      <c r="DG118" s="115" t="e">
        <f t="shared" si="193"/>
        <v>#VALUE!</v>
      </c>
      <c r="DH118" s="115" t="e">
        <f t="shared" si="193"/>
        <v>#VALUE!</v>
      </c>
      <c r="DI118" s="115" t="e">
        <f t="shared" si="193"/>
        <v>#VALUE!</v>
      </c>
      <c r="DJ118" s="115" t="e">
        <f t="shared" si="193"/>
        <v>#VALUE!</v>
      </c>
      <c r="DK118" s="115" t="e">
        <f t="shared" si="193"/>
        <v>#VALUE!</v>
      </c>
      <c r="DL118" s="115" t="e">
        <f t="shared" si="193"/>
        <v>#VALUE!</v>
      </c>
      <c r="DM118" s="115" t="e">
        <f t="shared" si="193"/>
        <v>#VALUE!</v>
      </c>
    </row>
    <row r="119" spans="1:118" s="107" customFormat="1" ht="15" customHeight="1" thickBot="1">
      <c r="A119" s="293">
        <v>12200</v>
      </c>
      <c r="B119" s="172" t="s">
        <v>743</v>
      </c>
      <c r="C119" s="172" t="s">
        <v>870</v>
      </c>
      <c r="D119" s="172" t="s">
        <v>871</v>
      </c>
      <c r="E119" s="172"/>
      <c r="F119" s="172"/>
      <c r="G119" s="172"/>
      <c r="H119" s="172"/>
      <c r="I119" s="172"/>
      <c r="J119" s="172"/>
      <c r="K119" s="386"/>
      <c r="L119" s="172"/>
      <c r="M119" s="293"/>
      <c r="N119" s="293"/>
      <c r="O119" s="376" t="e">
        <f>SUM(O120:O121,O123:O126,O129:O135,O137:O142,O144:O153)</f>
        <v>#VALUE!</v>
      </c>
      <c r="P119" s="377" t="s">
        <v>103</v>
      </c>
      <c r="Q119" s="116"/>
      <c r="R119" s="116"/>
      <c r="S119" s="116"/>
      <c r="T119" s="116"/>
      <c r="U119" s="116"/>
      <c r="V119" s="116"/>
      <c r="W119" s="116"/>
      <c r="X119" s="116"/>
      <c r="Y119" s="116"/>
      <c r="Z119" s="116"/>
      <c r="AA119" s="116"/>
      <c r="AB119" s="116"/>
      <c r="AC119" s="116"/>
      <c r="AD119" s="116"/>
      <c r="AE119" s="116"/>
      <c r="AF119" s="116"/>
      <c r="AG119" s="116"/>
      <c r="AH119" s="116"/>
      <c r="AI119" s="116"/>
      <c r="AJ119" s="116"/>
      <c r="AK119" s="116"/>
      <c r="AL119" s="116"/>
      <c r="AM119" s="116"/>
      <c r="AN119" s="116"/>
      <c r="AO119" s="116"/>
      <c r="AP119" s="116"/>
      <c r="AQ119" s="116"/>
      <c r="AR119" s="116"/>
      <c r="AS119" s="116"/>
      <c r="AT119" s="116"/>
      <c r="AU119" s="116"/>
      <c r="AV119" s="116"/>
      <c r="AW119" s="116"/>
      <c r="AX119" s="116"/>
      <c r="AY119" s="116"/>
      <c r="AZ119" s="116"/>
      <c r="BA119" s="116"/>
      <c r="BB119" s="116"/>
      <c r="BC119" s="116"/>
      <c r="BD119" s="116"/>
      <c r="BE119" s="116"/>
      <c r="BF119" s="116"/>
      <c r="BG119" s="116"/>
      <c r="BH119" s="116"/>
      <c r="BI119" s="116"/>
      <c r="BJ119" s="116"/>
      <c r="BK119" s="116"/>
      <c r="BL119" s="116"/>
      <c r="BM119" s="116"/>
      <c r="BN119" s="116"/>
      <c r="BO119" s="116"/>
      <c r="BP119" s="116"/>
      <c r="BQ119" s="116"/>
      <c r="BR119" s="116"/>
      <c r="BS119" s="116"/>
      <c r="BT119" s="116"/>
      <c r="BU119" s="116"/>
      <c r="BV119" s="116"/>
      <c r="BW119" s="116"/>
      <c r="BX119" s="116"/>
      <c r="BY119" s="116"/>
      <c r="BZ119" s="116"/>
      <c r="CA119" s="116"/>
      <c r="CB119" s="116"/>
      <c r="CC119" s="116"/>
      <c r="CD119" s="116"/>
      <c r="CE119" s="116"/>
      <c r="CF119" s="116"/>
      <c r="CG119" s="116"/>
      <c r="CH119" s="116"/>
      <c r="CI119" s="116"/>
      <c r="CJ119" s="116"/>
      <c r="CK119" s="116"/>
      <c r="CL119" s="116"/>
      <c r="CM119" s="116"/>
      <c r="CN119" s="116"/>
      <c r="CO119" s="116"/>
      <c r="CP119" s="116"/>
      <c r="CQ119" s="116"/>
      <c r="CR119" s="116"/>
      <c r="CS119" s="116"/>
      <c r="CT119" s="116"/>
      <c r="CU119" s="116"/>
      <c r="CV119" s="116"/>
      <c r="CW119" s="116"/>
      <c r="CX119" s="116"/>
      <c r="CY119" s="116"/>
      <c r="CZ119" s="116"/>
      <c r="DA119" s="116"/>
      <c r="DB119" s="116"/>
      <c r="DC119" s="116"/>
      <c r="DD119" s="116"/>
      <c r="DE119" s="116"/>
      <c r="DF119" s="116"/>
      <c r="DG119" s="116"/>
      <c r="DH119" s="116"/>
      <c r="DI119" s="116"/>
      <c r="DJ119" s="116"/>
      <c r="DK119" s="116"/>
      <c r="DL119" s="116"/>
      <c r="DM119" s="116"/>
      <c r="DN119" s="367"/>
    </row>
    <row r="120" spans="1:118" ht="15" customHeight="1" thickBot="1">
      <c r="A120" s="55">
        <v>12300</v>
      </c>
      <c r="B120" s="194" t="s">
        <v>728</v>
      </c>
      <c r="C120" s="194" t="s">
        <v>872</v>
      </c>
      <c r="D120" s="194" t="s">
        <v>873</v>
      </c>
      <c r="E120" s="194" t="s">
        <v>289</v>
      </c>
      <c r="F120" s="194" t="s">
        <v>1093</v>
      </c>
      <c r="G120" s="291" t="e">
        <f t="shared" ref="G120:G121" si="194">IF(I120="",H120,I120)</f>
        <v>#VALUE!</v>
      </c>
      <c r="H120" s="292" t="e">
        <f>VLOOKUP("E3.A",Errichtungskosten,12,0) *VLOOKUP("PFAKT",Instandsetzung,5,0)</f>
        <v>#VALUE!</v>
      </c>
      <c r="I120" s="168"/>
      <c r="J120" s="194" t="s">
        <v>850</v>
      </c>
      <c r="K120" s="385">
        <f>IF(ISNUMBER(VLOOKUP(E120,Nutzungsdauern,5,0)),VLOOKUP(E120,Nutzungsdauern,5,0),1000)</f>
        <v>25</v>
      </c>
      <c r="L120" s="379" t="s">
        <v>358</v>
      </c>
      <c r="M120" s="325">
        <f>VLOOKUP(L120,Finanzielle_Parameter,5,0)</f>
        <v>1.35</v>
      </c>
      <c r="N120" s="380">
        <f>(1+VLOOKUP(L120,Finanzielle_Parameter,5,0)/100)/(1+VLOOKUP("R",Finanzielle_Parameter,5,0)/100)</f>
        <v>0.99655850540806312</v>
      </c>
      <c r="O120" s="381" t="e">
        <f t="shared" ref="O120:Y121" si="195">IF($N120&lt;&gt;1,$G120*($N120^$K120)*(($N120^($K120*INT(O$2/$K120))-1)/($N120^$K120-1)),$G120*INT(O$2/$K120))</f>
        <v>#VALUE!</v>
      </c>
      <c r="P120" s="169" t="s">
        <v>103</v>
      </c>
      <c r="Q120" s="114" t="e">
        <f t="shared" si="195"/>
        <v>#VALUE!</v>
      </c>
      <c r="R120" s="115" t="e">
        <f t="shared" si="195"/>
        <v>#VALUE!</v>
      </c>
      <c r="S120" s="115" t="e">
        <f t="shared" si="195"/>
        <v>#VALUE!</v>
      </c>
      <c r="T120" s="115" t="e">
        <f t="shared" si="195"/>
        <v>#VALUE!</v>
      </c>
      <c r="U120" s="115" t="e">
        <f t="shared" si="195"/>
        <v>#VALUE!</v>
      </c>
      <c r="V120" s="115" t="e">
        <f t="shared" si="195"/>
        <v>#VALUE!</v>
      </c>
      <c r="W120" s="115" t="e">
        <f t="shared" si="195"/>
        <v>#VALUE!</v>
      </c>
      <c r="X120" s="115" t="e">
        <f t="shared" si="195"/>
        <v>#VALUE!</v>
      </c>
      <c r="Y120" s="115" t="e">
        <f t="shared" si="195"/>
        <v>#VALUE!</v>
      </c>
      <c r="Z120" s="115" t="e">
        <f t="shared" ref="Z120:AI121" si="196">IF($N120&lt;&gt;1,$G120*($N120^$K120)*(($N120^($K120*INT(Z$2/$K120))-1)/($N120^$K120-1)),$G120*INT(Z$2/$K120))</f>
        <v>#VALUE!</v>
      </c>
      <c r="AA120" s="115" t="e">
        <f t="shared" si="196"/>
        <v>#VALUE!</v>
      </c>
      <c r="AB120" s="115" t="e">
        <f t="shared" si="196"/>
        <v>#VALUE!</v>
      </c>
      <c r="AC120" s="115" t="e">
        <f t="shared" si="196"/>
        <v>#VALUE!</v>
      </c>
      <c r="AD120" s="115" t="e">
        <f t="shared" si="196"/>
        <v>#VALUE!</v>
      </c>
      <c r="AE120" s="115" t="e">
        <f t="shared" si="196"/>
        <v>#VALUE!</v>
      </c>
      <c r="AF120" s="115" t="e">
        <f t="shared" si="196"/>
        <v>#VALUE!</v>
      </c>
      <c r="AG120" s="115" t="e">
        <f t="shared" si="196"/>
        <v>#VALUE!</v>
      </c>
      <c r="AH120" s="115" t="e">
        <f t="shared" si="196"/>
        <v>#VALUE!</v>
      </c>
      <c r="AI120" s="115" t="e">
        <f t="shared" si="196"/>
        <v>#VALUE!</v>
      </c>
      <c r="AJ120" s="115" t="e">
        <f t="shared" ref="AJ120:AS121" si="197">IF($N120&lt;&gt;1,$G120*($N120^$K120)*(($N120^($K120*INT(AJ$2/$K120))-1)/($N120^$K120-1)),$G120*INT(AJ$2/$K120))</f>
        <v>#VALUE!</v>
      </c>
      <c r="AK120" s="115" t="e">
        <f t="shared" si="197"/>
        <v>#VALUE!</v>
      </c>
      <c r="AL120" s="115" t="e">
        <f t="shared" si="197"/>
        <v>#VALUE!</v>
      </c>
      <c r="AM120" s="115" t="e">
        <f t="shared" si="197"/>
        <v>#VALUE!</v>
      </c>
      <c r="AN120" s="115" t="e">
        <f t="shared" si="197"/>
        <v>#VALUE!</v>
      </c>
      <c r="AO120" s="115" t="e">
        <f t="shared" si="197"/>
        <v>#VALUE!</v>
      </c>
      <c r="AP120" s="115" t="e">
        <f t="shared" si="197"/>
        <v>#VALUE!</v>
      </c>
      <c r="AQ120" s="115" t="e">
        <f t="shared" si="197"/>
        <v>#VALUE!</v>
      </c>
      <c r="AR120" s="115" t="e">
        <f t="shared" si="197"/>
        <v>#VALUE!</v>
      </c>
      <c r="AS120" s="115" t="e">
        <f t="shared" si="197"/>
        <v>#VALUE!</v>
      </c>
      <c r="AT120" s="115" t="e">
        <f t="shared" ref="AT120:BC121" si="198">IF($N120&lt;&gt;1,$G120*($N120^$K120)*(($N120^($K120*INT(AT$2/$K120))-1)/($N120^$K120-1)),$G120*INT(AT$2/$K120))</f>
        <v>#VALUE!</v>
      </c>
      <c r="AU120" s="115" t="e">
        <f t="shared" si="198"/>
        <v>#VALUE!</v>
      </c>
      <c r="AV120" s="115" t="e">
        <f t="shared" si="198"/>
        <v>#VALUE!</v>
      </c>
      <c r="AW120" s="115" t="e">
        <f t="shared" si="198"/>
        <v>#VALUE!</v>
      </c>
      <c r="AX120" s="115" t="e">
        <f t="shared" si="198"/>
        <v>#VALUE!</v>
      </c>
      <c r="AY120" s="115" t="e">
        <f t="shared" si="198"/>
        <v>#VALUE!</v>
      </c>
      <c r="AZ120" s="115" t="e">
        <f t="shared" si="198"/>
        <v>#VALUE!</v>
      </c>
      <c r="BA120" s="115" t="e">
        <f t="shared" si="198"/>
        <v>#VALUE!</v>
      </c>
      <c r="BB120" s="115" t="e">
        <f t="shared" si="198"/>
        <v>#VALUE!</v>
      </c>
      <c r="BC120" s="115" t="e">
        <f t="shared" si="198"/>
        <v>#VALUE!</v>
      </c>
      <c r="BD120" s="115" t="e">
        <f t="shared" ref="BD120:BM121" si="199">IF($N120&lt;&gt;1,$G120*($N120^$K120)*(($N120^($K120*INT(BD$2/$K120))-1)/($N120^$K120-1)),$G120*INT(BD$2/$K120))</f>
        <v>#VALUE!</v>
      </c>
      <c r="BE120" s="115" t="e">
        <f t="shared" si="199"/>
        <v>#VALUE!</v>
      </c>
      <c r="BF120" s="115" t="e">
        <f t="shared" si="199"/>
        <v>#VALUE!</v>
      </c>
      <c r="BG120" s="115" t="e">
        <f t="shared" si="199"/>
        <v>#VALUE!</v>
      </c>
      <c r="BH120" s="115" t="e">
        <f t="shared" si="199"/>
        <v>#VALUE!</v>
      </c>
      <c r="BI120" s="115" t="e">
        <f t="shared" si="199"/>
        <v>#VALUE!</v>
      </c>
      <c r="BJ120" s="115" t="e">
        <f t="shared" si="199"/>
        <v>#VALUE!</v>
      </c>
      <c r="BK120" s="115" t="e">
        <f t="shared" si="199"/>
        <v>#VALUE!</v>
      </c>
      <c r="BL120" s="115" t="e">
        <f t="shared" si="199"/>
        <v>#VALUE!</v>
      </c>
      <c r="BM120" s="115" t="e">
        <f t="shared" si="199"/>
        <v>#VALUE!</v>
      </c>
      <c r="BN120" s="115" t="e">
        <f t="shared" ref="BN120:BW121" si="200">IF($N120&lt;&gt;1,$G120*($N120^$K120)*(($N120^($K120*INT(BN$2/$K120))-1)/($N120^$K120-1)),$G120*INT(BN$2/$K120))</f>
        <v>#VALUE!</v>
      </c>
      <c r="BO120" s="115" t="e">
        <f t="shared" si="200"/>
        <v>#VALUE!</v>
      </c>
      <c r="BP120" s="115" t="e">
        <f t="shared" si="200"/>
        <v>#VALUE!</v>
      </c>
      <c r="BQ120" s="115" t="e">
        <f t="shared" si="200"/>
        <v>#VALUE!</v>
      </c>
      <c r="BR120" s="115" t="e">
        <f t="shared" si="200"/>
        <v>#VALUE!</v>
      </c>
      <c r="BS120" s="115" t="e">
        <f t="shared" si="200"/>
        <v>#VALUE!</v>
      </c>
      <c r="BT120" s="115" t="e">
        <f t="shared" si="200"/>
        <v>#VALUE!</v>
      </c>
      <c r="BU120" s="115" t="e">
        <f t="shared" si="200"/>
        <v>#VALUE!</v>
      </c>
      <c r="BV120" s="115" t="e">
        <f t="shared" si="200"/>
        <v>#VALUE!</v>
      </c>
      <c r="BW120" s="115" t="e">
        <f t="shared" si="200"/>
        <v>#VALUE!</v>
      </c>
      <c r="BX120" s="115" t="e">
        <f t="shared" ref="BX120:CG121" si="201">IF($N120&lt;&gt;1,$G120*($N120^$K120)*(($N120^($K120*INT(BX$2/$K120))-1)/($N120^$K120-1)),$G120*INT(BX$2/$K120))</f>
        <v>#VALUE!</v>
      </c>
      <c r="BY120" s="115" t="e">
        <f t="shared" si="201"/>
        <v>#VALUE!</v>
      </c>
      <c r="BZ120" s="115" t="e">
        <f t="shared" si="201"/>
        <v>#VALUE!</v>
      </c>
      <c r="CA120" s="115" t="e">
        <f t="shared" si="201"/>
        <v>#VALUE!</v>
      </c>
      <c r="CB120" s="115" t="e">
        <f t="shared" si="201"/>
        <v>#VALUE!</v>
      </c>
      <c r="CC120" s="115" t="e">
        <f t="shared" si="201"/>
        <v>#VALUE!</v>
      </c>
      <c r="CD120" s="115" t="e">
        <f t="shared" si="201"/>
        <v>#VALUE!</v>
      </c>
      <c r="CE120" s="115" t="e">
        <f t="shared" si="201"/>
        <v>#VALUE!</v>
      </c>
      <c r="CF120" s="115" t="e">
        <f t="shared" si="201"/>
        <v>#VALUE!</v>
      </c>
      <c r="CG120" s="115" t="e">
        <f t="shared" si="201"/>
        <v>#VALUE!</v>
      </c>
      <c r="CH120" s="115" t="e">
        <f t="shared" ref="CH120:CQ121" si="202">IF($N120&lt;&gt;1,$G120*($N120^$K120)*(($N120^($K120*INT(CH$2/$K120))-1)/($N120^$K120-1)),$G120*INT(CH$2/$K120))</f>
        <v>#VALUE!</v>
      </c>
      <c r="CI120" s="115" t="e">
        <f t="shared" si="202"/>
        <v>#VALUE!</v>
      </c>
      <c r="CJ120" s="115" t="e">
        <f t="shared" si="202"/>
        <v>#VALUE!</v>
      </c>
      <c r="CK120" s="115" t="e">
        <f t="shared" si="202"/>
        <v>#VALUE!</v>
      </c>
      <c r="CL120" s="115" t="e">
        <f t="shared" si="202"/>
        <v>#VALUE!</v>
      </c>
      <c r="CM120" s="115" t="e">
        <f t="shared" si="202"/>
        <v>#VALUE!</v>
      </c>
      <c r="CN120" s="115" t="e">
        <f t="shared" si="202"/>
        <v>#VALUE!</v>
      </c>
      <c r="CO120" s="115" t="e">
        <f t="shared" si="202"/>
        <v>#VALUE!</v>
      </c>
      <c r="CP120" s="115" t="e">
        <f t="shared" si="202"/>
        <v>#VALUE!</v>
      </c>
      <c r="CQ120" s="115" t="e">
        <f t="shared" si="202"/>
        <v>#VALUE!</v>
      </c>
      <c r="CR120" s="115" t="e">
        <f t="shared" ref="CR120:DA121" si="203">IF($N120&lt;&gt;1,$G120*($N120^$K120)*(($N120^($K120*INT(CR$2/$K120))-1)/($N120^$K120-1)),$G120*INT(CR$2/$K120))</f>
        <v>#VALUE!</v>
      </c>
      <c r="CS120" s="115" t="e">
        <f t="shared" si="203"/>
        <v>#VALUE!</v>
      </c>
      <c r="CT120" s="115" t="e">
        <f t="shared" si="203"/>
        <v>#VALUE!</v>
      </c>
      <c r="CU120" s="115" t="e">
        <f t="shared" si="203"/>
        <v>#VALUE!</v>
      </c>
      <c r="CV120" s="115" t="e">
        <f t="shared" si="203"/>
        <v>#VALUE!</v>
      </c>
      <c r="CW120" s="115" t="e">
        <f t="shared" si="203"/>
        <v>#VALUE!</v>
      </c>
      <c r="CX120" s="115" t="e">
        <f t="shared" si="203"/>
        <v>#VALUE!</v>
      </c>
      <c r="CY120" s="115" t="e">
        <f t="shared" si="203"/>
        <v>#VALUE!</v>
      </c>
      <c r="CZ120" s="115" t="e">
        <f t="shared" si="203"/>
        <v>#VALUE!</v>
      </c>
      <c r="DA120" s="115" t="e">
        <f t="shared" si="203"/>
        <v>#VALUE!</v>
      </c>
      <c r="DB120" s="115" t="e">
        <f t="shared" ref="DB120:DM121" si="204">IF($N120&lt;&gt;1,$G120*($N120^$K120)*(($N120^($K120*INT(DB$2/$K120))-1)/($N120^$K120-1)),$G120*INT(DB$2/$K120))</f>
        <v>#VALUE!</v>
      </c>
      <c r="DC120" s="115" t="e">
        <f t="shared" si="204"/>
        <v>#VALUE!</v>
      </c>
      <c r="DD120" s="115" t="e">
        <f t="shared" si="204"/>
        <v>#VALUE!</v>
      </c>
      <c r="DE120" s="115" t="e">
        <f t="shared" si="204"/>
        <v>#VALUE!</v>
      </c>
      <c r="DF120" s="115" t="e">
        <f t="shared" si="204"/>
        <v>#VALUE!</v>
      </c>
      <c r="DG120" s="115" t="e">
        <f t="shared" si="204"/>
        <v>#VALUE!</v>
      </c>
      <c r="DH120" s="115" t="e">
        <f t="shared" si="204"/>
        <v>#VALUE!</v>
      </c>
      <c r="DI120" s="115" t="e">
        <f t="shared" si="204"/>
        <v>#VALUE!</v>
      </c>
      <c r="DJ120" s="115" t="e">
        <f t="shared" si="204"/>
        <v>#VALUE!</v>
      </c>
      <c r="DK120" s="115" t="e">
        <f t="shared" si="204"/>
        <v>#VALUE!</v>
      </c>
      <c r="DL120" s="115" t="e">
        <f t="shared" si="204"/>
        <v>#VALUE!</v>
      </c>
      <c r="DM120" s="115" t="e">
        <f t="shared" si="204"/>
        <v>#VALUE!</v>
      </c>
    </row>
    <row r="121" spans="1:118" ht="15" customHeight="1" thickBot="1">
      <c r="A121" s="55">
        <v>12400</v>
      </c>
      <c r="B121" s="194" t="s">
        <v>728</v>
      </c>
      <c r="C121" s="194" t="s">
        <v>874</v>
      </c>
      <c r="D121" s="194" t="s">
        <v>287</v>
      </c>
      <c r="E121" s="194" t="s">
        <v>288</v>
      </c>
      <c r="F121" s="194" t="s">
        <v>1094</v>
      </c>
      <c r="G121" s="291" t="e">
        <f t="shared" si="194"/>
        <v>#VALUE!</v>
      </c>
      <c r="H121" s="292" t="e">
        <f>VLOOKUP("E3.B",Errichtungskosten,12,0) *VLOOKUP("PFAKT",Instandsetzung,5,0)</f>
        <v>#VALUE!</v>
      </c>
      <c r="I121" s="168"/>
      <c r="J121" s="194" t="s">
        <v>850</v>
      </c>
      <c r="K121" s="385">
        <f>IF(ISNUMBER(VLOOKUP(E121,Nutzungsdauern,5,0)),VLOOKUP(E121,Nutzungsdauern,5,0),1000)</f>
        <v>25</v>
      </c>
      <c r="L121" s="379" t="s">
        <v>358</v>
      </c>
      <c r="M121" s="325">
        <f>VLOOKUP(L121,Finanzielle_Parameter,5,0)</f>
        <v>1.35</v>
      </c>
      <c r="N121" s="380">
        <f>(1+VLOOKUP(L121,Finanzielle_Parameter,5,0)/100)/(1+VLOOKUP("R",Finanzielle_Parameter,5,0)/100)</f>
        <v>0.99655850540806312</v>
      </c>
      <c r="O121" s="381" t="e">
        <f t="shared" si="195"/>
        <v>#VALUE!</v>
      </c>
      <c r="P121" s="169" t="s">
        <v>103</v>
      </c>
      <c r="Q121" s="114" t="e">
        <f t="shared" si="195"/>
        <v>#VALUE!</v>
      </c>
      <c r="R121" s="115" t="e">
        <f t="shared" si="195"/>
        <v>#VALUE!</v>
      </c>
      <c r="S121" s="115" t="e">
        <f t="shared" si="195"/>
        <v>#VALUE!</v>
      </c>
      <c r="T121" s="115" t="e">
        <f t="shared" si="195"/>
        <v>#VALUE!</v>
      </c>
      <c r="U121" s="115" t="e">
        <f t="shared" si="195"/>
        <v>#VALUE!</v>
      </c>
      <c r="V121" s="115" t="e">
        <f t="shared" si="195"/>
        <v>#VALUE!</v>
      </c>
      <c r="W121" s="115" t="e">
        <f t="shared" si="195"/>
        <v>#VALUE!</v>
      </c>
      <c r="X121" s="115" t="e">
        <f t="shared" si="195"/>
        <v>#VALUE!</v>
      </c>
      <c r="Y121" s="115" t="e">
        <f t="shared" si="195"/>
        <v>#VALUE!</v>
      </c>
      <c r="Z121" s="115" t="e">
        <f t="shared" si="196"/>
        <v>#VALUE!</v>
      </c>
      <c r="AA121" s="115" t="e">
        <f t="shared" si="196"/>
        <v>#VALUE!</v>
      </c>
      <c r="AB121" s="115" t="e">
        <f t="shared" si="196"/>
        <v>#VALUE!</v>
      </c>
      <c r="AC121" s="115" t="e">
        <f t="shared" si="196"/>
        <v>#VALUE!</v>
      </c>
      <c r="AD121" s="115" t="e">
        <f t="shared" si="196"/>
        <v>#VALUE!</v>
      </c>
      <c r="AE121" s="115" t="e">
        <f t="shared" si="196"/>
        <v>#VALUE!</v>
      </c>
      <c r="AF121" s="115" t="e">
        <f t="shared" si="196"/>
        <v>#VALUE!</v>
      </c>
      <c r="AG121" s="115" t="e">
        <f t="shared" si="196"/>
        <v>#VALUE!</v>
      </c>
      <c r="AH121" s="115" t="e">
        <f t="shared" si="196"/>
        <v>#VALUE!</v>
      </c>
      <c r="AI121" s="115" t="e">
        <f t="shared" si="196"/>
        <v>#VALUE!</v>
      </c>
      <c r="AJ121" s="115" t="e">
        <f t="shared" si="197"/>
        <v>#VALUE!</v>
      </c>
      <c r="AK121" s="115" t="e">
        <f t="shared" si="197"/>
        <v>#VALUE!</v>
      </c>
      <c r="AL121" s="115" t="e">
        <f t="shared" si="197"/>
        <v>#VALUE!</v>
      </c>
      <c r="AM121" s="115" t="e">
        <f t="shared" si="197"/>
        <v>#VALUE!</v>
      </c>
      <c r="AN121" s="115" t="e">
        <f t="shared" si="197"/>
        <v>#VALUE!</v>
      </c>
      <c r="AO121" s="115" t="e">
        <f t="shared" si="197"/>
        <v>#VALUE!</v>
      </c>
      <c r="AP121" s="115" t="e">
        <f t="shared" si="197"/>
        <v>#VALUE!</v>
      </c>
      <c r="AQ121" s="115" t="e">
        <f t="shared" si="197"/>
        <v>#VALUE!</v>
      </c>
      <c r="AR121" s="115" t="e">
        <f t="shared" si="197"/>
        <v>#VALUE!</v>
      </c>
      <c r="AS121" s="115" t="e">
        <f t="shared" si="197"/>
        <v>#VALUE!</v>
      </c>
      <c r="AT121" s="115" t="e">
        <f t="shared" si="198"/>
        <v>#VALUE!</v>
      </c>
      <c r="AU121" s="115" t="e">
        <f t="shared" si="198"/>
        <v>#VALUE!</v>
      </c>
      <c r="AV121" s="115" t="e">
        <f t="shared" si="198"/>
        <v>#VALUE!</v>
      </c>
      <c r="AW121" s="115" t="e">
        <f t="shared" si="198"/>
        <v>#VALUE!</v>
      </c>
      <c r="AX121" s="115" t="e">
        <f t="shared" si="198"/>
        <v>#VALUE!</v>
      </c>
      <c r="AY121" s="115" t="e">
        <f t="shared" si="198"/>
        <v>#VALUE!</v>
      </c>
      <c r="AZ121" s="115" t="e">
        <f t="shared" si="198"/>
        <v>#VALUE!</v>
      </c>
      <c r="BA121" s="115" t="e">
        <f t="shared" si="198"/>
        <v>#VALUE!</v>
      </c>
      <c r="BB121" s="115" t="e">
        <f t="shared" si="198"/>
        <v>#VALUE!</v>
      </c>
      <c r="BC121" s="115" t="e">
        <f t="shared" si="198"/>
        <v>#VALUE!</v>
      </c>
      <c r="BD121" s="115" t="e">
        <f t="shared" si="199"/>
        <v>#VALUE!</v>
      </c>
      <c r="BE121" s="115" t="e">
        <f t="shared" si="199"/>
        <v>#VALUE!</v>
      </c>
      <c r="BF121" s="115" t="e">
        <f t="shared" si="199"/>
        <v>#VALUE!</v>
      </c>
      <c r="BG121" s="115" t="e">
        <f t="shared" si="199"/>
        <v>#VALUE!</v>
      </c>
      <c r="BH121" s="115" t="e">
        <f t="shared" si="199"/>
        <v>#VALUE!</v>
      </c>
      <c r="BI121" s="115" t="e">
        <f t="shared" si="199"/>
        <v>#VALUE!</v>
      </c>
      <c r="BJ121" s="115" t="e">
        <f t="shared" si="199"/>
        <v>#VALUE!</v>
      </c>
      <c r="BK121" s="115" t="e">
        <f t="shared" si="199"/>
        <v>#VALUE!</v>
      </c>
      <c r="BL121" s="115" t="e">
        <f t="shared" si="199"/>
        <v>#VALUE!</v>
      </c>
      <c r="BM121" s="115" t="e">
        <f t="shared" si="199"/>
        <v>#VALUE!</v>
      </c>
      <c r="BN121" s="115" t="e">
        <f t="shared" si="200"/>
        <v>#VALUE!</v>
      </c>
      <c r="BO121" s="115" t="e">
        <f t="shared" si="200"/>
        <v>#VALUE!</v>
      </c>
      <c r="BP121" s="115" t="e">
        <f t="shared" si="200"/>
        <v>#VALUE!</v>
      </c>
      <c r="BQ121" s="115" t="e">
        <f t="shared" si="200"/>
        <v>#VALUE!</v>
      </c>
      <c r="BR121" s="115" t="e">
        <f t="shared" si="200"/>
        <v>#VALUE!</v>
      </c>
      <c r="BS121" s="115" t="e">
        <f t="shared" si="200"/>
        <v>#VALUE!</v>
      </c>
      <c r="BT121" s="115" t="e">
        <f t="shared" si="200"/>
        <v>#VALUE!</v>
      </c>
      <c r="BU121" s="115" t="e">
        <f t="shared" si="200"/>
        <v>#VALUE!</v>
      </c>
      <c r="BV121" s="115" t="e">
        <f t="shared" si="200"/>
        <v>#VALUE!</v>
      </c>
      <c r="BW121" s="115" t="e">
        <f t="shared" si="200"/>
        <v>#VALUE!</v>
      </c>
      <c r="BX121" s="115" t="e">
        <f t="shared" si="201"/>
        <v>#VALUE!</v>
      </c>
      <c r="BY121" s="115" t="e">
        <f t="shared" si="201"/>
        <v>#VALUE!</v>
      </c>
      <c r="BZ121" s="115" t="e">
        <f t="shared" si="201"/>
        <v>#VALUE!</v>
      </c>
      <c r="CA121" s="115" t="e">
        <f t="shared" si="201"/>
        <v>#VALUE!</v>
      </c>
      <c r="CB121" s="115" t="e">
        <f t="shared" si="201"/>
        <v>#VALUE!</v>
      </c>
      <c r="CC121" s="115" t="e">
        <f t="shared" si="201"/>
        <v>#VALUE!</v>
      </c>
      <c r="CD121" s="115" t="e">
        <f t="shared" si="201"/>
        <v>#VALUE!</v>
      </c>
      <c r="CE121" s="115" t="e">
        <f t="shared" si="201"/>
        <v>#VALUE!</v>
      </c>
      <c r="CF121" s="115" t="e">
        <f t="shared" si="201"/>
        <v>#VALUE!</v>
      </c>
      <c r="CG121" s="115" t="e">
        <f t="shared" si="201"/>
        <v>#VALUE!</v>
      </c>
      <c r="CH121" s="115" t="e">
        <f t="shared" si="202"/>
        <v>#VALUE!</v>
      </c>
      <c r="CI121" s="115" t="e">
        <f t="shared" si="202"/>
        <v>#VALUE!</v>
      </c>
      <c r="CJ121" s="115" t="e">
        <f t="shared" si="202"/>
        <v>#VALUE!</v>
      </c>
      <c r="CK121" s="115" t="e">
        <f t="shared" si="202"/>
        <v>#VALUE!</v>
      </c>
      <c r="CL121" s="115" t="e">
        <f t="shared" si="202"/>
        <v>#VALUE!</v>
      </c>
      <c r="CM121" s="115" t="e">
        <f t="shared" si="202"/>
        <v>#VALUE!</v>
      </c>
      <c r="CN121" s="115" t="e">
        <f t="shared" si="202"/>
        <v>#VALUE!</v>
      </c>
      <c r="CO121" s="115" t="e">
        <f t="shared" si="202"/>
        <v>#VALUE!</v>
      </c>
      <c r="CP121" s="115" t="e">
        <f t="shared" si="202"/>
        <v>#VALUE!</v>
      </c>
      <c r="CQ121" s="115" t="e">
        <f t="shared" si="202"/>
        <v>#VALUE!</v>
      </c>
      <c r="CR121" s="115" t="e">
        <f t="shared" si="203"/>
        <v>#VALUE!</v>
      </c>
      <c r="CS121" s="115" t="e">
        <f t="shared" si="203"/>
        <v>#VALUE!</v>
      </c>
      <c r="CT121" s="115" t="e">
        <f t="shared" si="203"/>
        <v>#VALUE!</v>
      </c>
      <c r="CU121" s="115" t="e">
        <f t="shared" si="203"/>
        <v>#VALUE!</v>
      </c>
      <c r="CV121" s="115" t="e">
        <f t="shared" si="203"/>
        <v>#VALUE!</v>
      </c>
      <c r="CW121" s="115" t="e">
        <f t="shared" si="203"/>
        <v>#VALUE!</v>
      </c>
      <c r="CX121" s="115" t="e">
        <f t="shared" si="203"/>
        <v>#VALUE!</v>
      </c>
      <c r="CY121" s="115" t="e">
        <f t="shared" si="203"/>
        <v>#VALUE!</v>
      </c>
      <c r="CZ121" s="115" t="e">
        <f t="shared" si="203"/>
        <v>#VALUE!</v>
      </c>
      <c r="DA121" s="115" t="e">
        <f t="shared" si="203"/>
        <v>#VALUE!</v>
      </c>
      <c r="DB121" s="115" t="e">
        <f t="shared" si="204"/>
        <v>#VALUE!</v>
      </c>
      <c r="DC121" s="115" t="e">
        <f t="shared" si="204"/>
        <v>#VALUE!</v>
      </c>
      <c r="DD121" s="115" t="e">
        <f t="shared" si="204"/>
        <v>#VALUE!</v>
      </c>
      <c r="DE121" s="115" t="e">
        <f t="shared" si="204"/>
        <v>#VALUE!</v>
      </c>
      <c r="DF121" s="115" t="e">
        <f t="shared" si="204"/>
        <v>#VALUE!</v>
      </c>
      <c r="DG121" s="115" t="e">
        <f t="shared" si="204"/>
        <v>#VALUE!</v>
      </c>
      <c r="DH121" s="115" t="e">
        <f t="shared" si="204"/>
        <v>#VALUE!</v>
      </c>
      <c r="DI121" s="115" t="e">
        <f t="shared" si="204"/>
        <v>#VALUE!</v>
      </c>
      <c r="DJ121" s="115" t="e">
        <f t="shared" si="204"/>
        <v>#VALUE!</v>
      </c>
      <c r="DK121" s="115" t="e">
        <f t="shared" si="204"/>
        <v>#VALUE!</v>
      </c>
      <c r="DL121" s="115" t="e">
        <f t="shared" si="204"/>
        <v>#VALUE!</v>
      </c>
      <c r="DM121" s="115" t="e">
        <f t="shared" si="204"/>
        <v>#VALUE!</v>
      </c>
    </row>
    <row r="122" spans="1:118" ht="15" customHeight="1" thickBot="1">
      <c r="A122" s="293">
        <v>12500</v>
      </c>
      <c r="B122" s="172" t="s">
        <v>743</v>
      </c>
      <c r="C122" s="172" t="s">
        <v>875</v>
      </c>
      <c r="D122" s="172" t="s">
        <v>285</v>
      </c>
      <c r="E122" s="172"/>
      <c r="F122" s="172"/>
      <c r="G122" s="172"/>
      <c r="H122" s="172"/>
      <c r="I122" s="172"/>
      <c r="J122" s="172"/>
      <c r="K122" s="386"/>
      <c r="L122" s="172"/>
      <c r="M122" s="293"/>
      <c r="N122" s="293"/>
      <c r="O122" s="376" t="e">
        <f>SUM(O123:O126)</f>
        <v>#VALUE!</v>
      </c>
      <c r="P122" s="377" t="s">
        <v>103</v>
      </c>
      <c r="Q122" s="116"/>
      <c r="R122" s="116"/>
      <c r="S122" s="116"/>
      <c r="T122" s="116"/>
      <c r="U122" s="116"/>
      <c r="V122" s="116"/>
      <c r="W122" s="116"/>
      <c r="X122" s="116"/>
      <c r="Y122" s="116"/>
      <c r="Z122" s="116"/>
      <c r="AA122" s="116"/>
      <c r="AB122" s="116"/>
      <c r="AC122" s="116"/>
      <c r="AD122" s="116"/>
      <c r="AE122" s="116"/>
      <c r="AF122" s="116"/>
      <c r="AG122" s="116"/>
      <c r="AH122" s="116"/>
      <c r="AI122" s="116"/>
      <c r="AJ122" s="116"/>
      <c r="AK122" s="116"/>
      <c r="AL122" s="116"/>
      <c r="AM122" s="116"/>
      <c r="AN122" s="116"/>
      <c r="AO122" s="116"/>
      <c r="AP122" s="116"/>
      <c r="AQ122" s="116"/>
      <c r="AR122" s="116"/>
      <c r="AS122" s="116"/>
      <c r="AT122" s="116"/>
      <c r="AU122" s="116"/>
      <c r="AV122" s="116"/>
      <c r="AW122" s="116"/>
      <c r="AX122" s="116"/>
      <c r="AY122" s="116"/>
      <c r="AZ122" s="116"/>
      <c r="BA122" s="116"/>
      <c r="BB122" s="116"/>
      <c r="BC122" s="116"/>
      <c r="BD122" s="116"/>
      <c r="BE122" s="116"/>
      <c r="BF122" s="116"/>
      <c r="BG122" s="116"/>
      <c r="BH122" s="116"/>
      <c r="BI122" s="116"/>
      <c r="BJ122" s="116"/>
      <c r="BK122" s="116"/>
      <c r="BL122" s="116"/>
      <c r="BM122" s="116"/>
      <c r="BN122" s="116"/>
      <c r="BO122" s="116"/>
      <c r="BP122" s="116"/>
      <c r="BQ122" s="116"/>
      <c r="BR122" s="116"/>
      <c r="BS122" s="116"/>
      <c r="BT122" s="116"/>
      <c r="BU122" s="116"/>
      <c r="BV122" s="116"/>
      <c r="BW122" s="116"/>
      <c r="BX122" s="116"/>
      <c r="BY122" s="116"/>
      <c r="BZ122" s="116"/>
      <c r="CA122" s="116"/>
      <c r="CB122" s="116"/>
      <c r="CC122" s="116"/>
      <c r="CD122" s="116"/>
      <c r="CE122" s="116"/>
      <c r="CF122" s="116"/>
      <c r="CG122" s="116"/>
      <c r="CH122" s="116"/>
      <c r="CI122" s="116"/>
      <c r="CJ122" s="116"/>
      <c r="CK122" s="116"/>
      <c r="CL122" s="116"/>
      <c r="CM122" s="116"/>
      <c r="CN122" s="116"/>
      <c r="CO122" s="116"/>
      <c r="CP122" s="116"/>
      <c r="CQ122" s="116"/>
      <c r="CR122" s="116"/>
      <c r="CS122" s="116"/>
      <c r="CT122" s="116"/>
      <c r="CU122" s="116"/>
      <c r="CV122" s="116"/>
      <c r="CW122" s="116"/>
      <c r="CX122" s="116"/>
      <c r="CY122" s="116"/>
      <c r="CZ122" s="116"/>
      <c r="DA122" s="116"/>
      <c r="DB122" s="116"/>
      <c r="DC122" s="116"/>
      <c r="DD122" s="116"/>
      <c r="DE122" s="116"/>
      <c r="DF122" s="116"/>
      <c r="DG122" s="116"/>
      <c r="DH122" s="116"/>
      <c r="DI122" s="116"/>
      <c r="DJ122" s="116"/>
      <c r="DK122" s="116"/>
      <c r="DL122" s="116"/>
      <c r="DM122" s="116"/>
    </row>
    <row r="123" spans="1:118" ht="15" customHeight="1" thickBot="1">
      <c r="A123" s="55">
        <v>12600</v>
      </c>
      <c r="B123" s="194" t="s">
        <v>728</v>
      </c>
      <c r="C123" s="194" t="s">
        <v>876</v>
      </c>
      <c r="D123" s="194" t="s">
        <v>283</v>
      </c>
      <c r="E123" s="194" t="s">
        <v>284</v>
      </c>
      <c r="F123" s="194" t="s">
        <v>1095</v>
      </c>
      <c r="G123" s="291" t="e">
        <f t="shared" ref="G123:G126" si="205">IF(I123="",H123,I123)</f>
        <v>#VALUE!</v>
      </c>
      <c r="H123" s="292" t="e">
        <f>VLOOKUP("E3.C.01",Errichtungskosten,12,0) *VLOOKUP("PFAKT",Instandsetzung,5,0)</f>
        <v>#VALUE!</v>
      </c>
      <c r="I123" s="168"/>
      <c r="J123" s="194" t="s">
        <v>850</v>
      </c>
      <c r="K123" s="385">
        <f>IF(ISNUMBER(VLOOKUP(E123,Nutzungsdauern,5,0)),VLOOKUP(E123,Nutzungsdauern,5,0),1000)</f>
        <v>25</v>
      </c>
      <c r="L123" s="379" t="s">
        <v>358</v>
      </c>
      <c r="M123" s="325">
        <f>VLOOKUP(L123,Finanzielle_Parameter,5,0)</f>
        <v>1.35</v>
      </c>
      <c r="N123" s="380">
        <f>(1+VLOOKUP(L123,Finanzielle_Parameter,5,0)/100)/(1+VLOOKUP("R",Finanzielle_Parameter,5,0)/100)</f>
        <v>0.99655850540806312</v>
      </c>
      <c r="O123" s="381" t="e">
        <f t="shared" ref="O123:Y126" si="206">IF($N123&lt;&gt;1,$G123*($N123^$K123)*(($N123^($K123*INT(O$2/$K123))-1)/($N123^$K123-1)),$G123*INT(O$2/$K123))</f>
        <v>#VALUE!</v>
      </c>
      <c r="P123" s="169" t="s">
        <v>103</v>
      </c>
      <c r="Q123" s="114" t="e">
        <f t="shared" si="206"/>
        <v>#VALUE!</v>
      </c>
      <c r="R123" s="115" t="e">
        <f t="shared" si="206"/>
        <v>#VALUE!</v>
      </c>
      <c r="S123" s="115" t="e">
        <f t="shared" si="206"/>
        <v>#VALUE!</v>
      </c>
      <c r="T123" s="115" t="e">
        <f t="shared" si="206"/>
        <v>#VALUE!</v>
      </c>
      <c r="U123" s="115" t="e">
        <f t="shared" si="206"/>
        <v>#VALUE!</v>
      </c>
      <c r="V123" s="115" t="e">
        <f t="shared" si="206"/>
        <v>#VALUE!</v>
      </c>
      <c r="W123" s="115" t="e">
        <f t="shared" si="206"/>
        <v>#VALUE!</v>
      </c>
      <c r="X123" s="115" t="e">
        <f t="shared" si="206"/>
        <v>#VALUE!</v>
      </c>
      <c r="Y123" s="115" t="e">
        <f t="shared" si="206"/>
        <v>#VALUE!</v>
      </c>
      <c r="Z123" s="115" t="e">
        <f t="shared" ref="Z123:AI126" si="207">IF($N123&lt;&gt;1,$G123*($N123^$K123)*(($N123^($K123*INT(Z$2/$K123))-1)/($N123^$K123-1)),$G123*INT(Z$2/$K123))</f>
        <v>#VALUE!</v>
      </c>
      <c r="AA123" s="115" t="e">
        <f t="shared" si="207"/>
        <v>#VALUE!</v>
      </c>
      <c r="AB123" s="115" t="e">
        <f t="shared" si="207"/>
        <v>#VALUE!</v>
      </c>
      <c r="AC123" s="115" t="e">
        <f t="shared" si="207"/>
        <v>#VALUE!</v>
      </c>
      <c r="AD123" s="115" t="e">
        <f t="shared" si="207"/>
        <v>#VALUE!</v>
      </c>
      <c r="AE123" s="115" t="e">
        <f t="shared" si="207"/>
        <v>#VALUE!</v>
      </c>
      <c r="AF123" s="115" t="e">
        <f t="shared" si="207"/>
        <v>#VALUE!</v>
      </c>
      <c r="AG123" s="115" t="e">
        <f t="shared" si="207"/>
        <v>#VALUE!</v>
      </c>
      <c r="AH123" s="115" t="e">
        <f t="shared" si="207"/>
        <v>#VALUE!</v>
      </c>
      <c r="AI123" s="115" t="e">
        <f t="shared" si="207"/>
        <v>#VALUE!</v>
      </c>
      <c r="AJ123" s="115" t="e">
        <f t="shared" ref="AJ123:AS126" si="208">IF($N123&lt;&gt;1,$G123*($N123^$K123)*(($N123^($K123*INT(AJ$2/$K123))-1)/($N123^$K123-1)),$G123*INT(AJ$2/$K123))</f>
        <v>#VALUE!</v>
      </c>
      <c r="AK123" s="115" t="e">
        <f t="shared" si="208"/>
        <v>#VALUE!</v>
      </c>
      <c r="AL123" s="115" t="e">
        <f t="shared" si="208"/>
        <v>#VALUE!</v>
      </c>
      <c r="AM123" s="115" t="e">
        <f t="shared" si="208"/>
        <v>#VALUE!</v>
      </c>
      <c r="AN123" s="115" t="e">
        <f t="shared" si="208"/>
        <v>#VALUE!</v>
      </c>
      <c r="AO123" s="115" t="e">
        <f t="shared" si="208"/>
        <v>#VALUE!</v>
      </c>
      <c r="AP123" s="115" t="e">
        <f t="shared" si="208"/>
        <v>#VALUE!</v>
      </c>
      <c r="AQ123" s="115" t="e">
        <f t="shared" si="208"/>
        <v>#VALUE!</v>
      </c>
      <c r="AR123" s="115" t="e">
        <f t="shared" si="208"/>
        <v>#VALUE!</v>
      </c>
      <c r="AS123" s="115" t="e">
        <f t="shared" si="208"/>
        <v>#VALUE!</v>
      </c>
      <c r="AT123" s="115" t="e">
        <f t="shared" ref="AT123:BC126" si="209">IF($N123&lt;&gt;1,$G123*($N123^$K123)*(($N123^($K123*INT(AT$2/$K123))-1)/($N123^$K123-1)),$G123*INT(AT$2/$K123))</f>
        <v>#VALUE!</v>
      </c>
      <c r="AU123" s="115" t="e">
        <f t="shared" si="209"/>
        <v>#VALUE!</v>
      </c>
      <c r="AV123" s="115" t="e">
        <f t="shared" si="209"/>
        <v>#VALUE!</v>
      </c>
      <c r="AW123" s="115" t="e">
        <f t="shared" si="209"/>
        <v>#VALUE!</v>
      </c>
      <c r="AX123" s="115" t="e">
        <f t="shared" si="209"/>
        <v>#VALUE!</v>
      </c>
      <c r="AY123" s="115" t="e">
        <f t="shared" si="209"/>
        <v>#VALUE!</v>
      </c>
      <c r="AZ123" s="115" t="e">
        <f t="shared" si="209"/>
        <v>#VALUE!</v>
      </c>
      <c r="BA123" s="115" t="e">
        <f t="shared" si="209"/>
        <v>#VALUE!</v>
      </c>
      <c r="BB123" s="115" t="e">
        <f t="shared" si="209"/>
        <v>#VALUE!</v>
      </c>
      <c r="BC123" s="115" t="e">
        <f t="shared" si="209"/>
        <v>#VALUE!</v>
      </c>
      <c r="BD123" s="115" t="e">
        <f t="shared" ref="BD123:BM126" si="210">IF($N123&lt;&gt;1,$G123*($N123^$K123)*(($N123^($K123*INT(BD$2/$K123))-1)/($N123^$K123-1)),$G123*INT(BD$2/$K123))</f>
        <v>#VALUE!</v>
      </c>
      <c r="BE123" s="115" t="e">
        <f t="shared" si="210"/>
        <v>#VALUE!</v>
      </c>
      <c r="BF123" s="115" t="e">
        <f t="shared" si="210"/>
        <v>#VALUE!</v>
      </c>
      <c r="BG123" s="115" t="e">
        <f t="shared" si="210"/>
        <v>#VALUE!</v>
      </c>
      <c r="BH123" s="115" t="e">
        <f t="shared" si="210"/>
        <v>#VALUE!</v>
      </c>
      <c r="BI123" s="115" t="e">
        <f t="shared" si="210"/>
        <v>#VALUE!</v>
      </c>
      <c r="BJ123" s="115" t="e">
        <f t="shared" si="210"/>
        <v>#VALUE!</v>
      </c>
      <c r="BK123" s="115" t="e">
        <f t="shared" si="210"/>
        <v>#VALUE!</v>
      </c>
      <c r="BL123" s="115" t="e">
        <f t="shared" si="210"/>
        <v>#VALUE!</v>
      </c>
      <c r="BM123" s="115" t="e">
        <f t="shared" si="210"/>
        <v>#VALUE!</v>
      </c>
      <c r="BN123" s="115" t="e">
        <f t="shared" ref="BN123:BW126" si="211">IF($N123&lt;&gt;1,$G123*($N123^$K123)*(($N123^($K123*INT(BN$2/$K123))-1)/($N123^$K123-1)),$G123*INT(BN$2/$K123))</f>
        <v>#VALUE!</v>
      </c>
      <c r="BO123" s="115" t="e">
        <f t="shared" si="211"/>
        <v>#VALUE!</v>
      </c>
      <c r="BP123" s="115" t="e">
        <f t="shared" si="211"/>
        <v>#VALUE!</v>
      </c>
      <c r="BQ123" s="115" t="e">
        <f t="shared" si="211"/>
        <v>#VALUE!</v>
      </c>
      <c r="BR123" s="115" t="e">
        <f t="shared" si="211"/>
        <v>#VALUE!</v>
      </c>
      <c r="BS123" s="115" t="e">
        <f t="shared" si="211"/>
        <v>#VALUE!</v>
      </c>
      <c r="BT123" s="115" t="e">
        <f t="shared" si="211"/>
        <v>#VALUE!</v>
      </c>
      <c r="BU123" s="115" t="e">
        <f t="shared" si="211"/>
        <v>#VALUE!</v>
      </c>
      <c r="BV123" s="115" t="e">
        <f t="shared" si="211"/>
        <v>#VALUE!</v>
      </c>
      <c r="BW123" s="115" t="e">
        <f t="shared" si="211"/>
        <v>#VALUE!</v>
      </c>
      <c r="BX123" s="115" t="e">
        <f t="shared" ref="BX123:CG126" si="212">IF($N123&lt;&gt;1,$G123*($N123^$K123)*(($N123^($K123*INT(BX$2/$K123))-1)/($N123^$K123-1)),$G123*INT(BX$2/$K123))</f>
        <v>#VALUE!</v>
      </c>
      <c r="BY123" s="115" t="e">
        <f t="shared" si="212"/>
        <v>#VALUE!</v>
      </c>
      <c r="BZ123" s="115" t="e">
        <f t="shared" si="212"/>
        <v>#VALUE!</v>
      </c>
      <c r="CA123" s="115" t="e">
        <f t="shared" si="212"/>
        <v>#VALUE!</v>
      </c>
      <c r="CB123" s="115" t="e">
        <f t="shared" si="212"/>
        <v>#VALUE!</v>
      </c>
      <c r="CC123" s="115" t="e">
        <f t="shared" si="212"/>
        <v>#VALUE!</v>
      </c>
      <c r="CD123" s="115" t="e">
        <f t="shared" si="212"/>
        <v>#VALUE!</v>
      </c>
      <c r="CE123" s="115" t="e">
        <f t="shared" si="212"/>
        <v>#VALUE!</v>
      </c>
      <c r="CF123" s="115" t="e">
        <f t="shared" si="212"/>
        <v>#VALUE!</v>
      </c>
      <c r="CG123" s="115" t="e">
        <f t="shared" si="212"/>
        <v>#VALUE!</v>
      </c>
      <c r="CH123" s="115" t="e">
        <f t="shared" ref="CH123:CQ126" si="213">IF($N123&lt;&gt;1,$G123*($N123^$K123)*(($N123^($K123*INT(CH$2/$K123))-1)/($N123^$K123-1)),$G123*INT(CH$2/$K123))</f>
        <v>#VALUE!</v>
      </c>
      <c r="CI123" s="115" t="e">
        <f t="shared" si="213"/>
        <v>#VALUE!</v>
      </c>
      <c r="CJ123" s="115" t="e">
        <f t="shared" si="213"/>
        <v>#VALUE!</v>
      </c>
      <c r="CK123" s="115" t="e">
        <f t="shared" si="213"/>
        <v>#VALUE!</v>
      </c>
      <c r="CL123" s="115" t="e">
        <f t="shared" si="213"/>
        <v>#VALUE!</v>
      </c>
      <c r="CM123" s="115" t="e">
        <f t="shared" si="213"/>
        <v>#VALUE!</v>
      </c>
      <c r="CN123" s="115" t="e">
        <f t="shared" si="213"/>
        <v>#VALUE!</v>
      </c>
      <c r="CO123" s="115" t="e">
        <f t="shared" si="213"/>
        <v>#VALUE!</v>
      </c>
      <c r="CP123" s="115" t="e">
        <f t="shared" si="213"/>
        <v>#VALUE!</v>
      </c>
      <c r="CQ123" s="115" t="e">
        <f t="shared" si="213"/>
        <v>#VALUE!</v>
      </c>
      <c r="CR123" s="115" t="e">
        <f t="shared" ref="CR123:DA126" si="214">IF($N123&lt;&gt;1,$G123*($N123^$K123)*(($N123^($K123*INT(CR$2/$K123))-1)/($N123^$K123-1)),$G123*INT(CR$2/$K123))</f>
        <v>#VALUE!</v>
      </c>
      <c r="CS123" s="115" t="e">
        <f t="shared" si="214"/>
        <v>#VALUE!</v>
      </c>
      <c r="CT123" s="115" t="e">
        <f t="shared" si="214"/>
        <v>#VALUE!</v>
      </c>
      <c r="CU123" s="115" t="e">
        <f t="shared" si="214"/>
        <v>#VALUE!</v>
      </c>
      <c r="CV123" s="115" t="e">
        <f t="shared" si="214"/>
        <v>#VALUE!</v>
      </c>
      <c r="CW123" s="115" t="e">
        <f t="shared" si="214"/>
        <v>#VALUE!</v>
      </c>
      <c r="CX123" s="115" t="e">
        <f t="shared" si="214"/>
        <v>#VALUE!</v>
      </c>
      <c r="CY123" s="115" t="e">
        <f t="shared" si="214"/>
        <v>#VALUE!</v>
      </c>
      <c r="CZ123" s="115" t="e">
        <f t="shared" si="214"/>
        <v>#VALUE!</v>
      </c>
      <c r="DA123" s="115" t="e">
        <f t="shared" si="214"/>
        <v>#VALUE!</v>
      </c>
      <c r="DB123" s="115" t="e">
        <f t="shared" ref="DB123:DM126" si="215">IF($N123&lt;&gt;1,$G123*($N123^$K123)*(($N123^($K123*INT(DB$2/$K123))-1)/($N123^$K123-1)),$G123*INT(DB$2/$K123))</f>
        <v>#VALUE!</v>
      </c>
      <c r="DC123" s="115" t="e">
        <f t="shared" si="215"/>
        <v>#VALUE!</v>
      </c>
      <c r="DD123" s="115" t="e">
        <f t="shared" si="215"/>
        <v>#VALUE!</v>
      </c>
      <c r="DE123" s="115" t="e">
        <f t="shared" si="215"/>
        <v>#VALUE!</v>
      </c>
      <c r="DF123" s="115" t="e">
        <f t="shared" si="215"/>
        <v>#VALUE!</v>
      </c>
      <c r="DG123" s="115" t="e">
        <f t="shared" si="215"/>
        <v>#VALUE!</v>
      </c>
      <c r="DH123" s="115" t="e">
        <f t="shared" si="215"/>
        <v>#VALUE!</v>
      </c>
      <c r="DI123" s="115" t="e">
        <f t="shared" si="215"/>
        <v>#VALUE!</v>
      </c>
      <c r="DJ123" s="115" t="e">
        <f t="shared" si="215"/>
        <v>#VALUE!</v>
      </c>
      <c r="DK123" s="115" t="e">
        <f t="shared" si="215"/>
        <v>#VALUE!</v>
      </c>
      <c r="DL123" s="115" t="e">
        <f t="shared" si="215"/>
        <v>#VALUE!</v>
      </c>
      <c r="DM123" s="115" t="e">
        <f t="shared" si="215"/>
        <v>#VALUE!</v>
      </c>
    </row>
    <row r="124" spans="1:118" ht="15" customHeight="1" thickBot="1">
      <c r="A124" s="55">
        <v>12700</v>
      </c>
      <c r="B124" s="194" t="s">
        <v>728</v>
      </c>
      <c r="C124" s="194" t="s">
        <v>877</v>
      </c>
      <c r="D124" s="194" t="s">
        <v>281</v>
      </c>
      <c r="E124" s="194" t="s">
        <v>282</v>
      </c>
      <c r="F124" s="194" t="s">
        <v>1096</v>
      </c>
      <c r="G124" s="291" t="e">
        <f t="shared" si="205"/>
        <v>#VALUE!</v>
      </c>
      <c r="H124" s="292" t="e">
        <f>VLOOKUP("E3.C.02",Errichtungskosten,12,0) *VLOOKUP("PFAKT",Instandsetzung,5,0)</f>
        <v>#VALUE!</v>
      </c>
      <c r="I124" s="168"/>
      <c r="J124" s="194" t="s">
        <v>850</v>
      </c>
      <c r="K124" s="385">
        <f>IF(ISNUMBER(VLOOKUP(E124,Nutzungsdauern,5,0)),VLOOKUP(E124,Nutzungsdauern,5,0),1000)</f>
        <v>40</v>
      </c>
      <c r="L124" s="379" t="s">
        <v>358</v>
      </c>
      <c r="M124" s="325">
        <f>VLOOKUP(L124,Finanzielle_Parameter,5,0)</f>
        <v>1.35</v>
      </c>
      <c r="N124" s="380">
        <f>(1+VLOOKUP(L124,Finanzielle_Parameter,5,0)/100)/(1+VLOOKUP("R",Finanzielle_Parameter,5,0)/100)</f>
        <v>0.99655850540806312</v>
      </c>
      <c r="O124" s="381" t="e">
        <f t="shared" si="206"/>
        <v>#VALUE!</v>
      </c>
      <c r="P124" s="169" t="s">
        <v>103</v>
      </c>
      <c r="Q124" s="114" t="e">
        <f t="shared" si="206"/>
        <v>#VALUE!</v>
      </c>
      <c r="R124" s="115" t="e">
        <f t="shared" si="206"/>
        <v>#VALUE!</v>
      </c>
      <c r="S124" s="115" t="e">
        <f t="shared" si="206"/>
        <v>#VALUE!</v>
      </c>
      <c r="T124" s="115" t="e">
        <f t="shared" si="206"/>
        <v>#VALUE!</v>
      </c>
      <c r="U124" s="115" t="e">
        <f t="shared" si="206"/>
        <v>#VALUE!</v>
      </c>
      <c r="V124" s="115" t="e">
        <f t="shared" si="206"/>
        <v>#VALUE!</v>
      </c>
      <c r="W124" s="115" t="e">
        <f t="shared" si="206"/>
        <v>#VALUE!</v>
      </c>
      <c r="X124" s="115" t="e">
        <f t="shared" si="206"/>
        <v>#VALUE!</v>
      </c>
      <c r="Y124" s="115" t="e">
        <f t="shared" si="206"/>
        <v>#VALUE!</v>
      </c>
      <c r="Z124" s="115" t="e">
        <f t="shared" si="207"/>
        <v>#VALUE!</v>
      </c>
      <c r="AA124" s="115" t="e">
        <f t="shared" si="207"/>
        <v>#VALUE!</v>
      </c>
      <c r="AB124" s="115" t="e">
        <f t="shared" si="207"/>
        <v>#VALUE!</v>
      </c>
      <c r="AC124" s="115" t="e">
        <f t="shared" si="207"/>
        <v>#VALUE!</v>
      </c>
      <c r="AD124" s="115" t="e">
        <f t="shared" si="207"/>
        <v>#VALUE!</v>
      </c>
      <c r="AE124" s="115" t="e">
        <f t="shared" si="207"/>
        <v>#VALUE!</v>
      </c>
      <c r="AF124" s="115" t="e">
        <f t="shared" si="207"/>
        <v>#VALUE!</v>
      </c>
      <c r="AG124" s="115" t="e">
        <f t="shared" si="207"/>
        <v>#VALUE!</v>
      </c>
      <c r="AH124" s="115" t="e">
        <f t="shared" si="207"/>
        <v>#VALUE!</v>
      </c>
      <c r="AI124" s="115" t="e">
        <f t="shared" si="207"/>
        <v>#VALUE!</v>
      </c>
      <c r="AJ124" s="115" t="e">
        <f t="shared" si="208"/>
        <v>#VALUE!</v>
      </c>
      <c r="AK124" s="115" t="e">
        <f t="shared" si="208"/>
        <v>#VALUE!</v>
      </c>
      <c r="AL124" s="115" t="e">
        <f t="shared" si="208"/>
        <v>#VALUE!</v>
      </c>
      <c r="AM124" s="115" t="e">
        <f t="shared" si="208"/>
        <v>#VALUE!</v>
      </c>
      <c r="AN124" s="115" t="e">
        <f t="shared" si="208"/>
        <v>#VALUE!</v>
      </c>
      <c r="AO124" s="115" t="e">
        <f t="shared" si="208"/>
        <v>#VALUE!</v>
      </c>
      <c r="AP124" s="115" t="e">
        <f t="shared" si="208"/>
        <v>#VALUE!</v>
      </c>
      <c r="AQ124" s="115" t="e">
        <f t="shared" si="208"/>
        <v>#VALUE!</v>
      </c>
      <c r="AR124" s="115" t="e">
        <f t="shared" si="208"/>
        <v>#VALUE!</v>
      </c>
      <c r="AS124" s="115" t="e">
        <f t="shared" si="208"/>
        <v>#VALUE!</v>
      </c>
      <c r="AT124" s="115" t="e">
        <f t="shared" si="209"/>
        <v>#VALUE!</v>
      </c>
      <c r="AU124" s="115" t="e">
        <f t="shared" si="209"/>
        <v>#VALUE!</v>
      </c>
      <c r="AV124" s="115" t="e">
        <f t="shared" si="209"/>
        <v>#VALUE!</v>
      </c>
      <c r="AW124" s="115" t="e">
        <f t="shared" si="209"/>
        <v>#VALUE!</v>
      </c>
      <c r="AX124" s="115" t="e">
        <f t="shared" si="209"/>
        <v>#VALUE!</v>
      </c>
      <c r="AY124" s="115" t="e">
        <f t="shared" si="209"/>
        <v>#VALUE!</v>
      </c>
      <c r="AZ124" s="115" t="e">
        <f t="shared" si="209"/>
        <v>#VALUE!</v>
      </c>
      <c r="BA124" s="115" t="e">
        <f t="shared" si="209"/>
        <v>#VALUE!</v>
      </c>
      <c r="BB124" s="115" t="e">
        <f t="shared" si="209"/>
        <v>#VALUE!</v>
      </c>
      <c r="BC124" s="115" t="e">
        <f t="shared" si="209"/>
        <v>#VALUE!</v>
      </c>
      <c r="BD124" s="115" t="e">
        <f t="shared" si="210"/>
        <v>#VALUE!</v>
      </c>
      <c r="BE124" s="115" t="e">
        <f t="shared" si="210"/>
        <v>#VALUE!</v>
      </c>
      <c r="BF124" s="115" t="e">
        <f t="shared" si="210"/>
        <v>#VALUE!</v>
      </c>
      <c r="BG124" s="115" t="e">
        <f t="shared" si="210"/>
        <v>#VALUE!</v>
      </c>
      <c r="BH124" s="115" t="e">
        <f t="shared" si="210"/>
        <v>#VALUE!</v>
      </c>
      <c r="BI124" s="115" t="e">
        <f t="shared" si="210"/>
        <v>#VALUE!</v>
      </c>
      <c r="BJ124" s="115" t="e">
        <f t="shared" si="210"/>
        <v>#VALUE!</v>
      </c>
      <c r="BK124" s="115" t="e">
        <f t="shared" si="210"/>
        <v>#VALUE!</v>
      </c>
      <c r="BL124" s="115" t="e">
        <f t="shared" si="210"/>
        <v>#VALUE!</v>
      </c>
      <c r="BM124" s="115" t="e">
        <f t="shared" si="210"/>
        <v>#VALUE!</v>
      </c>
      <c r="BN124" s="115" t="e">
        <f t="shared" si="211"/>
        <v>#VALUE!</v>
      </c>
      <c r="BO124" s="115" t="e">
        <f t="shared" si="211"/>
        <v>#VALUE!</v>
      </c>
      <c r="BP124" s="115" t="e">
        <f t="shared" si="211"/>
        <v>#VALUE!</v>
      </c>
      <c r="BQ124" s="115" t="e">
        <f t="shared" si="211"/>
        <v>#VALUE!</v>
      </c>
      <c r="BR124" s="115" t="e">
        <f t="shared" si="211"/>
        <v>#VALUE!</v>
      </c>
      <c r="BS124" s="115" t="e">
        <f t="shared" si="211"/>
        <v>#VALUE!</v>
      </c>
      <c r="BT124" s="115" t="e">
        <f t="shared" si="211"/>
        <v>#VALUE!</v>
      </c>
      <c r="BU124" s="115" t="e">
        <f t="shared" si="211"/>
        <v>#VALUE!</v>
      </c>
      <c r="BV124" s="115" t="e">
        <f t="shared" si="211"/>
        <v>#VALUE!</v>
      </c>
      <c r="BW124" s="115" t="e">
        <f t="shared" si="211"/>
        <v>#VALUE!</v>
      </c>
      <c r="BX124" s="115" t="e">
        <f t="shared" si="212"/>
        <v>#VALUE!</v>
      </c>
      <c r="BY124" s="115" t="e">
        <f t="shared" si="212"/>
        <v>#VALUE!</v>
      </c>
      <c r="BZ124" s="115" t="e">
        <f t="shared" si="212"/>
        <v>#VALUE!</v>
      </c>
      <c r="CA124" s="115" t="e">
        <f t="shared" si="212"/>
        <v>#VALUE!</v>
      </c>
      <c r="CB124" s="115" t="e">
        <f t="shared" si="212"/>
        <v>#VALUE!</v>
      </c>
      <c r="CC124" s="115" t="e">
        <f t="shared" si="212"/>
        <v>#VALUE!</v>
      </c>
      <c r="CD124" s="115" t="e">
        <f t="shared" si="212"/>
        <v>#VALUE!</v>
      </c>
      <c r="CE124" s="115" t="e">
        <f t="shared" si="212"/>
        <v>#VALUE!</v>
      </c>
      <c r="CF124" s="115" t="e">
        <f t="shared" si="212"/>
        <v>#VALUE!</v>
      </c>
      <c r="CG124" s="115" t="e">
        <f t="shared" si="212"/>
        <v>#VALUE!</v>
      </c>
      <c r="CH124" s="115" t="e">
        <f t="shared" si="213"/>
        <v>#VALUE!</v>
      </c>
      <c r="CI124" s="115" t="e">
        <f t="shared" si="213"/>
        <v>#VALUE!</v>
      </c>
      <c r="CJ124" s="115" t="e">
        <f t="shared" si="213"/>
        <v>#VALUE!</v>
      </c>
      <c r="CK124" s="115" t="e">
        <f t="shared" si="213"/>
        <v>#VALUE!</v>
      </c>
      <c r="CL124" s="115" t="e">
        <f t="shared" si="213"/>
        <v>#VALUE!</v>
      </c>
      <c r="CM124" s="115" t="e">
        <f t="shared" si="213"/>
        <v>#VALUE!</v>
      </c>
      <c r="CN124" s="115" t="e">
        <f t="shared" si="213"/>
        <v>#VALUE!</v>
      </c>
      <c r="CO124" s="115" t="e">
        <f t="shared" si="213"/>
        <v>#VALUE!</v>
      </c>
      <c r="CP124" s="115" t="e">
        <f t="shared" si="213"/>
        <v>#VALUE!</v>
      </c>
      <c r="CQ124" s="115" t="e">
        <f t="shared" si="213"/>
        <v>#VALUE!</v>
      </c>
      <c r="CR124" s="115" t="e">
        <f t="shared" si="214"/>
        <v>#VALUE!</v>
      </c>
      <c r="CS124" s="115" t="e">
        <f t="shared" si="214"/>
        <v>#VALUE!</v>
      </c>
      <c r="CT124" s="115" t="e">
        <f t="shared" si="214"/>
        <v>#VALUE!</v>
      </c>
      <c r="CU124" s="115" t="e">
        <f t="shared" si="214"/>
        <v>#VALUE!</v>
      </c>
      <c r="CV124" s="115" t="e">
        <f t="shared" si="214"/>
        <v>#VALUE!</v>
      </c>
      <c r="CW124" s="115" t="e">
        <f t="shared" si="214"/>
        <v>#VALUE!</v>
      </c>
      <c r="CX124" s="115" t="e">
        <f t="shared" si="214"/>
        <v>#VALUE!</v>
      </c>
      <c r="CY124" s="115" t="e">
        <f t="shared" si="214"/>
        <v>#VALUE!</v>
      </c>
      <c r="CZ124" s="115" t="e">
        <f t="shared" si="214"/>
        <v>#VALUE!</v>
      </c>
      <c r="DA124" s="115" t="e">
        <f t="shared" si="214"/>
        <v>#VALUE!</v>
      </c>
      <c r="DB124" s="115" t="e">
        <f t="shared" si="215"/>
        <v>#VALUE!</v>
      </c>
      <c r="DC124" s="115" t="e">
        <f t="shared" si="215"/>
        <v>#VALUE!</v>
      </c>
      <c r="DD124" s="115" t="e">
        <f t="shared" si="215"/>
        <v>#VALUE!</v>
      </c>
      <c r="DE124" s="115" t="e">
        <f t="shared" si="215"/>
        <v>#VALUE!</v>
      </c>
      <c r="DF124" s="115" t="e">
        <f t="shared" si="215"/>
        <v>#VALUE!</v>
      </c>
      <c r="DG124" s="115" t="e">
        <f t="shared" si="215"/>
        <v>#VALUE!</v>
      </c>
      <c r="DH124" s="115" t="e">
        <f t="shared" si="215"/>
        <v>#VALUE!</v>
      </c>
      <c r="DI124" s="115" t="e">
        <f t="shared" si="215"/>
        <v>#VALUE!</v>
      </c>
      <c r="DJ124" s="115" t="e">
        <f t="shared" si="215"/>
        <v>#VALUE!</v>
      </c>
      <c r="DK124" s="115" t="e">
        <f t="shared" si="215"/>
        <v>#VALUE!</v>
      </c>
      <c r="DL124" s="115" t="e">
        <f t="shared" si="215"/>
        <v>#VALUE!</v>
      </c>
      <c r="DM124" s="115" t="e">
        <f t="shared" si="215"/>
        <v>#VALUE!</v>
      </c>
    </row>
    <row r="125" spans="1:118" ht="15" customHeight="1" thickBot="1">
      <c r="A125" s="55">
        <v>12800</v>
      </c>
      <c r="B125" s="194" t="s">
        <v>728</v>
      </c>
      <c r="C125" s="194" t="s">
        <v>878</v>
      </c>
      <c r="D125" s="194" t="s">
        <v>279</v>
      </c>
      <c r="E125" s="194" t="s">
        <v>280</v>
      </c>
      <c r="F125" s="194" t="s">
        <v>1097</v>
      </c>
      <c r="G125" s="291" t="e">
        <f t="shared" si="205"/>
        <v>#VALUE!</v>
      </c>
      <c r="H125" s="292" t="e">
        <f>VLOOKUP("E3.C.03",Errichtungskosten,12,0) *VLOOKUP("PFAKT",Instandsetzung,5,0)</f>
        <v>#VALUE!</v>
      </c>
      <c r="I125" s="168"/>
      <c r="J125" s="194" t="s">
        <v>850</v>
      </c>
      <c r="K125" s="385">
        <f>IF(ISNUMBER(VLOOKUP(E125,Nutzungsdauern,5,0)),VLOOKUP(E125,Nutzungsdauern,5,0),1000)</f>
        <v>30</v>
      </c>
      <c r="L125" s="379" t="s">
        <v>358</v>
      </c>
      <c r="M125" s="325">
        <f>VLOOKUP(L125,Finanzielle_Parameter,5,0)</f>
        <v>1.35</v>
      </c>
      <c r="N125" s="380">
        <f>(1+VLOOKUP(L125,Finanzielle_Parameter,5,0)/100)/(1+VLOOKUP("R",Finanzielle_Parameter,5,0)/100)</f>
        <v>0.99655850540806312</v>
      </c>
      <c r="O125" s="381" t="e">
        <f t="shared" si="206"/>
        <v>#VALUE!</v>
      </c>
      <c r="P125" s="169" t="s">
        <v>103</v>
      </c>
      <c r="Q125" s="114" t="e">
        <f t="shared" si="206"/>
        <v>#VALUE!</v>
      </c>
      <c r="R125" s="115" t="e">
        <f t="shared" si="206"/>
        <v>#VALUE!</v>
      </c>
      <c r="S125" s="115" t="e">
        <f t="shared" si="206"/>
        <v>#VALUE!</v>
      </c>
      <c r="T125" s="115" t="e">
        <f t="shared" si="206"/>
        <v>#VALUE!</v>
      </c>
      <c r="U125" s="115" t="e">
        <f t="shared" si="206"/>
        <v>#VALUE!</v>
      </c>
      <c r="V125" s="115" t="e">
        <f t="shared" si="206"/>
        <v>#VALUE!</v>
      </c>
      <c r="W125" s="115" t="e">
        <f t="shared" si="206"/>
        <v>#VALUE!</v>
      </c>
      <c r="X125" s="115" t="e">
        <f t="shared" si="206"/>
        <v>#VALUE!</v>
      </c>
      <c r="Y125" s="115" t="e">
        <f t="shared" si="206"/>
        <v>#VALUE!</v>
      </c>
      <c r="Z125" s="115" t="e">
        <f t="shared" si="207"/>
        <v>#VALUE!</v>
      </c>
      <c r="AA125" s="115" t="e">
        <f t="shared" si="207"/>
        <v>#VALUE!</v>
      </c>
      <c r="AB125" s="115" t="e">
        <f t="shared" si="207"/>
        <v>#VALUE!</v>
      </c>
      <c r="AC125" s="115" t="e">
        <f t="shared" si="207"/>
        <v>#VALUE!</v>
      </c>
      <c r="AD125" s="115" t="e">
        <f t="shared" si="207"/>
        <v>#VALUE!</v>
      </c>
      <c r="AE125" s="115" t="e">
        <f t="shared" si="207"/>
        <v>#VALUE!</v>
      </c>
      <c r="AF125" s="115" t="e">
        <f t="shared" si="207"/>
        <v>#VALUE!</v>
      </c>
      <c r="AG125" s="115" t="e">
        <f t="shared" si="207"/>
        <v>#VALUE!</v>
      </c>
      <c r="AH125" s="115" t="e">
        <f t="shared" si="207"/>
        <v>#VALUE!</v>
      </c>
      <c r="AI125" s="115" t="e">
        <f t="shared" si="207"/>
        <v>#VALUE!</v>
      </c>
      <c r="AJ125" s="115" t="e">
        <f t="shared" si="208"/>
        <v>#VALUE!</v>
      </c>
      <c r="AK125" s="115" t="e">
        <f t="shared" si="208"/>
        <v>#VALUE!</v>
      </c>
      <c r="AL125" s="115" t="e">
        <f t="shared" si="208"/>
        <v>#VALUE!</v>
      </c>
      <c r="AM125" s="115" t="e">
        <f t="shared" si="208"/>
        <v>#VALUE!</v>
      </c>
      <c r="AN125" s="115" t="e">
        <f t="shared" si="208"/>
        <v>#VALUE!</v>
      </c>
      <c r="AO125" s="115" t="e">
        <f t="shared" si="208"/>
        <v>#VALUE!</v>
      </c>
      <c r="AP125" s="115" t="e">
        <f t="shared" si="208"/>
        <v>#VALUE!</v>
      </c>
      <c r="AQ125" s="115" t="e">
        <f t="shared" si="208"/>
        <v>#VALUE!</v>
      </c>
      <c r="AR125" s="115" t="e">
        <f t="shared" si="208"/>
        <v>#VALUE!</v>
      </c>
      <c r="AS125" s="115" t="e">
        <f t="shared" si="208"/>
        <v>#VALUE!</v>
      </c>
      <c r="AT125" s="115" t="e">
        <f t="shared" si="209"/>
        <v>#VALUE!</v>
      </c>
      <c r="AU125" s="115" t="e">
        <f t="shared" si="209"/>
        <v>#VALUE!</v>
      </c>
      <c r="AV125" s="115" t="e">
        <f t="shared" si="209"/>
        <v>#VALUE!</v>
      </c>
      <c r="AW125" s="115" t="e">
        <f t="shared" si="209"/>
        <v>#VALUE!</v>
      </c>
      <c r="AX125" s="115" t="e">
        <f t="shared" si="209"/>
        <v>#VALUE!</v>
      </c>
      <c r="AY125" s="115" t="e">
        <f t="shared" si="209"/>
        <v>#VALUE!</v>
      </c>
      <c r="AZ125" s="115" t="e">
        <f t="shared" si="209"/>
        <v>#VALUE!</v>
      </c>
      <c r="BA125" s="115" t="e">
        <f t="shared" si="209"/>
        <v>#VALUE!</v>
      </c>
      <c r="BB125" s="115" t="e">
        <f t="shared" si="209"/>
        <v>#VALUE!</v>
      </c>
      <c r="BC125" s="115" t="e">
        <f t="shared" si="209"/>
        <v>#VALUE!</v>
      </c>
      <c r="BD125" s="115" t="e">
        <f t="shared" si="210"/>
        <v>#VALUE!</v>
      </c>
      <c r="BE125" s="115" t="e">
        <f t="shared" si="210"/>
        <v>#VALUE!</v>
      </c>
      <c r="BF125" s="115" t="e">
        <f t="shared" si="210"/>
        <v>#VALUE!</v>
      </c>
      <c r="BG125" s="115" t="e">
        <f t="shared" si="210"/>
        <v>#VALUE!</v>
      </c>
      <c r="BH125" s="115" t="e">
        <f t="shared" si="210"/>
        <v>#VALUE!</v>
      </c>
      <c r="BI125" s="115" t="e">
        <f t="shared" si="210"/>
        <v>#VALUE!</v>
      </c>
      <c r="BJ125" s="115" t="e">
        <f t="shared" si="210"/>
        <v>#VALUE!</v>
      </c>
      <c r="BK125" s="115" t="e">
        <f t="shared" si="210"/>
        <v>#VALUE!</v>
      </c>
      <c r="BL125" s="115" t="e">
        <f t="shared" si="210"/>
        <v>#VALUE!</v>
      </c>
      <c r="BM125" s="115" t="e">
        <f t="shared" si="210"/>
        <v>#VALUE!</v>
      </c>
      <c r="BN125" s="115" t="e">
        <f t="shared" si="211"/>
        <v>#VALUE!</v>
      </c>
      <c r="BO125" s="115" t="e">
        <f t="shared" si="211"/>
        <v>#VALUE!</v>
      </c>
      <c r="BP125" s="115" t="e">
        <f t="shared" si="211"/>
        <v>#VALUE!</v>
      </c>
      <c r="BQ125" s="115" t="e">
        <f t="shared" si="211"/>
        <v>#VALUE!</v>
      </c>
      <c r="BR125" s="115" t="e">
        <f t="shared" si="211"/>
        <v>#VALUE!</v>
      </c>
      <c r="BS125" s="115" t="e">
        <f t="shared" si="211"/>
        <v>#VALUE!</v>
      </c>
      <c r="BT125" s="115" t="e">
        <f t="shared" si="211"/>
        <v>#VALUE!</v>
      </c>
      <c r="BU125" s="115" t="e">
        <f t="shared" si="211"/>
        <v>#VALUE!</v>
      </c>
      <c r="BV125" s="115" t="e">
        <f t="shared" si="211"/>
        <v>#VALUE!</v>
      </c>
      <c r="BW125" s="115" t="e">
        <f t="shared" si="211"/>
        <v>#VALUE!</v>
      </c>
      <c r="BX125" s="115" t="e">
        <f t="shared" si="212"/>
        <v>#VALUE!</v>
      </c>
      <c r="BY125" s="115" t="e">
        <f t="shared" si="212"/>
        <v>#VALUE!</v>
      </c>
      <c r="BZ125" s="115" t="e">
        <f t="shared" si="212"/>
        <v>#VALUE!</v>
      </c>
      <c r="CA125" s="115" t="e">
        <f t="shared" si="212"/>
        <v>#VALUE!</v>
      </c>
      <c r="CB125" s="115" t="e">
        <f t="shared" si="212"/>
        <v>#VALUE!</v>
      </c>
      <c r="CC125" s="115" t="e">
        <f t="shared" si="212"/>
        <v>#VALUE!</v>
      </c>
      <c r="CD125" s="115" t="e">
        <f t="shared" si="212"/>
        <v>#VALUE!</v>
      </c>
      <c r="CE125" s="115" t="e">
        <f t="shared" si="212"/>
        <v>#VALUE!</v>
      </c>
      <c r="CF125" s="115" t="e">
        <f t="shared" si="212"/>
        <v>#VALUE!</v>
      </c>
      <c r="CG125" s="115" t="e">
        <f t="shared" si="212"/>
        <v>#VALUE!</v>
      </c>
      <c r="CH125" s="115" t="e">
        <f t="shared" si="213"/>
        <v>#VALUE!</v>
      </c>
      <c r="CI125" s="115" t="e">
        <f t="shared" si="213"/>
        <v>#VALUE!</v>
      </c>
      <c r="CJ125" s="115" t="e">
        <f t="shared" si="213"/>
        <v>#VALUE!</v>
      </c>
      <c r="CK125" s="115" t="e">
        <f t="shared" si="213"/>
        <v>#VALUE!</v>
      </c>
      <c r="CL125" s="115" t="e">
        <f t="shared" si="213"/>
        <v>#VALUE!</v>
      </c>
      <c r="CM125" s="115" t="e">
        <f t="shared" si="213"/>
        <v>#VALUE!</v>
      </c>
      <c r="CN125" s="115" t="e">
        <f t="shared" si="213"/>
        <v>#VALUE!</v>
      </c>
      <c r="CO125" s="115" t="e">
        <f t="shared" si="213"/>
        <v>#VALUE!</v>
      </c>
      <c r="CP125" s="115" t="e">
        <f t="shared" si="213"/>
        <v>#VALUE!</v>
      </c>
      <c r="CQ125" s="115" t="e">
        <f t="shared" si="213"/>
        <v>#VALUE!</v>
      </c>
      <c r="CR125" s="115" t="e">
        <f t="shared" si="214"/>
        <v>#VALUE!</v>
      </c>
      <c r="CS125" s="115" t="e">
        <f t="shared" si="214"/>
        <v>#VALUE!</v>
      </c>
      <c r="CT125" s="115" t="e">
        <f t="shared" si="214"/>
        <v>#VALUE!</v>
      </c>
      <c r="CU125" s="115" t="e">
        <f t="shared" si="214"/>
        <v>#VALUE!</v>
      </c>
      <c r="CV125" s="115" t="e">
        <f t="shared" si="214"/>
        <v>#VALUE!</v>
      </c>
      <c r="CW125" s="115" t="e">
        <f t="shared" si="214"/>
        <v>#VALUE!</v>
      </c>
      <c r="CX125" s="115" t="e">
        <f t="shared" si="214"/>
        <v>#VALUE!</v>
      </c>
      <c r="CY125" s="115" t="e">
        <f t="shared" si="214"/>
        <v>#VALUE!</v>
      </c>
      <c r="CZ125" s="115" t="e">
        <f t="shared" si="214"/>
        <v>#VALUE!</v>
      </c>
      <c r="DA125" s="115" t="e">
        <f t="shared" si="214"/>
        <v>#VALUE!</v>
      </c>
      <c r="DB125" s="115" t="e">
        <f t="shared" si="215"/>
        <v>#VALUE!</v>
      </c>
      <c r="DC125" s="115" t="e">
        <f t="shared" si="215"/>
        <v>#VALUE!</v>
      </c>
      <c r="DD125" s="115" t="e">
        <f t="shared" si="215"/>
        <v>#VALUE!</v>
      </c>
      <c r="DE125" s="115" t="e">
        <f t="shared" si="215"/>
        <v>#VALUE!</v>
      </c>
      <c r="DF125" s="115" t="e">
        <f t="shared" si="215"/>
        <v>#VALUE!</v>
      </c>
      <c r="DG125" s="115" t="e">
        <f t="shared" si="215"/>
        <v>#VALUE!</v>
      </c>
      <c r="DH125" s="115" t="e">
        <f t="shared" si="215"/>
        <v>#VALUE!</v>
      </c>
      <c r="DI125" s="115" t="e">
        <f t="shared" si="215"/>
        <v>#VALUE!</v>
      </c>
      <c r="DJ125" s="115" t="e">
        <f t="shared" si="215"/>
        <v>#VALUE!</v>
      </c>
      <c r="DK125" s="115" t="e">
        <f t="shared" si="215"/>
        <v>#VALUE!</v>
      </c>
      <c r="DL125" s="115" t="e">
        <f t="shared" si="215"/>
        <v>#VALUE!</v>
      </c>
      <c r="DM125" s="115" t="e">
        <f t="shared" si="215"/>
        <v>#VALUE!</v>
      </c>
    </row>
    <row r="126" spans="1:118" ht="15" customHeight="1" thickBot="1">
      <c r="A126" s="55">
        <v>12900</v>
      </c>
      <c r="B126" s="194" t="s">
        <v>728</v>
      </c>
      <c r="C126" s="194" t="s">
        <v>879</v>
      </c>
      <c r="D126" s="194" t="s">
        <v>277</v>
      </c>
      <c r="E126" s="194" t="s">
        <v>278</v>
      </c>
      <c r="F126" s="194" t="s">
        <v>1098</v>
      </c>
      <c r="G126" s="291" t="e">
        <f t="shared" si="205"/>
        <v>#VALUE!</v>
      </c>
      <c r="H126" s="292" t="e">
        <f>VLOOKUP("E3.C.S",Errichtungskosten,12,0) *VLOOKUP("PFAKT",Instandsetzung,5,0)</f>
        <v>#VALUE!</v>
      </c>
      <c r="I126" s="168"/>
      <c r="J126" s="194" t="s">
        <v>850</v>
      </c>
      <c r="K126" s="385">
        <f>IF(ISNUMBER(VLOOKUP(E126,Nutzungsdauern,5,0)),VLOOKUP(E126,Nutzungsdauern,5,0),1000)</f>
        <v>25</v>
      </c>
      <c r="L126" s="379" t="s">
        <v>358</v>
      </c>
      <c r="M126" s="325">
        <f>VLOOKUP(L126,Finanzielle_Parameter,5,0)</f>
        <v>1.35</v>
      </c>
      <c r="N126" s="380">
        <f>(1+VLOOKUP(L126,Finanzielle_Parameter,5,0)/100)/(1+VLOOKUP("R",Finanzielle_Parameter,5,0)/100)</f>
        <v>0.99655850540806312</v>
      </c>
      <c r="O126" s="381" t="e">
        <f t="shared" si="206"/>
        <v>#VALUE!</v>
      </c>
      <c r="P126" s="169" t="s">
        <v>103</v>
      </c>
      <c r="Q126" s="114" t="e">
        <f t="shared" si="206"/>
        <v>#VALUE!</v>
      </c>
      <c r="R126" s="115" t="e">
        <f t="shared" si="206"/>
        <v>#VALUE!</v>
      </c>
      <c r="S126" s="115" t="e">
        <f t="shared" si="206"/>
        <v>#VALUE!</v>
      </c>
      <c r="T126" s="115" t="e">
        <f t="shared" si="206"/>
        <v>#VALUE!</v>
      </c>
      <c r="U126" s="115" t="e">
        <f t="shared" si="206"/>
        <v>#VALUE!</v>
      </c>
      <c r="V126" s="115" t="e">
        <f t="shared" si="206"/>
        <v>#VALUE!</v>
      </c>
      <c r="W126" s="115" t="e">
        <f t="shared" si="206"/>
        <v>#VALUE!</v>
      </c>
      <c r="X126" s="115" t="e">
        <f t="shared" si="206"/>
        <v>#VALUE!</v>
      </c>
      <c r="Y126" s="115" t="e">
        <f t="shared" si="206"/>
        <v>#VALUE!</v>
      </c>
      <c r="Z126" s="115" t="e">
        <f t="shared" si="207"/>
        <v>#VALUE!</v>
      </c>
      <c r="AA126" s="115" t="e">
        <f t="shared" si="207"/>
        <v>#VALUE!</v>
      </c>
      <c r="AB126" s="115" t="e">
        <f t="shared" si="207"/>
        <v>#VALUE!</v>
      </c>
      <c r="AC126" s="115" t="e">
        <f t="shared" si="207"/>
        <v>#VALUE!</v>
      </c>
      <c r="AD126" s="115" t="e">
        <f t="shared" si="207"/>
        <v>#VALUE!</v>
      </c>
      <c r="AE126" s="115" t="e">
        <f t="shared" si="207"/>
        <v>#VALUE!</v>
      </c>
      <c r="AF126" s="115" t="e">
        <f t="shared" si="207"/>
        <v>#VALUE!</v>
      </c>
      <c r="AG126" s="115" t="e">
        <f t="shared" si="207"/>
        <v>#VALUE!</v>
      </c>
      <c r="AH126" s="115" t="e">
        <f t="shared" si="207"/>
        <v>#VALUE!</v>
      </c>
      <c r="AI126" s="115" t="e">
        <f t="shared" si="207"/>
        <v>#VALUE!</v>
      </c>
      <c r="AJ126" s="115" t="e">
        <f t="shared" si="208"/>
        <v>#VALUE!</v>
      </c>
      <c r="AK126" s="115" t="e">
        <f t="shared" si="208"/>
        <v>#VALUE!</v>
      </c>
      <c r="AL126" s="115" t="e">
        <f t="shared" si="208"/>
        <v>#VALUE!</v>
      </c>
      <c r="AM126" s="115" t="e">
        <f t="shared" si="208"/>
        <v>#VALUE!</v>
      </c>
      <c r="AN126" s="115" t="e">
        <f t="shared" si="208"/>
        <v>#VALUE!</v>
      </c>
      <c r="AO126" s="115" t="e">
        <f t="shared" si="208"/>
        <v>#VALUE!</v>
      </c>
      <c r="AP126" s="115" t="e">
        <f t="shared" si="208"/>
        <v>#VALUE!</v>
      </c>
      <c r="AQ126" s="115" t="e">
        <f t="shared" si="208"/>
        <v>#VALUE!</v>
      </c>
      <c r="AR126" s="115" t="e">
        <f t="shared" si="208"/>
        <v>#VALUE!</v>
      </c>
      <c r="AS126" s="115" t="e">
        <f t="shared" si="208"/>
        <v>#VALUE!</v>
      </c>
      <c r="AT126" s="115" t="e">
        <f t="shared" si="209"/>
        <v>#VALUE!</v>
      </c>
      <c r="AU126" s="115" t="e">
        <f t="shared" si="209"/>
        <v>#VALUE!</v>
      </c>
      <c r="AV126" s="115" t="e">
        <f t="shared" si="209"/>
        <v>#VALUE!</v>
      </c>
      <c r="AW126" s="115" t="e">
        <f t="shared" si="209"/>
        <v>#VALUE!</v>
      </c>
      <c r="AX126" s="115" t="e">
        <f t="shared" si="209"/>
        <v>#VALUE!</v>
      </c>
      <c r="AY126" s="115" t="e">
        <f t="shared" si="209"/>
        <v>#VALUE!</v>
      </c>
      <c r="AZ126" s="115" t="e">
        <f t="shared" si="209"/>
        <v>#VALUE!</v>
      </c>
      <c r="BA126" s="115" t="e">
        <f t="shared" si="209"/>
        <v>#VALUE!</v>
      </c>
      <c r="BB126" s="115" t="e">
        <f t="shared" si="209"/>
        <v>#VALUE!</v>
      </c>
      <c r="BC126" s="115" t="e">
        <f t="shared" si="209"/>
        <v>#VALUE!</v>
      </c>
      <c r="BD126" s="115" t="e">
        <f t="shared" si="210"/>
        <v>#VALUE!</v>
      </c>
      <c r="BE126" s="115" t="e">
        <f t="shared" si="210"/>
        <v>#VALUE!</v>
      </c>
      <c r="BF126" s="115" t="e">
        <f t="shared" si="210"/>
        <v>#VALUE!</v>
      </c>
      <c r="BG126" s="115" t="e">
        <f t="shared" si="210"/>
        <v>#VALUE!</v>
      </c>
      <c r="BH126" s="115" t="e">
        <f t="shared" si="210"/>
        <v>#VALUE!</v>
      </c>
      <c r="BI126" s="115" t="e">
        <f t="shared" si="210"/>
        <v>#VALUE!</v>
      </c>
      <c r="BJ126" s="115" t="e">
        <f t="shared" si="210"/>
        <v>#VALUE!</v>
      </c>
      <c r="BK126" s="115" t="e">
        <f t="shared" si="210"/>
        <v>#VALUE!</v>
      </c>
      <c r="BL126" s="115" t="e">
        <f t="shared" si="210"/>
        <v>#VALUE!</v>
      </c>
      <c r="BM126" s="115" t="e">
        <f t="shared" si="210"/>
        <v>#VALUE!</v>
      </c>
      <c r="BN126" s="115" t="e">
        <f t="shared" si="211"/>
        <v>#VALUE!</v>
      </c>
      <c r="BO126" s="115" t="e">
        <f t="shared" si="211"/>
        <v>#VALUE!</v>
      </c>
      <c r="BP126" s="115" t="e">
        <f t="shared" si="211"/>
        <v>#VALUE!</v>
      </c>
      <c r="BQ126" s="115" t="e">
        <f t="shared" si="211"/>
        <v>#VALUE!</v>
      </c>
      <c r="BR126" s="115" t="e">
        <f t="shared" si="211"/>
        <v>#VALUE!</v>
      </c>
      <c r="BS126" s="115" t="e">
        <f t="shared" si="211"/>
        <v>#VALUE!</v>
      </c>
      <c r="BT126" s="115" t="e">
        <f t="shared" si="211"/>
        <v>#VALUE!</v>
      </c>
      <c r="BU126" s="115" t="e">
        <f t="shared" si="211"/>
        <v>#VALUE!</v>
      </c>
      <c r="BV126" s="115" t="e">
        <f t="shared" si="211"/>
        <v>#VALUE!</v>
      </c>
      <c r="BW126" s="115" t="e">
        <f t="shared" si="211"/>
        <v>#VALUE!</v>
      </c>
      <c r="BX126" s="115" t="e">
        <f t="shared" si="212"/>
        <v>#VALUE!</v>
      </c>
      <c r="BY126" s="115" t="e">
        <f t="shared" si="212"/>
        <v>#VALUE!</v>
      </c>
      <c r="BZ126" s="115" t="e">
        <f t="shared" si="212"/>
        <v>#VALUE!</v>
      </c>
      <c r="CA126" s="115" t="e">
        <f t="shared" si="212"/>
        <v>#VALUE!</v>
      </c>
      <c r="CB126" s="115" t="e">
        <f t="shared" si="212"/>
        <v>#VALUE!</v>
      </c>
      <c r="CC126" s="115" t="e">
        <f t="shared" si="212"/>
        <v>#VALUE!</v>
      </c>
      <c r="CD126" s="115" t="e">
        <f t="shared" si="212"/>
        <v>#VALUE!</v>
      </c>
      <c r="CE126" s="115" t="e">
        <f t="shared" si="212"/>
        <v>#VALUE!</v>
      </c>
      <c r="CF126" s="115" t="e">
        <f t="shared" si="212"/>
        <v>#VALUE!</v>
      </c>
      <c r="CG126" s="115" t="e">
        <f t="shared" si="212"/>
        <v>#VALUE!</v>
      </c>
      <c r="CH126" s="115" t="e">
        <f t="shared" si="213"/>
        <v>#VALUE!</v>
      </c>
      <c r="CI126" s="115" t="e">
        <f t="shared" si="213"/>
        <v>#VALUE!</v>
      </c>
      <c r="CJ126" s="115" t="e">
        <f t="shared" si="213"/>
        <v>#VALUE!</v>
      </c>
      <c r="CK126" s="115" t="e">
        <f t="shared" si="213"/>
        <v>#VALUE!</v>
      </c>
      <c r="CL126" s="115" t="e">
        <f t="shared" si="213"/>
        <v>#VALUE!</v>
      </c>
      <c r="CM126" s="115" t="e">
        <f t="shared" si="213"/>
        <v>#VALUE!</v>
      </c>
      <c r="CN126" s="115" t="e">
        <f t="shared" si="213"/>
        <v>#VALUE!</v>
      </c>
      <c r="CO126" s="115" t="e">
        <f t="shared" si="213"/>
        <v>#VALUE!</v>
      </c>
      <c r="CP126" s="115" t="e">
        <f t="shared" si="213"/>
        <v>#VALUE!</v>
      </c>
      <c r="CQ126" s="115" t="e">
        <f t="shared" si="213"/>
        <v>#VALUE!</v>
      </c>
      <c r="CR126" s="115" t="e">
        <f t="shared" si="214"/>
        <v>#VALUE!</v>
      </c>
      <c r="CS126" s="115" t="e">
        <f t="shared" si="214"/>
        <v>#VALUE!</v>
      </c>
      <c r="CT126" s="115" t="e">
        <f t="shared" si="214"/>
        <v>#VALUE!</v>
      </c>
      <c r="CU126" s="115" t="e">
        <f t="shared" si="214"/>
        <v>#VALUE!</v>
      </c>
      <c r="CV126" s="115" t="e">
        <f t="shared" si="214"/>
        <v>#VALUE!</v>
      </c>
      <c r="CW126" s="115" t="e">
        <f t="shared" si="214"/>
        <v>#VALUE!</v>
      </c>
      <c r="CX126" s="115" t="e">
        <f t="shared" si="214"/>
        <v>#VALUE!</v>
      </c>
      <c r="CY126" s="115" t="e">
        <f t="shared" si="214"/>
        <v>#VALUE!</v>
      </c>
      <c r="CZ126" s="115" t="e">
        <f t="shared" si="214"/>
        <v>#VALUE!</v>
      </c>
      <c r="DA126" s="115" t="e">
        <f t="shared" si="214"/>
        <v>#VALUE!</v>
      </c>
      <c r="DB126" s="115" t="e">
        <f t="shared" si="215"/>
        <v>#VALUE!</v>
      </c>
      <c r="DC126" s="115" t="e">
        <f t="shared" si="215"/>
        <v>#VALUE!</v>
      </c>
      <c r="DD126" s="115" t="e">
        <f t="shared" si="215"/>
        <v>#VALUE!</v>
      </c>
      <c r="DE126" s="115" t="e">
        <f t="shared" si="215"/>
        <v>#VALUE!</v>
      </c>
      <c r="DF126" s="115" t="e">
        <f t="shared" si="215"/>
        <v>#VALUE!</v>
      </c>
      <c r="DG126" s="115" t="e">
        <f t="shared" si="215"/>
        <v>#VALUE!</v>
      </c>
      <c r="DH126" s="115" t="e">
        <f t="shared" si="215"/>
        <v>#VALUE!</v>
      </c>
      <c r="DI126" s="115" t="e">
        <f t="shared" si="215"/>
        <v>#VALUE!</v>
      </c>
      <c r="DJ126" s="115" t="e">
        <f t="shared" si="215"/>
        <v>#VALUE!</v>
      </c>
      <c r="DK126" s="115" t="e">
        <f t="shared" si="215"/>
        <v>#VALUE!</v>
      </c>
      <c r="DL126" s="115" t="e">
        <f t="shared" si="215"/>
        <v>#VALUE!</v>
      </c>
      <c r="DM126" s="115" t="e">
        <f t="shared" si="215"/>
        <v>#VALUE!</v>
      </c>
    </row>
    <row r="127" spans="1:118" ht="15" customHeight="1">
      <c r="A127" s="293">
        <v>13000</v>
      </c>
      <c r="B127" s="172" t="s">
        <v>743</v>
      </c>
      <c r="C127" s="172" t="s">
        <v>880</v>
      </c>
      <c r="D127" s="172" t="s">
        <v>274</v>
      </c>
      <c r="E127" s="172"/>
      <c r="F127" s="172"/>
      <c r="G127" s="172"/>
      <c r="H127" s="172"/>
      <c r="I127" s="172"/>
      <c r="J127" s="172"/>
      <c r="K127" s="386"/>
      <c r="L127" s="172"/>
      <c r="M127" s="293"/>
      <c r="N127" s="293"/>
      <c r="O127" s="376" t="e">
        <f>SUM(O129:O135)</f>
        <v>#VALUE!</v>
      </c>
      <c r="P127" s="377" t="s">
        <v>103</v>
      </c>
      <c r="Q127" s="116"/>
      <c r="R127" s="116"/>
      <c r="S127" s="116"/>
      <c r="T127" s="116"/>
      <c r="U127" s="116"/>
      <c r="V127" s="116"/>
      <c r="W127" s="116"/>
      <c r="X127" s="116"/>
      <c r="Y127" s="116"/>
      <c r="Z127" s="116"/>
      <c r="AA127" s="116"/>
      <c r="AB127" s="116"/>
      <c r="AC127" s="116"/>
      <c r="AD127" s="116"/>
      <c r="AE127" s="116"/>
      <c r="AF127" s="116"/>
      <c r="AG127" s="116"/>
      <c r="AH127" s="116"/>
      <c r="AI127" s="116"/>
      <c r="AJ127" s="116"/>
      <c r="AK127" s="116"/>
      <c r="AL127" s="116"/>
      <c r="AM127" s="116"/>
      <c r="AN127" s="116"/>
      <c r="AO127" s="116"/>
      <c r="AP127" s="116"/>
      <c r="AQ127" s="116"/>
      <c r="AR127" s="116"/>
      <c r="AS127" s="116"/>
      <c r="AT127" s="116"/>
      <c r="AU127" s="116"/>
      <c r="AV127" s="116"/>
      <c r="AW127" s="116"/>
      <c r="AX127" s="116"/>
      <c r="AY127" s="116"/>
      <c r="AZ127" s="116"/>
      <c r="BA127" s="116"/>
      <c r="BB127" s="116"/>
      <c r="BC127" s="116"/>
      <c r="BD127" s="116"/>
      <c r="BE127" s="116"/>
      <c r="BF127" s="116"/>
      <c r="BG127" s="116"/>
      <c r="BH127" s="116"/>
      <c r="BI127" s="116"/>
      <c r="BJ127" s="116"/>
      <c r="BK127" s="116"/>
      <c r="BL127" s="116"/>
      <c r="BM127" s="116"/>
      <c r="BN127" s="116"/>
      <c r="BO127" s="116"/>
      <c r="BP127" s="116"/>
      <c r="BQ127" s="116"/>
      <c r="BR127" s="116"/>
      <c r="BS127" s="116"/>
      <c r="BT127" s="116"/>
      <c r="BU127" s="116"/>
      <c r="BV127" s="116"/>
      <c r="BW127" s="116"/>
      <c r="BX127" s="116"/>
      <c r="BY127" s="116"/>
      <c r="BZ127" s="116"/>
      <c r="CA127" s="116"/>
      <c r="CB127" s="116"/>
      <c r="CC127" s="116"/>
      <c r="CD127" s="116"/>
      <c r="CE127" s="116"/>
      <c r="CF127" s="116"/>
      <c r="CG127" s="116"/>
      <c r="CH127" s="116"/>
      <c r="CI127" s="116"/>
      <c r="CJ127" s="116"/>
      <c r="CK127" s="116"/>
      <c r="CL127" s="116"/>
      <c r="CM127" s="116"/>
      <c r="CN127" s="116"/>
      <c r="CO127" s="116"/>
      <c r="CP127" s="116"/>
      <c r="CQ127" s="116"/>
      <c r="CR127" s="116"/>
      <c r="CS127" s="116"/>
      <c r="CT127" s="116"/>
      <c r="CU127" s="116"/>
      <c r="CV127" s="116"/>
      <c r="CW127" s="116"/>
      <c r="CX127" s="116"/>
      <c r="CY127" s="116"/>
      <c r="CZ127" s="116"/>
      <c r="DA127" s="116"/>
      <c r="DB127" s="116"/>
      <c r="DC127" s="116"/>
      <c r="DD127" s="116"/>
      <c r="DE127" s="116"/>
      <c r="DF127" s="116"/>
      <c r="DG127" s="116"/>
      <c r="DH127" s="116"/>
      <c r="DI127" s="116"/>
      <c r="DJ127" s="116"/>
      <c r="DK127" s="116"/>
      <c r="DL127" s="116"/>
      <c r="DM127" s="116"/>
    </row>
    <row r="128" spans="1:118" ht="15" customHeight="1" thickBot="1">
      <c r="A128" s="293">
        <v>13100</v>
      </c>
      <c r="B128" s="172" t="s">
        <v>743</v>
      </c>
      <c r="C128" s="172" t="s">
        <v>881</v>
      </c>
      <c r="D128" s="172" t="s">
        <v>272</v>
      </c>
      <c r="E128" s="172"/>
      <c r="F128" s="172"/>
      <c r="G128" s="172"/>
      <c r="H128" s="172"/>
      <c r="I128" s="172"/>
      <c r="J128" s="172"/>
      <c r="K128" s="386"/>
      <c r="L128" s="172"/>
      <c r="M128" s="293"/>
      <c r="N128" s="293"/>
      <c r="O128" s="376" t="e">
        <f>SUM(O129:O130)</f>
        <v>#VALUE!</v>
      </c>
      <c r="P128" s="377" t="s">
        <v>103</v>
      </c>
      <c r="Q128" s="116"/>
      <c r="R128" s="116"/>
      <c r="S128" s="116"/>
      <c r="T128" s="116"/>
      <c r="U128" s="116"/>
      <c r="V128" s="116"/>
      <c r="W128" s="116"/>
      <c r="X128" s="116"/>
      <c r="Y128" s="116"/>
      <c r="Z128" s="116"/>
      <c r="AA128" s="116"/>
      <c r="AB128" s="116"/>
      <c r="AC128" s="116"/>
      <c r="AD128" s="116"/>
      <c r="AE128" s="116"/>
      <c r="AF128" s="116"/>
      <c r="AG128" s="116"/>
      <c r="AH128" s="116"/>
      <c r="AI128" s="116"/>
      <c r="AJ128" s="116"/>
      <c r="AK128" s="116"/>
      <c r="AL128" s="116"/>
      <c r="AM128" s="116"/>
      <c r="AN128" s="116"/>
      <c r="AO128" s="116"/>
      <c r="AP128" s="116"/>
      <c r="AQ128" s="116"/>
      <c r="AR128" s="116"/>
      <c r="AS128" s="116"/>
      <c r="AT128" s="116"/>
      <c r="AU128" s="116"/>
      <c r="AV128" s="116"/>
      <c r="AW128" s="116"/>
      <c r="AX128" s="116"/>
      <c r="AY128" s="116"/>
      <c r="AZ128" s="116"/>
      <c r="BA128" s="116"/>
      <c r="BB128" s="116"/>
      <c r="BC128" s="116"/>
      <c r="BD128" s="116"/>
      <c r="BE128" s="116"/>
      <c r="BF128" s="116"/>
      <c r="BG128" s="116"/>
      <c r="BH128" s="116"/>
      <c r="BI128" s="116"/>
      <c r="BJ128" s="116"/>
      <c r="BK128" s="116"/>
      <c r="BL128" s="116"/>
      <c r="BM128" s="116"/>
      <c r="BN128" s="116"/>
      <c r="BO128" s="116"/>
      <c r="BP128" s="116"/>
      <c r="BQ128" s="116"/>
      <c r="BR128" s="116"/>
      <c r="BS128" s="116"/>
      <c r="BT128" s="116"/>
      <c r="BU128" s="116"/>
      <c r="BV128" s="116"/>
      <c r="BW128" s="116"/>
      <c r="BX128" s="116"/>
      <c r="BY128" s="116"/>
      <c r="BZ128" s="116"/>
      <c r="CA128" s="116"/>
      <c r="CB128" s="116"/>
      <c r="CC128" s="116"/>
      <c r="CD128" s="116"/>
      <c r="CE128" s="116"/>
      <c r="CF128" s="116"/>
      <c r="CG128" s="116"/>
      <c r="CH128" s="116"/>
      <c r="CI128" s="116"/>
      <c r="CJ128" s="116"/>
      <c r="CK128" s="116"/>
      <c r="CL128" s="116"/>
      <c r="CM128" s="116"/>
      <c r="CN128" s="116"/>
      <c r="CO128" s="116"/>
      <c r="CP128" s="116"/>
      <c r="CQ128" s="116"/>
      <c r="CR128" s="116"/>
      <c r="CS128" s="116"/>
      <c r="CT128" s="116"/>
      <c r="CU128" s="116"/>
      <c r="CV128" s="116"/>
      <c r="CW128" s="116"/>
      <c r="CX128" s="116"/>
      <c r="CY128" s="116"/>
      <c r="CZ128" s="116"/>
      <c r="DA128" s="116"/>
      <c r="DB128" s="116"/>
      <c r="DC128" s="116"/>
      <c r="DD128" s="116"/>
      <c r="DE128" s="116"/>
      <c r="DF128" s="116"/>
      <c r="DG128" s="116"/>
      <c r="DH128" s="116"/>
      <c r="DI128" s="116"/>
      <c r="DJ128" s="116"/>
      <c r="DK128" s="116"/>
      <c r="DL128" s="116"/>
      <c r="DM128" s="116"/>
    </row>
    <row r="129" spans="1:117" ht="15" customHeight="1" thickBot="1">
      <c r="A129" s="55">
        <v>13200</v>
      </c>
      <c r="B129" s="194" t="s">
        <v>728</v>
      </c>
      <c r="C129" s="194" t="s">
        <v>882</v>
      </c>
      <c r="D129" s="194" t="s">
        <v>883</v>
      </c>
      <c r="E129" s="194" t="s">
        <v>2284</v>
      </c>
      <c r="F129" s="194" t="s">
        <v>1099</v>
      </c>
      <c r="G129" s="291" t="e">
        <f t="shared" ref="G129:G135" si="216">IF(I129="",H129,I129)</f>
        <v>#VALUE!</v>
      </c>
      <c r="H129" s="292" t="e">
        <f>VLOOKUP("E3.D.01",Errichtungskosten,12,0)*(100-VLOOKUP("E3D01VAnteil",Verwaltung_Technik,5))/100 * VLOOKUP("PFAKT",Instandsetzung,5,0)</f>
        <v>#VALUE!</v>
      </c>
      <c r="I129" s="168"/>
      <c r="J129" s="194" t="s">
        <v>850</v>
      </c>
      <c r="K129" s="385">
        <f t="shared" ref="K129:K135" si="217">IF(ISNUMBER(VLOOKUP(E129,Nutzungsdauern,5,0)),VLOOKUP(E129,Nutzungsdauern,5,0),1000)</f>
        <v>20</v>
      </c>
      <c r="L129" s="379" t="s">
        <v>358</v>
      </c>
      <c r="M129" s="325">
        <f t="shared" ref="M129:M135" si="218">VLOOKUP(L129,Finanzielle_Parameter,5,0)</f>
        <v>1.35</v>
      </c>
      <c r="N129" s="380">
        <f t="shared" ref="N129:N135" si="219">(1+VLOOKUP(L129,Finanzielle_Parameter,5,0)/100)/(1+VLOOKUP("R",Finanzielle_Parameter,5,0)/100)</f>
        <v>0.99655850540806312</v>
      </c>
      <c r="O129" s="381" t="e">
        <f t="shared" ref="O129:Y135" si="220">IF($N129&lt;&gt;1,$G129*($N129^$K129)*(($N129^($K129*INT(O$2/$K129))-1)/($N129^$K129-1)),$G129*INT(O$2/$K129))</f>
        <v>#VALUE!</v>
      </c>
      <c r="P129" s="169" t="s">
        <v>103</v>
      </c>
      <c r="Q129" s="114" t="e">
        <f t="shared" si="220"/>
        <v>#VALUE!</v>
      </c>
      <c r="R129" s="115" t="e">
        <f t="shared" si="220"/>
        <v>#VALUE!</v>
      </c>
      <c r="S129" s="115" t="e">
        <f t="shared" si="220"/>
        <v>#VALUE!</v>
      </c>
      <c r="T129" s="115" t="e">
        <f t="shared" si="220"/>
        <v>#VALUE!</v>
      </c>
      <c r="U129" s="115" t="e">
        <f t="shared" si="220"/>
        <v>#VALUE!</v>
      </c>
      <c r="V129" s="115" t="e">
        <f t="shared" si="220"/>
        <v>#VALUE!</v>
      </c>
      <c r="W129" s="115" t="e">
        <f t="shared" si="220"/>
        <v>#VALUE!</v>
      </c>
      <c r="X129" s="115" t="e">
        <f t="shared" si="220"/>
        <v>#VALUE!</v>
      </c>
      <c r="Y129" s="115" t="e">
        <f t="shared" si="220"/>
        <v>#VALUE!</v>
      </c>
      <c r="Z129" s="115" t="e">
        <f t="shared" ref="Z129:AI135" si="221">IF($N129&lt;&gt;1,$G129*($N129^$K129)*(($N129^($K129*INT(Z$2/$K129))-1)/($N129^$K129-1)),$G129*INT(Z$2/$K129))</f>
        <v>#VALUE!</v>
      </c>
      <c r="AA129" s="115" t="e">
        <f t="shared" si="221"/>
        <v>#VALUE!</v>
      </c>
      <c r="AB129" s="115" t="e">
        <f t="shared" si="221"/>
        <v>#VALUE!</v>
      </c>
      <c r="AC129" s="115" t="e">
        <f t="shared" si="221"/>
        <v>#VALUE!</v>
      </c>
      <c r="AD129" s="115" t="e">
        <f t="shared" si="221"/>
        <v>#VALUE!</v>
      </c>
      <c r="AE129" s="115" t="e">
        <f t="shared" si="221"/>
        <v>#VALUE!</v>
      </c>
      <c r="AF129" s="115" t="e">
        <f t="shared" si="221"/>
        <v>#VALUE!</v>
      </c>
      <c r="AG129" s="115" t="e">
        <f t="shared" si="221"/>
        <v>#VALUE!</v>
      </c>
      <c r="AH129" s="115" t="e">
        <f t="shared" si="221"/>
        <v>#VALUE!</v>
      </c>
      <c r="AI129" s="115" t="e">
        <f t="shared" si="221"/>
        <v>#VALUE!</v>
      </c>
      <c r="AJ129" s="115" t="e">
        <f t="shared" ref="AJ129:AS135" si="222">IF($N129&lt;&gt;1,$G129*($N129^$K129)*(($N129^($K129*INT(AJ$2/$K129))-1)/($N129^$K129-1)),$G129*INT(AJ$2/$K129))</f>
        <v>#VALUE!</v>
      </c>
      <c r="AK129" s="115" t="e">
        <f t="shared" si="222"/>
        <v>#VALUE!</v>
      </c>
      <c r="AL129" s="115" t="e">
        <f t="shared" si="222"/>
        <v>#VALUE!</v>
      </c>
      <c r="AM129" s="115" t="e">
        <f t="shared" si="222"/>
        <v>#VALUE!</v>
      </c>
      <c r="AN129" s="115" t="e">
        <f t="shared" si="222"/>
        <v>#VALUE!</v>
      </c>
      <c r="AO129" s="115" t="e">
        <f t="shared" si="222"/>
        <v>#VALUE!</v>
      </c>
      <c r="AP129" s="115" t="e">
        <f t="shared" si="222"/>
        <v>#VALUE!</v>
      </c>
      <c r="AQ129" s="115" t="e">
        <f t="shared" si="222"/>
        <v>#VALUE!</v>
      </c>
      <c r="AR129" s="115" t="e">
        <f t="shared" si="222"/>
        <v>#VALUE!</v>
      </c>
      <c r="AS129" s="115" t="e">
        <f t="shared" si="222"/>
        <v>#VALUE!</v>
      </c>
      <c r="AT129" s="115" t="e">
        <f t="shared" ref="AT129:BC135" si="223">IF($N129&lt;&gt;1,$G129*($N129^$K129)*(($N129^($K129*INT(AT$2/$K129))-1)/($N129^$K129-1)),$G129*INT(AT$2/$K129))</f>
        <v>#VALUE!</v>
      </c>
      <c r="AU129" s="115" t="e">
        <f t="shared" si="223"/>
        <v>#VALUE!</v>
      </c>
      <c r="AV129" s="115" t="e">
        <f t="shared" si="223"/>
        <v>#VALUE!</v>
      </c>
      <c r="AW129" s="115" t="e">
        <f t="shared" si="223"/>
        <v>#VALUE!</v>
      </c>
      <c r="AX129" s="115" t="e">
        <f t="shared" si="223"/>
        <v>#VALUE!</v>
      </c>
      <c r="AY129" s="115" t="e">
        <f t="shared" si="223"/>
        <v>#VALUE!</v>
      </c>
      <c r="AZ129" s="115" t="e">
        <f t="shared" si="223"/>
        <v>#VALUE!</v>
      </c>
      <c r="BA129" s="115" t="e">
        <f t="shared" si="223"/>
        <v>#VALUE!</v>
      </c>
      <c r="BB129" s="115" t="e">
        <f t="shared" si="223"/>
        <v>#VALUE!</v>
      </c>
      <c r="BC129" s="115" t="e">
        <f t="shared" si="223"/>
        <v>#VALUE!</v>
      </c>
      <c r="BD129" s="115" t="e">
        <f t="shared" ref="BD129:BM135" si="224">IF($N129&lt;&gt;1,$G129*($N129^$K129)*(($N129^($K129*INT(BD$2/$K129))-1)/($N129^$K129-1)),$G129*INT(BD$2/$K129))</f>
        <v>#VALUE!</v>
      </c>
      <c r="BE129" s="115" t="e">
        <f t="shared" si="224"/>
        <v>#VALUE!</v>
      </c>
      <c r="BF129" s="115" t="e">
        <f t="shared" si="224"/>
        <v>#VALUE!</v>
      </c>
      <c r="BG129" s="115" t="e">
        <f t="shared" si="224"/>
        <v>#VALUE!</v>
      </c>
      <c r="BH129" s="115" t="e">
        <f t="shared" si="224"/>
        <v>#VALUE!</v>
      </c>
      <c r="BI129" s="115" t="e">
        <f t="shared" si="224"/>
        <v>#VALUE!</v>
      </c>
      <c r="BJ129" s="115" t="e">
        <f t="shared" si="224"/>
        <v>#VALUE!</v>
      </c>
      <c r="BK129" s="115" t="e">
        <f t="shared" si="224"/>
        <v>#VALUE!</v>
      </c>
      <c r="BL129" s="115" t="e">
        <f t="shared" si="224"/>
        <v>#VALUE!</v>
      </c>
      <c r="BM129" s="115" t="e">
        <f t="shared" si="224"/>
        <v>#VALUE!</v>
      </c>
      <c r="BN129" s="115" t="e">
        <f t="shared" ref="BN129:BW135" si="225">IF($N129&lt;&gt;1,$G129*($N129^$K129)*(($N129^($K129*INT(BN$2/$K129))-1)/($N129^$K129-1)),$G129*INT(BN$2/$K129))</f>
        <v>#VALUE!</v>
      </c>
      <c r="BO129" s="115" t="e">
        <f t="shared" si="225"/>
        <v>#VALUE!</v>
      </c>
      <c r="BP129" s="115" t="e">
        <f t="shared" si="225"/>
        <v>#VALUE!</v>
      </c>
      <c r="BQ129" s="115" t="e">
        <f t="shared" si="225"/>
        <v>#VALUE!</v>
      </c>
      <c r="BR129" s="115" t="e">
        <f t="shared" si="225"/>
        <v>#VALUE!</v>
      </c>
      <c r="BS129" s="115" t="e">
        <f t="shared" si="225"/>
        <v>#VALUE!</v>
      </c>
      <c r="BT129" s="115" t="e">
        <f t="shared" si="225"/>
        <v>#VALUE!</v>
      </c>
      <c r="BU129" s="115" t="e">
        <f t="shared" si="225"/>
        <v>#VALUE!</v>
      </c>
      <c r="BV129" s="115" t="e">
        <f t="shared" si="225"/>
        <v>#VALUE!</v>
      </c>
      <c r="BW129" s="115" t="e">
        <f t="shared" si="225"/>
        <v>#VALUE!</v>
      </c>
      <c r="BX129" s="115" t="e">
        <f t="shared" ref="BX129:CG135" si="226">IF($N129&lt;&gt;1,$G129*($N129^$K129)*(($N129^($K129*INT(BX$2/$K129))-1)/($N129^$K129-1)),$G129*INT(BX$2/$K129))</f>
        <v>#VALUE!</v>
      </c>
      <c r="BY129" s="115" t="e">
        <f t="shared" si="226"/>
        <v>#VALUE!</v>
      </c>
      <c r="BZ129" s="115" t="e">
        <f t="shared" si="226"/>
        <v>#VALUE!</v>
      </c>
      <c r="CA129" s="115" t="e">
        <f t="shared" si="226"/>
        <v>#VALUE!</v>
      </c>
      <c r="CB129" s="115" t="e">
        <f t="shared" si="226"/>
        <v>#VALUE!</v>
      </c>
      <c r="CC129" s="115" t="e">
        <f t="shared" si="226"/>
        <v>#VALUE!</v>
      </c>
      <c r="CD129" s="115" t="e">
        <f t="shared" si="226"/>
        <v>#VALUE!</v>
      </c>
      <c r="CE129" s="115" t="e">
        <f t="shared" si="226"/>
        <v>#VALUE!</v>
      </c>
      <c r="CF129" s="115" t="e">
        <f t="shared" si="226"/>
        <v>#VALUE!</v>
      </c>
      <c r="CG129" s="115" t="e">
        <f t="shared" si="226"/>
        <v>#VALUE!</v>
      </c>
      <c r="CH129" s="115" t="e">
        <f t="shared" ref="CH129:CQ135" si="227">IF($N129&lt;&gt;1,$G129*($N129^$K129)*(($N129^($K129*INT(CH$2/$K129))-1)/($N129^$K129-1)),$G129*INT(CH$2/$K129))</f>
        <v>#VALUE!</v>
      </c>
      <c r="CI129" s="115" t="e">
        <f t="shared" si="227"/>
        <v>#VALUE!</v>
      </c>
      <c r="CJ129" s="115" t="e">
        <f t="shared" si="227"/>
        <v>#VALUE!</v>
      </c>
      <c r="CK129" s="115" t="e">
        <f t="shared" si="227"/>
        <v>#VALUE!</v>
      </c>
      <c r="CL129" s="115" t="e">
        <f t="shared" si="227"/>
        <v>#VALUE!</v>
      </c>
      <c r="CM129" s="115" t="e">
        <f t="shared" si="227"/>
        <v>#VALUE!</v>
      </c>
      <c r="CN129" s="115" t="e">
        <f t="shared" si="227"/>
        <v>#VALUE!</v>
      </c>
      <c r="CO129" s="115" t="e">
        <f t="shared" si="227"/>
        <v>#VALUE!</v>
      </c>
      <c r="CP129" s="115" t="e">
        <f t="shared" si="227"/>
        <v>#VALUE!</v>
      </c>
      <c r="CQ129" s="115" t="e">
        <f t="shared" si="227"/>
        <v>#VALUE!</v>
      </c>
      <c r="CR129" s="115" t="e">
        <f t="shared" ref="CR129:DA135" si="228">IF($N129&lt;&gt;1,$G129*($N129^$K129)*(($N129^($K129*INT(CR$2/$K129))-1)/($N129^$K129-1)),$G129*INT(CR$2/$K129))</f>
        <v>#VALUE!</v>
      </c>
      <c r="CS129" s="115" t="e">
        <f t="shared" si="228"/>
        <v>#VALUE!</v>
      </c>
      <c r="CT129" s="115" t="e">
        <f t="shared" si="228"/>
        <v>#VALUE!</v>
      </c>
      <c r="CU129" s="115" t="e">
        <f t="shared" si="228"/>
        <v>#VALUE!</v>
      </c>
      <c r="CV129" s="115" t="e">
        <f t="shared" si="228"/>
        <v>#VALUE!</v>
      </c>
      <c r="CW129" s="115" t="e">
        <f t="shared" si="228"/>
        <v>#VALUE!</v>
      </c>
      <c r="CX129" s="115" t="e">
        <f t="shared" si="228"/>
        <v>#VALUE!</v>
      </c>
      <c r="CY129" s="115" t="e">
        <f t="shared" si="228"/>
        <v>#VALUE!</v>
      </c>
      <c r="CZ129" s="115" t="e">
        <f t="shared" si="228"/>
        <v>#VALUE!</v>
      </c>
      <c r="DA129" s="115" t="e">
        <f t="shared" si="228"/>
        <v>#VALUE!</v>
      </c>
      <c r="DB129" s="115" t="e">
        <f t="shared" ref="DB129:DM135" si="229">IF($N129&lt;&gt;1,$G129*($N129^$K129)*(($N129^($K129*INT(DB$2/$K129))-1)/($N129^$K129-1)),$G129*INT(DB$2/$K129))</f>
        <v>#VALUE!</v>
      </c>
      <c r="DC129" s="115" t="e">
        <f t="shared" si="229"/>
        <v>#VALUE!</v>
      </c>
      <c r="DD129" s="115" t="e">
        <f t="shared" si="229"/>
        <v>#VALUE!</v>
      </c>
      <c r="DE129" s="115" t="e">
        <f t="shared" si="229"/>
        <v>#VALUE!</v>
      </c>
      <c r="DF129" s="115" t="e">
        <f t="shared" si="229"/>
        <v>#VALUE!</v>
      </c>
      <c r="DG129" s="115" t="e">
        <f t="shared" si="229"/>
        <v>#VALUE!</v>
      </c>
      <c r="DH129" s="115" t="e">
        <f t="shared" si="229"/>
        <v>#VALUE!</v>
      </c>
      <c r="DI129" s="115" t="e">
        <f t="shared" si="229"/>
        <v>#VALUE!</v>
      </c>
      <c r="DJ129" s="115" t="e">
        <f t="shared" si="229"/>
        <v>#VALUE!</v>
      </c>
      <c r="DK129" s="115" t="e">
        <f t="shared" si="229"/>
        <v>#VALUE!</v>
      </c>
      <c r="DL129" s="115" t="e">
        <f t="shared" si="229"/>
        <v>#VALUE!</v>
      </c>
      <c r="DM129" s="115" t="e">
        <f t="shared" si="229"/>
        <v>#VALUE!</v>
      </c>
    </row>
    <row r="130" spans="1:117" ht="15" customHeight="1" thickBot="1">
      <c r="A130" s="55">
        <v>13300</v>
      </c>
      <c r="B130" s="194" t="s">
        <v>728</v>
      </c>
      <c r="C130" s="194" t="s">
        <v>884</v>
      </c>
      <c r="D130" s="194" t="s">
        <v>885</v>
      </c>
      <c r="E130" s="194" t="s">
        <v>2285</v>
      </c>
      <c r="F130" s="194" t="s">
        <v>1100</v>
      </c>
      <c r="G130" s="291" t="e">
        <f t="shared" si="216"/>
        <v>#VALUE!</v>
      </c>
      <c r="H130" s="292" t="e">
        <f>VLOOKUP("E3.D.01",Errichtungskosten,12,0)*VLOOKUP("E3D01VAnteil",Verwaltung_Technik,5)/100 *VLOOKUP("PFAKT",Instandsetzung,5,0)</f>
        <v>#VALUE!</v>
      </c>
      <c r="I130" s="168"/>
      <c r="J130" s="194" t="s">
        <v>850</v>
      </c>
      <c r="K130" s="385">
        <f t="shared" si="217"/>
        <v>12</v>
      </c>
      <c r="L130" s="379" t="s">
        <v>358</v>
      </c>
      <c r="M130" s="325">
        <f t="shared" si="218"/>
        <v>1.35</v>
      </c>
      <c r="N130" s="380">
        <f t="shared" si="219"/>
        <v>0.99655850540806312</v>
      </c>
      <c r="O130" s="381" t="e">
        <f t="shared" si="220"/>
        <v>#VALUE!</v>
      </c>
      <c r="P130" s="169" t="s">
        <v>103</v>
      </c>
      <c r="Q130" s="114" t="e">
        <f t="shared" si="220"/>
        <v>#VALUE!</v>
      </c>
      <c r="R130" s="115" t="e">
        <f t="shared" si="220"/>
        <v>#VALUE!</v>
      </c>
      <c r="S130" s="115" t="e">
        <f t="shared" si="220"/>
        <v>#VALUE!</v>
      </c>
      <c r="T130" s="115" t="e">
        <f t="shared" si="220"/>
        <v>#VALUE!</v>
      </c>
      <c r="U130" s="115" t="e">
        <f t="shared" si="220"/>
        <v>#VALUE!</v>
      </c>
      <c r="V130" s="115" t="e">
        <f t="shared" si="220"/>
        <v>#VALUE!</v>
      </c>
      <c r="W130" s="115" t="e">
        <f t="shared" si="220"/>
        <v>#VALUE!</v>
      </c>
      <c r="X130" s="115" t="e">
        <f t="shared" si="220"/>
        <v>#VALUE!</v>
      </c>
      <c r="Y130" s="115" t="e">
        <f t="shared" si="220"/>
        <v>#VALUE!</v>
      </c>
      <c r="Z130" s="115" t="e">
        <f t="shared" si="221"/>
        <v>#VALUE!</v>
      </c>
      <c r="AA130" s="115" t="e">
        <f t="shared" si="221"/>
        <v>#VALUE!</v>
      </c>
      <c r="AB130" s="115" t="e">
        <f t="shared" si="221"/>
        <v>#VALUE!</v>
      </c>
      <c r="AC130" s="115" t="e">
        <f t="shared" si="221"/>
        <v>#VALUE!</v>
      </c>
      <c r="AD130" s="115" t="e">
        <f t="shared" si="221"/>
        <v>#VALUE!</v>
      </c>
      <c r="AE130" s="115" t="e">
        <f t="shared" si="221"/>
        <v>#VALUE!</v>
      </c>
      <c r="AF130" s="115" t="e">
        <f t="shared" si="221"/>
        <v>#VALUE!</v>
      </c>
      <c r="AG130" s="115" t="e">
        <f t="shared" si="221"/>
        <v>#VALUE!</v>
      </c>
      <c r="AH130" s="115" t="e">
        <f t="shared" si="221"/>
        <v>#VALUE!</v>
      </c>
      <c r="AI130" s="115" t="e">
        <f t="shared" si="221"/>
        <v>#VALUE!</v>
      </c>
      <c r="AJ130" s="115" t="e">
        <f t="shared" si="222"/>
        <v>#VALUE!</v>
      </c>
      <c r="AK130" s="115" t="e">
        <f t="shared" si="222"/>
        <v>#VALUE!</v>
      </c>
      <c r="AL130" s="115" t="e">
        <f t="shared" si="222"/>
        <v>#VALUE!</v>
      </c>
      <c r="AM130" s="115" t="e">
        <f t="shared" si="222"/>
        <v>#VALUE!</v>
      </c>
      <c r="AN130" s="115" t="e">
        <f t="shared" si="222"/>
        <v>#VALUE!</v>
      </c>
      <c r="AO130" s="115" t="e">
        <f t="shared" si="222"/>
        <v>#VALUE!</v>
      </c>
      <c r="AP130" s="115" t="e">
        <f t="shared" si="222"/>
        <v>#VALUE!</v>
      </c>
      <c r="AQ130" s="115" t="e">
        <f t="shared" si="222"/>
        <v>#VALUE!</v>
      </c>
      <c r="AR130" s="115" t="e">
        <f t="shared" si="222"/>
        <v>#VALUE!</v>
      </c>
      <c r="AS130" s="115" t="e">
        <f t="shared" si="222"/>
        <v>#VALUE!</v>
      </c>
      <c r="AT130" s="115" t="e">
        <f t="shared" si="223"/>
        <v>#VALUE!</v>
      </c>
      <c r="AU130" s="115" t="e">
        <f t="shared" si="223"/>
        <v>#VALUE!</v>
      </c>
      <c r="AV130" s="115" t="e">
        <f t="shared" si="223"/>
        <v>#VALUE!</v>
      </c>
      <c r="AW130" s="115" t="e">
        <f t="shared" si="223"/>
        <v>#VALUE!</v>
      </c>
      <c r="AX130" s="115" t="e">
        <f t="shared" si="223"/>
        <v>#VALUE!</v>
      </c>
      <c r="AY130" s="115" t="e">
        <f t="shared" si="223"/>
        <v>#VALUE!</v>
      </c>
      <c r="AZ130" s="115" t="e">
        <f t="shared" si="223"/>
        <v>#VALUE!</v>
      </c>
      <c r="BA130" s="115" t="e">
        <f t="shared" si="223"/>
        <v>#VALUE!</v>
      </c>
      <c r="BB130" s="115" t="e">
        <f t="shared" si="223"/>
        <v>#VALUE!</v>
      </c>
      <c r="BC130" s="115" t="e">
        <f t="shared" si="223"/>
        <v>#VALUE!</v>
      </c>
      <c r="BD130" s="115" t="e">
        <f t="shared" si="224"/>
        <v>#VALUE!</v>
      </c>
      <c r="BE130" s="115" t="e">
        <f t="shared" si="224"/>
        <v>#VALUE!</v>
      </c>
      <c r="BF130" s="115" t="e">
        <f t="shared" si="224"/>
        <v>#VALUE!</v>
      </c>
      <c r="BG130" s="115" t="e">
        <f t="shared" si="224"/>
        <v>#VALUE!</v>
      </c>
      <c r="BH130" s="115" t="e">
        <f t="shared" si="224"/>
        <v>#VALUE!</v>
      </c>
      <c r="BI130" s="115" t="e">
        <f t="shared" si="224"/>
        <v>#VALUE!</v>
      </c>
      <c r="BJ130" s="115" t="e">
        <f t="shared" si="224"/>
        <v>#VALUE!</v>
      </c>
      <c r="BK130" s="115" t="e">
        <f t="shared" si="224"/>
        <v>#VALUE!</v>
      </c>
      <c r="BL130" s="115" t="e">
        <f t="shared" si="224"/>
        <v>#VALUE!</v>
      </c>
      <c r="BM130" s="115" t="e">
        <f t="shared" si="224"/>
        <v>#VALUE!</v>
      </c>
      <c r="BN130" s="115" t="e">
        <f t="shared" si="225"/>
        <v>#VALUE!</v>
      </c>
      <c r="BO130" s="115" t="e">
        <f t="shared" si="225"/>
        <v>#VALUE!</v>
      </c>
      <c r="BP130" s="115" t="e">
        <f t="shared" si="225"/>
        <v>#VALUE!</v>
      </c>
      <c r="BQ130" s="115" t="e">
        <f t="shared" si="225"/>
        <v>#VALUE!</v>
      </c>
      <c r="BR130" s="115" t="e">
        <f t="shared" si="225"/>
        <v>#VALUE!</v>
      </c>
      <c r="BS130" s="115" t="e">
        <f t="shared" si="225"/>
        <v>#VALUE!</v>
      </c>
      <c r="BT130" s="115" t="e">
        <f t="shared" si="225"/>
        <v>#VALUE!</v>
      </c>
      <c r="BU130" s="115" t="e">
        <f t="shared" si="225"/>
        <v>#VALUE!</v>
      </c>
      <c r="BV130" s="115" t="e">
        <f t="shared" si="225"/>
        <v>#VALUE!</v>
      </c>
      <c r="BW130" s="115" t="e">
        <f t="shared" si="225"/>
        <v>#VALUE!</v>
      </c>
      <c r="BX130" s="115" t="e">
        <f t="shared" si="226"/>
        <v>#VALUE!</v>
      </c>
      <c r="BY130" s="115" t="e">
        <f t="shared" si="226"/>
        <v>#VALUE!</v>
      </c>
      <c r="BZ130" s="115" t="e">
        <f t="shared" si="226"/>
        <v>#VALUE!</v>
      </c>
      <c r="CA130" s="115" t="e">
        <f t="shared" si="226"/>
        <v>#VALUE!</v>
      </c>
      <c r="CB130" s="115" t="e">
        <f t="shared" si="226"/>
        <v>#VALUE!</v>
      </c>
      <c r="CC130" s="115" t="e">
        <f t="shared" si="226"/>
        <v>#VALUE!</v>
      </c>
      <c r="CD130" s="115" t="e">
        <f t="shared" si="226"/>
        <v>#VALUE!</v>
      </c>
      <c r="CE130" s="115" t="e">
        <f t="shared" si="226"/>
        <v>#VALUE!</v>
      </c>
      <c r="CF130" s="115" t="e">
        <f t="shared" si="226"/>
        <v>#VALUE!</v>
      </c>
      <c r="CG130" s="115" t="e">
        <f t="shared" si="226"/>
        <v>#VALUE!</v>
      </c>
      <c r="CH130" s="115" t="e">
        <f t="shared" si="227"/>
        <v>#VALUE!</v>
      </c>
      <c r="CI130" s="115" t="e">
        <f t="shared" si="227"/>
        <v>#VALUE!</v>
      </c>
      <c r="CJ130" s="115" t="e">
        <f t="shared" si="227"/>
        <v>#VALUE!</v>
      </c>
      <c r="CK130" s="115" t="e">
        <f t="shared" si="227"/>
        <v>#VALUE!</v>
      </c>
      <c r="CL130" s="115" t="e">
        <f t="shared" si="227"/>
        <v>#VALUE!</v>
      </c>
      <c r="CM130" s="115" t="e">
        <f t="shared" si="227"/>
        <v>#VALUE!</v>
      </c>
      <c r="CN130" s="115" t="e">
        <f t="shared" si="227"/>
        <v>#VALUE!</v>
      </c>
      <c r="CO130" s="115" t="e">
        <f t="shared" si="227"/>
        <v>#VALUE!</v>
      </c>
      <c r="CP130" s="115" t="e">
        <f t="shared" si="227"/>
        <v>#VALUE!</v>
      </c>
      <c r="CQ130" s="115" t="e">
        <f t="shared" si="227"/>
        <v>#VALUE!</v>
      </c>
      <c r="CR130" s="115" t="e">
        <f t="shared" si="228"/>
        <v>#VALUE!</v>
      </c>
      <c r="CS130" s="115" t="e">
        <f t="shared" si="228"/>
        <v>#VALUE!</v>
      </c>
      <c r="CT130" s="115" t="e">
        <f t="shared" si="228"/>
        <v>#VALUE!</v>
      </c>
      <c r="CU130" s="115" t="e">
        <f t="shared" si="228"/>
        <v>#VALUE!</v>
      </c>
      <c r="CV130" s="115" t="e">
        <f t="shared" si="228"/>
        <v>#VALUE!</v>
      </c>
      <c r="CW130" s="115" t="e">
        <f t="shared" si="228"/>
        <v>#VALUE!</v>
      </c>
      <c r="CX130" s="115" t="e">
        <f t="shared" si="228"/>
        <v>#VALUE!</v>
      </c>
      <c r="CY130" s="115" t="e">
        <f t="shared" si="228"/>
        <v>#VALUE!</v>
      </c>
      <c r="CZ130" s="115" t="e">
        <f t="shared" si="228"/>
        <v>#VALUE!</v>
      </c>
      <c r="DA130" s="115" t="e">
        <f t="shared" si="228"/>
        <v>#VALUE!</v>
      </c>
      <c r="DB130" s="115" t="e">
        <f t="shared" si="229"/>
        <v>#VALUE!</v>
      </c>
      <c r="DC130" s="115" t="e">
        <f t="shared" si="229"/>
        <v>#VALUE!</v>
      </c>
      <c r="DD130" s="115" t="e">
        <f t="shared" si="229"/>
        <v>#VALUE!</v>
      </c>
      <c r="DE130" s="115" t="e">
        <f t="shared" si="229"/>
        <v>#VALUE!</v>
      </c>
      <c r="DF130" s="115" t="e">
        <f t="shared" si="229"/>
        <v>#VALUE!</v>
      </c>
      <c r="DG130" s="115" t="e">
        <f t="shared" si="229"/>
        <v>#VALUE!</v>
      </c>
      <c r="DH130" s="115" t="e">
        <f t="shared" si="229"/>
        <v>#VALUE!</v>
      </c>
      <c r="DI130" s="115" t="e">
        <f t="shared" si="229"/>
        <v>#VALUE!</v>
      </c>
      <c r="DJ130" s="115" t="e">
        <f t="shared" si="229"/>
        <v>#VALUE!</v>
      </c>
      <c r="DK130" s="115" t="e">
        <f t="shared" si="229"/>
        <v>#VALUE!</v>
      </c>
      <c r="DL130" s="115" t="e">
        <f t="shared" si="229"/>
        <v>#VALUE!</v>
      </c>
      <c r="DM130" s="115" t="e">
        <f t="shared" si="229"/>
        <v>#VALUE!</v>
      </c>
    </row>
    <row r="131" spans="1:117" ht="15" customHeight="1" thickBot="1">
      <c r="A131" s="55">
        <v>13400</v>
      </c>
      <c r="B131" s="194" t="s">
        <v>728</v>
      </c>
      <c r="C131" s="194" t="s">
        <v>886</v>
      </c>
      <c r="D131" s="194" t="s">
        <v>270</v>
      </c>
      <c r="E131" s="194" t="s">
        <v>271</v>
      </c>
      <c r="F131" s="194" t="s">
        <v>1101</v>
      </c>
      <c r="G131" s="291" t="e">
        <f t="shared" si="216"/>
        <v>#VALUE!</v>
      </c>
      <c r="H131" s="292" t="e">
        <f>VLOOKUP("E3.D.02",Errichtungskosten,12,0) *VLOOKUP("PFAKT",Instandsetzung,5,0)</f>
        <v>#VALUE!</v>
      </c>
      <c r="I131" s="168"/>
      <c r="J131" s="194" t="s">
        <v>850</v>
      </c>
      <c r="K131" s="385">
        <f t="shared" si="217"/>
        <v>20</v>
      </c>
      <c r="L131" s="379" t="s">
        <v>358</v>
      </c>
      <c r="M131" s="325">
        <f t="shared" si="218"/>
        <v>1.35</v>
      </c>
      <c r="N131" s="380">
        <f t="shared" si="219"/>
        <v>0.99655850540806312</v>
      </c>
      <c r="O131" s="381" t="e">
        <f t="shared" si="220"/>
        <v>#VALUE!</v>
      </c>
      <c r="P131" s="169" t="s">
        <v>103</v>
      </c>
      <c r="Q131" s="114" t="e">
        <f t="shared" si="220"/>
        <v>#VALUE!</v>
      </c>
      <c r="R131" s="115" t="e">
        <f t="shared" si="220"/>
        <v>#VALUE!</v>
      </c>
      <c r="S131" s="115" t="e">
        <f t="shared" si="220"/>
        <v>#VALUE!</v>
      </c>
      <c r="T131" s="115" t="e">
        <f t="shared" si="220"/>
        <v>#VALUE!</v>
      </c>
      <c r="U131" s="115" t="e">
        <f t="shared" si="220"/>
        <v>#VALUE!</v>
      </c>
      <c r="V131" s="115" t="e">
        <f t="shared" si="220"/>
        <v>#VALUE!</v>
      </c>
      <c r="W131" s="115" t="e">
        <f t="shared" si="220"/>
        <v>#VALUE!</v>
      </c>
      <c r="X131" s="115" t="e">
        <f t="shared" si="220"/>
        <v>#VALUE!</v>
      </c>
      <c r="Y131" s="115" t="e">
        <f t="shared" si="220"/>
        <v>#VALUE!</v>
      </c>
      <c r="Z131" s="115" t="e">
        <f t="shared" si="221"/>
        <v>#VALUE!</v>
      </c>
      <c r="AA131" s="115" t="e">
        <f t="shared" si="221"/>
        <v>#VALUE!</v>
      </c>
      <c r="AB131" s="115" t="e">
        <f t="shared" si="221"/>
        <v>#VALUE!</v>
      </c>
      <c r="AC131" s="115" t="e">
        <f t="shared" si="221"/>
        <v>#VALUE!</v>
      </c>
      <c r="AD131" s="115" t="e">
        <f t="shared" si="221"/>
        <v>#VALUE!</v>
      </c>
      <c r="AE131" s="115" t="e">
        <f t="shared" si="221"/>
        <v>#VALUE!</v>
      </c>
      <c r="AF131" s="115" t="e">
        <f t="shared" si="221"/>
        <v>#VALUE!</v>
      </c>
      <c r="AG131" s="115" t="e">
        <f t="shared" si="221"/>
        <v>#VALUE!</v>
      </c>
      <c r="AH131" s="115" t="e">
        <f t="shared" si="221"/>
        <v>#VALUE!</v>
      </c>
      <c r="AI131" s="115" t="e">
        <f t="shared" si="221"/>
        <v>#VALUE!</v>
      </c>
      <c r="AJ131" s="115" t="e">
        <f t="shared" si="222"/>
        <v>#VALUE!</v>
      </c>
      <c r="AK131" s="115" t="e">
        <f t="shared" si="222"/>
        <v>#VALUE!</v>
      </c>
      <c r="AL131" s="115" t="e">
        <f t="shared" si="222"/>
        <v>#VALUE!</v>
      </c>
      <c r="AM131" s="115" t="e">
        <f t="shared" si="222"/>
        <v>#VALUE!</v>
      </c>
      <c r="AN131" s="115" t="e">
        <f t="shared" si="222"/>
        <v>#VALUE!</v>
      </c>
      <c r="AO131" s="115" t="e">
        <f t="shared" si="222"/>
        <v>#VALUE!</v>
      </c>
      <c r="AP131" s="115" t="e">
        <f t="shared" si="222"/>
        <v>#VALUE!</v>
      </c>
      <c r="AQ131" s="115" t="e">
        <f t="shared" si="222"/>
        <v>#VALUE!</v>
      </c>
      <c r="AR131" s="115" t="e">
        <f t="shared" si="222"/>
        <v>#VALUE!</v>
      </c>
      <c r="AS131" s="115" t="e">
        <f t="shared" si="222"/>
        <v>#VALUE!</v>
      </c>
      <c r="AT131" s="115" t="e">
        <f t="shared" si="223"/>
        <v>#VALUE!</v>
      </c>
      <c r="AU131" s="115" t="e">
        <f t="shared" si="223"/>
        <v>#VALUE!</v>
      </c>
      <c r="AV131" s="115" t="e">
        <f t="shared" si="223"/>
        <v>#VALUE!</v>
      </c>
      <c r="AW131" s="115" t="e">
        <f t="shared" si="223"/>
        <v>#VALUE!</v>
      </c>
      <c r="AX131" s="115" t="e">
        <f t="shared" si="223"/>
        <v>#VALUE!</v>
      </c>
      <c r="AY131" s="115" t="e">
        <f t="shared" si="223"/>
        <v>#VALUE!</v>
      </c>
      <c r="AZ131" s="115" t="e">
        <f t="shared" si="223"/>
        <v>#VALUE!</v>
      </c>
      <c r="BA131" s="115" t="e">
        <f t="shared" si="223"/>
        <v>#VALUE!</v>
      </c>
      <c r="BB131" s="115" t="e">
        <f t="shared" si="223"/>
        <v>#VALUE!</v>
      </c>
      <c r="BC131" s="115" t="e">
        <f t="shared" si="223"/>
        <v>#VALUE!</v>
      </c>
      <c r="BD131" s="115" t="e">
        <f t="shared" si="224"/>
        <v>#VALUE!</v>
      </c>
      <c r="BE131" s="115" t="e">
        <f t="shared" si="224"/>
        <v>#VALUE!</v>
      </c>
      <c r="BF131" s="115" t="e">
        <f t="shared" si="224"/>
        <v>#VALUE!</v>
      </c>
      <c r="BG131" s="115" t="e">
        <f t="shared" si="224"/>
        <v>#VALUE!</v>
      </c>
      <c r="BH131" s="115" t="e">
        <f t="shared" si="224"/>
        <v>#VALUE!</v>
      </c>
      <c r="BI131" s="115" t="e">
        <f t="shared" si="224"/>
        <v>#VALUE!</v>
      </c>
      <c r="BJ131" s="115" t="e">
        <f t="shared" si="224"/>
        <v>#VALUE!</v>
      </c>
      <c r="BK131" s="115" t="e">
        <f t="shared" si="224"/>
        <v>#VALUE!</v>
      </c>
      <c r="BL131" s="115" t="e">
        <f t="shared" si="224"/>
        <v>#VALUE!</v>
      </c>
      <c r="BM131" s="115" t="e">
        <f t="shared" si="224"/>
        <v>#VALUE!</v>
      </c>
      <c r="BN131" s="115" t="e">
        <f t="shared" si="225"/>
        <v>#VALUE!</v>
      </c>
      <c r="BO131" s="115" t="e">
        <f t="shared" si="225"/>
        <v>#VALUE!</v>
      </c>
      <c r="BP131" s="115" t="e">
        <f t="shared" si="225"/>
        <v>#VALUE!</v>
      </c>
      <c r="BQ131" s="115" t="e">
        <f t="shared" si="225"/>
        <v>#VALUE!</v>
      </c>
      <c r="BR131" s="115" t="e">
        <f t="shared" si="225"/>
        <v>#VALUE!</v>
      </c>
      <c r="BS131" s="115" t="e">
        <f t="shared" si="225"/>
        <v>#VALUE!</v>
      </c>
      <c r="BT131" s="115" t="e">
        <f t="shared" si="225"/>
        <v>#VALUE!</v>
      </c>
      <c r="BU131" s="115" t="e">
        <f t="shared" si="225"/>
        <v>#VALUE!</v>
      </c>
      <c r="BV131" s="115" t="e">
        <f t="shared" si="225"/>
        <v>#VALUE!</v>
      </c>
      <c r="BW131" s="115" t="e">
        <f t="shared" si="225"/>
        <v>#VALUE!</v>
      </c>
      <c r="BX131" s="115" t="e">
        <f t="shared" si="226"/>
        <v>#VALUE!</v>
      </c>
      <c r="BY131" s="115" t="e">
        <f t="shared" si="226"/>
        <v>#VALUE!</v>
      </c>
      <c r="BZ131" s="115" t="e">
        <f t="shared" si="226"/>
        <v>#VALUE!</v>
      </c>
      <c r="CA131" s="115" t="e">
        <f t="shared" si="226"/>
        <v>#VALUE!</v>
      </c>
      <c r="CB131" s="115" t="e">
        <f t="shared" si="226"/>
        <v>#VALUE!</v>
      </c>
      <c r="CC131" s="115" t="e">
        <f t="shared" si="226"/>
        <v>#VALUE!</v>
      </c>
      <c r="CD131" s="115" t="e">
        <f t="shared" si="226"/>
        <v>#VALUE!</v>
      </c>
      <c r="CE131" s="115" t="e">
        <f t="shared" si="226"/>
        <v>#VALUE!</v>
      </c>
      <c r="CF131" s="115" t="e">
        <f t="shared" si="226"/>
        <v>#VALUE!</v>
      </c>
      <c r="CG131" s="115" t="e">
        <f t="shared" si="226"/>
        <v>#VALUE!</v>
      </c>
      <c r="CH131" s="115" t="e">
        <f t="shared" si="227"/>
        <v>#VALUE!</v>
      </c>
      <c r="CI131" s="115" t="e">
        <f t="shared" si="227"/>
        <v>#VALUE!</v>
      </c>
      <c r="CJ131" s="115" t="e">
        <f t="shared" si="227"/>
        <v>#VALUE!</v>
      </c>
      <c r="CK131" s="115" t="e">
        <f t="shared" si="227"/>
        <v>#VALUE!</v>
      </c>
      <c r="CL131" s="115" t="e">
        <f t="shared" si="227"/>
        <v>#VALUE!</v>
      </c>
      <c r="CM131" s="115" t="e">
        <f t="shared" si="227"/>
        <v>#VALUE!</v>
      </c>
      <c r="CN131" s="115" t="e">
        <f t="shared" si="227"/>
        <v>#VALUE!</v>
      </c>
      <c r="CO131" s="115" t="e">
        <f t="shared" si="227"/>
        <v>#VALUE!</v>
      </c>
      <c r="CP131" s="115" t="e">
        <f t="shared" si="227"/>
        <v>#VALUE!</v>
      </c>
      <c r="CQ131" s="115" t="e">
        <f t="shared" si="227"/>
        <v>#VALUE!</v>
      </c>
      <c r="CR131" s="115" t="e">
        <f t="shared" si="228"/>
        <v>#VALUE!</v>
      </c>
      <c r="CS131" s="115" t="e">
        <f t="shared" si="228"/>
        <v>#VALUE!</v>
      </c>
      <c r="CT131" s="115" t="e">
        <f t="shared" si="228"/>
        <v>#VALUE!</v>
      </c>
      <c r="CU131" s="115" t="e">
        <f t="shared" si="228"/>
        <v>#VALUE!</v>
      </c>
      <c r="CV131" s="115" t="e">
        <f t="shared" si="228"/>
        <v>#VALUE!</v>
      </c>
      <c r="CW131" s="115" t="e">
        <f t="shared" si="228"/>
        <v>#VALUE!</v>
      </c>
      <c r="CX131" s="115" t="e">
        <f t="shared" si="228"/>
        <v>#VALUE!</v>
      </c>
      <c r="CY131" s="115" t="e">
        <f t="shared" si="228"/>
        <v>#VALUE!</v>
      </c>
      <c r="CZ131" s="115" t="e">
        <f t="shared" si="228"/>
        <v>#VALUE!</v>
      </c>
      <c r="DA131" s="115" t="e">
        <f t="shared" si="228"/>
        <v>#VALUE!</v>
      </c>
      <c r="DB131" s="115" t="e">
        <f t="shared" si="229"/>
        <v>#VALUE!</v>
      </c>
      <c r="DC131" s="115" t="e">
        <f t="shared" si="229"/>
        <v>#VALUE!</v>
      </c>
      <c r="DD131" s="115" t="e">
        <f t="shared" si="229"/>
        <v>#VALUE!</v>
      </c>
      <c r="DE131" s="115" t="e">
        <f t="shared" si="229"/>
        <v>#VALUE!</v>
      </c>
      <c r="DF131" s="115" t="e">
        <f t="shared" si="229"/>
        <v>#VALUE!</v>
      </c>
      <c r="DG131" s="115" t="e">
        <f t="shared" si="229"/>
        <v>#VALUE!</v>
      </c>
      <c r="DH131" s="115" t="e">
        <f t="shared" si="229"/>
        <v>#VALUE!</v>
      </c>
      <c r="DI131" s="115" t="e">
        <f t="shared" si="229"/>
        <v>#VALUE!</v>
      </c>
      <c r="DJ131" s="115" t="e">
        <f t="shared" si="229"/>
        <v>#VALUE!</v>
      </c>
      <c r="DK131" s="115" t="e">
        <f t="shared" si="229"/>
        <v>#VALUE!</v>
      </c>
      <c r="DL131" s="115" t="e">
        <f t="shared" si="229"/>
        <v>#VALUE!</v>
      </c>
      <c r="DM131" s="115" t="e">
        <f t="shared" si="229"/>
        <v>#VALUE!</v>
      </c>
    </row>
    <row r="132" spans="1:117" ht="15" customHeight="1" thickBot="1">
      <c r="A132" s="55">
        <v>13500</v>
      </c>
      <c r="B132" s="194" t="s">
        <v>728</v>
      </c>
      <c r="C132" s="194" t="s">
        <v>887</v>
      </c>
      <c r="D132" s="194" t="s">
        <v>268</v>
      </c>
      <c r="E132" s="194" t="s">
        <v>269</v>
      </c>
      <c r="F132" s="194" t="s">
        <v>1102</v>
      </c>
      <c r="G132" s="291" t="e">
        <f t="shared" si="216"/>
        <v>#VALUE!</v>
      </c>
      <c r="H132" s="292" t="e">
        <f>VLOOKUP("E3.D.03",Errichtungskosten,12,0) *VLOOKUP("PFAKT",Instandsetzung,5,0)</f>
        <v>#VALUE!</v>
      </c>
      <c r="I132" s="168"/>
      <c r="J132" s="194" t="s">
        <v>850</v>
      </c>
      <c r="K132" s="385">
        <f t="shared" si="217"/>
        <v>15</v>
      </c>
      <c r="L132" s="379" t="s">
        <v>358</v>
      </c>
      <c r="M132" s="325">
        <f t="shared" si="218"/>
        <v>1.35</v>
      </c>
      <c r="N132" s="380">
        <f t="shared" si="219"/>
        <v>0.99655850540806312</v>
      </c>
      <c r="O132" s="381" t="e">
        <f t="shared" si="220"/>
        <v>#VALUE!</v>
      </c>
      <c r="P132" s="169" t="s">
        <v>103</v>
      </c>
      <c r="Q132" s="114" t="e">
        <f t="shared" si="220"/>
        <v>#VALUE!</v>
      </c>
      <c r="R132" s="115" t="e">
        <f t="shared" si="220"/>
        <v>#VALUE!</v>
      </c>
      <c r="S132" s="115" t="e">
        <f t="shared" si="220"/>
        <v>#VALUE!</v>
      </c>
      <c r="T132" s="115" t="e">
        <f t="shared" si="220"/>
        <v>#VALUE!</v>
      </c>
      <c r="U132" s="115" t="e">
        <f t="shared" si="220"/>
        <v>#VALUE!</v>
      </c>
      <c r="V132" s="115" t="e">
        <f t="shared" si="220"/>
        <v>#VALUE!</v>
      </c>
      <c r="W132" s="115" t="e">
        <f t="shared" si="220"/>
        <v>#VALUE!</v>
      </c>
      <c r="X132" s="115" t="e">
        <f t="shared" si="220"/>
        <v>#VALUE!</v>
      </c>
      <c r="Y132" s="115" t="e">
        <f t="shared" si="220"/>
        <v>#VALUE!</v>
      </c>
      <c r="Z132" s="115" t="e">
        <f t="shared" si="221"/>
        <v>#VALUE!</v>
      </c>
      <c r="AA132" s="115" t="e">
        <f t="shared" si="221"/>
        <v>#VALUE!</v>
      </c>
      <c r="AB132" s="115" t="e">
        <f t="shared" si="221"/>
        <v>#VALUE!</v>
      </c>
      <c r="AC132" s="115" t="e">
        <f t="shared" si="221"/>
        <v>#VALUE!</v>
      </c>
      <c r="AD132" s="115" t="e">
        <f t="shared" si="221"/>
        <v>#VALUE!</v>
      </c>
      <c r="AE132" s="115" t="e">
        <f t="shared" si="221"/>
        <v>#VALUE!</v>
      </c>
      <c r="AF132" s="115" t="e">
        <f t="shared" si="221"/>
        <v>#VALUE!</v>
      </c>
      <c r="AG132" s="115" t="e">
        <f t="shared" si="221"/>
        <v>#VALUE!</v>
      </c>
      <c r="AH132" s="115" t="e">
        <f t="shared" si="221"/>
        <v>#VALUE!</v>
      </c>
      <c r="AI132" s="115" t="e">
        <f t="shared" si="221"/>
        <v>#VALUE!</v>
      </c>
      <c r="AJ132" s="115" t="e">
        <f t="shared" si="222"/>
        <v>#VALUE!</v>
      </c>
      <c r="AK132" s="115" t="e">
        <f t="shared" si="222"/>
        <v>#VALUE!</v>
      </c>
      <c r="AL132" s="115" t="e">
        <f t="shared" si="222"/>
        <v>#VALUE!</v>
      </c>
      <c r="AM132" s="115" t="e">
        <f t="shared" si="222"/>
        <v>#VALUE!</v>
      </c>
      <c r="AN132" s="115" t="e">
        <f t="shared" si="222"/>
        <v>#VALUE!</v>
      </c>
      <c r="AO132" s="115" t="e">
        <f t="shared" si="222"/>
        <v>#VALUE!</v>
      </c>
      <c r="AP132" s="115" t="e">
        <f t="shared" si="222"/>
        <v>#VALUE!</v>
      </c>
      <c r="AQ132" s="115" t="e">
        <f t="shared" si="222"/>
        <v>#VALUE!</v>
      </c>
      <c r="AR132" s="115" t="e">
        <f t="shared" si="222"/>
        <v>#VALUE!</v>
      </c>
      <c r="AS132" s="115" t="e">
        <f t="shared" si="222"/>
        <v>#VALUE!</v>
      </c>
      <c r="AT132" s="115" t="e">
        <f t="shared" si="223"/>
        <v>#VALUE!</v>
      </c>
      <c r="AU132" s="115" t="e">
        <f t="shared" si="223"/>
        <v>#VALUE!</v>
      </c>
      <c r="AV132" s="115" t="e">
        <f t="shared" si="223"/>
        <v>#VALUE!</v>
      </c>
      <c r="AW132" s="115" t="e">
        <f t="shared" si="223"/>
        <v>#VALUE!</v>
      </c>
      <c r="AX132" s="115" t="e">
        <f t="shared" si="223"/>
        <v>#VALUE!</v>
      </c>
      <c r="AY132" s="115" t="e">
        <f t="shared" si="223"/>
        <v>#VALUE!</v>
      </c>
      <c r="AZ132" s="115" t="e">
        <f t="shared" si="223"/>
        <v>#VALUE!</v>
      </c>
      <c r="BA132" s="115" t="e">
        <f t="shared" si="223"/>
        <v>#VALUE!</v>
      </c>
      <c r="BB132" s="115" t="e">
        <f t="shared" si="223"/>
        <v>#VALUE!</v>
      </c>
      <c r="BC132" s="115" t="e">
        <f t="shared" si="223"/>
        <v>#VALUE!</v>
      </c>
      <c r="BD132" s="115" t="e">
        <f t="shared" si="224"/>
        <v>#VALUE!</v>
      </c>
      <c r="BE132" s="115" t="e">
        <f t="shared" si="224"/>
        <v>#VALUE!</v>
      </c>
      <c r="BF132" s="115" t="e">
        <f t="shared" si="224"/>
        <v>#VALUE!</v>
      </c>
      <c r="BG132" s="115" t="e">
        <f t="shared" si="224"/>
        <v>#VALUE!</v>
      </c>
      <c r="BH132" s="115" t="e">
        <f t="shared" si="224"/>
        <v>#VALUE!</v>
      </c>
      <c r="BI132" s="115" t="e">
        <f t="shared" si="224"/>
        <v>#VALUE!</v>
      </c>
      <c r="BJ132" s="115" t="e">
        <f t="shared" si="224"/>
        <v>#VALUE!</v>
      </c>
      <c r="BK132" s="115" t="e">
        <f t="shared" si="224"/>
        <v>#VALUE!</v>
      </c>
      <c r="BL132" s="115" t="e">
        <f t="shared" si="224"/>
        <v>#VALUE!</v>
      </c>
      <c r="BM132" s="115" t="e">
        <f t="shared" si="224"/>
        <v>#VALUE!</v>
      </c>
      <c r="BN132" s="115" t="e">
        <f t="shared" si="225"/>
        <v>#VALUE!</v>
      </c>
      <c r="BO132" s="115" t="e">
        <f t="shared" si="225"/>
        <v>#VALUE!</v>
      </c>
      <c r="BP132" s="115" t="e">
        <f t="shared" si="225"/>
        <v>#VALUE!</v>
      </c>
      <c r="BQ132" s="115" t="e">
        <f t="shared" si="225"/>
        <v>#VALUE!</v>
      </c>
      <c r="BR132" s="115" t="e">
        <f t="shared" si="225"/>
        <v>#VALUE!</v>
      </c>
      <c r="BS132" s="115" t="e">
        <f t="shared" si="225"/>
        <v>#VALUE!</v>
      </c>
      <c r="BT132" s="115" t="e">
        <f t="shared" si="225"/>
        <v>#VALUE!</v>
      </c>
      <c r="BU132" s="115" t="e">
        <f t="shared" si="225"/>
        <v>#VALUE!</v>
      </c>
      <c r="BV132" s="115" t="e">
        <f t="shared" si="225"/>
        <v>#VALUE!</v>
      </c>
      <c r="BW132" s="115" t="e">
        <f t="shared" si="225"/>
        <v>#VALUE!</v>
      </c>
      <c r="BX132" s="115" t="e">
        <f t="shared" si="226"/>
        <v>#VALUE!</v>
      </c>
      <c r="BY132" s="115" t="e">
        <f t="shared" si="226"/>
        <v>#VALUE!</v>
      </c>
      <c r="BZ132" s="115" t="e">
        <f t="shared" si="226"/>
        <v>#VALUE!</v>
      </c>
      <c r="CA132" s="115" t="e">
        <f t="shared" si="226"/>
        <v>#VALUE!</v>
      </c>
      <c r="CB132" s="115" t="e">
        <f t="shared" si="226"/>
        <v>#VALUE!</v>
      </c>
      <c r="CC132" s="115" t="e">
        <f t="shared" si="226"/>
        <v>#VALUE!</v>
      </c>
      <c r="CD132" s="115" t="e">
        <f t="shared" si="226"/>
        <v>#VALUE!</v>
      </c>
      <c r="CE132" s="115" t="e">
        <f t="shared" si="226"/>
        <v>#VALUE!</v>
      </c>
      <c r="CF132" s="115" t="e">
        <f t="shared" si="226"/>
        <v>#VALUE!</v>
      </c>
      <c r="CG132" s="115" t="e">
        <f t="shared" si="226"/>
        <v>#VALUE!</v>
      </c>
      <c r="CH132" s="115" t="e">
        <f t="shared" si="227"/>
        <v>#VALUE!</v>
      </c>
      <c r="CI132" s="115" t="e">
        <f t="shared" si="227"/>
        <v>#VALUE!</v>
      </c>
      <c r="CJ132" s="115" t="e">
        <f t="shared" si="227"/>
        <v>#VALUE!</v>
      </c>
      <c r="CK132" s="115" t="e">
        <f t="shared" si="227"/>
        <v>#VALUE!</v>
      </c>
      <c r="CL132" s="115" t="e">
        <f t="shared" si="227"/>
        <v>#VALUE!</v>
      </c>
      <c r="CM132" s="115" t="e">
        <f t="shared" si="227"/>
        <v>#VALUE!</v>
      </c>
      <c r="CN132" s="115" t="e">
        <f t="shared" si="227"/>
        <v>#VALUE!</v>
      </c>
      <c r="CO132" s="115" t="e">
        <f t="shared" si="227"/>
        <v>#VALUE!</v>
      </c>
      <c r="CP132" s="115" t="e">
        <f t="shared" si="227"/>
        <v>#VALUE!</v>
      </c>
      <c r="CQ132" s="115" t="e">
        <f t="shared" si="227"/>
        <v>#VALUE!</v>
      </c>
      <c r="CR132" s="115" t="e">
        <f t="shared" si="228"/>
        <v>#VALUE!</v>
      </c>
      <c r="CS132" s="115" t="e">
        <f t="shared" si="228"/>
        <v>#VALUE!</v>
      </c>
      <c r="CT132" s="115" t="e">
        <f t="shared" si="228"/>
        <v>#VALUE!</v>
      </c>
      <c r="CU132" s="115" t="e">
        <f t="shared" si="228"/>
        <v>#VALUE!</v>
      </c>
      <c r="CV132" s="115" t="e">
        <f t="shared" si="228"/>
        <v>#VALUE!</v>
      </c>
      <c r="CW132" s="115" t="e">
        <f t="shared" si="228"/>
        <v>#VALUE!</v>
      </c>
      <c r="CX132" s="115" t="e">
        <f t="shared" si="228"/>
        <v>#VALUE!</v>
      </c>
      <c r="CY132" s="115" t="e">
        <f t="shared" si="228"/>
        <v>#VALUE!</v>
      </c>
      <c r="CZ132" s="115" t="e">
        <f t="shared" si="228"/>
        <v>#VALUE!</v>
      </c>
      <c r="DA132" s="115" t="e">
        <f t="shared" si="228"/>
        <v>#VALUE!</v>
      </c>
      <c r="DB132" s="115" t="e">
        <f t="shared" si="229"/>
        <v>#VALUE!</v>
      </c>
      <c r="DC132" s="115" t="e">
        <f t="shared" si="229"/>
        <v>#VALUE!</v>
      </c>
      <c r="DD132" s="115" t="e">
        <f t="shared" si="229"/>
        <v>#VALUE!</v>
      </c>
      <c r="DE132" s="115" t="e">
        <f t="shared" si="229"/>
        <v>#VALUE!</v>
      </c>
      <c r="DF132" s="115" t="e">
        <f t="shared" si="229"/>
        <v>#VALUE!</v>
      </c>
      <c r="DG132" s="115" t="e">
        <f t="shared" si="229"/>
        <v>#VALUE!</v>
      </c>
      <c r="DH132" s="115" t="e">
        <f t="shared" si="229"/>
        <v>#VALUE!</v>
      </c>
      <c r="DI132" s="115" t="e">
        <f t="shared" si="229"/>
        <v>#VALUE!</v>
      </c>
      <c r="DJ132" s="115" t="e">
        <f t="shared" si="229"/>
        <v>#VALUE!</v>
      </c>
      <c r="DK132" s="115" t="e">
        <f t="shared" si="229"/>
        <v>#VALUE!</v>
      </c>
      <c r="DL132" s="115" t="e">
        <f t="shared" si="229"/>
        <v>#VALUE!</v>
      </c>
      <c r="DM132" s="115" t="e">
        <f t="shared" si="229"/>
        <v>#VALUE!</v>
      </c>
    </row>
    <row r="133" spans="1:117" ht="15" customHeight="1" thickBot="1">
      <c r="A133" s="55">
        <v>13600</v>
      </c>
      <c r="B133" s="194" t="s">
        <v>728</v>
      </c>
      <c r="C133" s="194" t="s">
        <v>888</v>
      </c>
      <c r="D133" s="194" t="s">
        <v>266</v>
      </c>
      <c r="E133" s="194" t="s">
        <v>267</v>
      </c>
      <c r="F133" s="194" t="s">
        <v>1103</v>
      </c>
      <c r="G133" s="291" t="e">
        <f t="shared" si="216"/>
        <v>#VALUE!</v>
      </c>
      <c r="H133" s="292" t="e">
        <f>VLOOKUP("E3.D.04",Errichtungskosten,12,0) *VLOOKUP("PFAKT",Instandsetzung,5,0)</f>
        <v>#VALUE!</v>
      </c>
      <c r="I133" s="168"/>
      <c r="J133" s="194" t="s">
        <v>850</v>
      </c>
      <c r="K133" s="385">
        <f t="shared" si="217"/>
        <v>15</v>
      </c>
      <c r="L133" s="379" t="s">
        <v>358</v>
      </c>
      <c r="M133" s="325">
        <f t="shared" si="218"/>
        <v>1.35</v>
      </c>
      <c r="N133" s="380">
        <f t="shared" si="219"/>
        <v>0.99655850540806312</v>
      </c>
      <c r="O133" s="381" t="e">
        <f t="shared" si="220"/>
        <v>#VALUE!</v>
      </c>
      <c r="P133" s="169" t="s">
        <v>103</v>
      </c>
      <c r="Q133" s="114" t="e">
        <f t="shared" si="220"/>
        <v>#VALUE!</v>
      </c>
      <c r="R133" s="115" t="e">
        <f t="shared" si="220"/>
        <v>#VALUE!</v>
      </c>
      <c r="S133" s="115" t="e">
        <f t="shared" si="220"/>
        <v>#VALUE!</v>
      </c>
      <c r="T133" s="115" t="e">
        <f t="shared" si="220"/>
        <v>#VALUE!</v>
      </c>
      <c r="U133" s="115" t="e">
        <f t="shared" si="220"/>
        <v>#VALUE!</v>
      </c>
      <c r="V133" s="115" t="e">
        <f t="shared" si="220"/>
        <v>#VALUE!</v>
      </c>
      <c r="W133" s="115" t="e">
        <f t="shared" si="220"/>
        <v>#VALUE!</v>
      </c>
      <c r="X133" s="115" t="e">
        <f t="shared" si="220"/>
        <v>#VALUE!</v>
      </c>
      <c r="Y133" s="115" t="e">
        <f t="shared" si="220"/>
        <v>#VALUE!</v>
      </c>
      <c r="Z133" s="115" t="e">
        <f t="shared" si="221"/>
        <v>#VALUE!</v>
      </c>
      <c r="AA133" s="115" t="e">
        <f t="shared" si="221"/>
        <v>#VALUE!</v>
      </c>
      <c r="AB133" s="115" t="e">
        <f t="shared" si="221"/>
        <v>#VALUE!</v>
      </c>
      <c r="AC133" s="115" t="e">
        <f t="shared" si="221"/>
        <v>#VALUE!</v>
      </c>
      <c r="AD133" s="115" t="e">
        <f t="shared" si="221"/>
        <v>#VALUE!</v>
      </c>
      <c r="AE133" s="115" t="e">
        <f t="shared" si="221"/>
        <v>#VALUE!</v>
      </c>
      <c r="AF133" s="115" t="e">
        <f t="shared" si="221"/>
        <v>#VALUE!</v>
      </c>
      <c r="AG133" s="115" t="e">
        <f t="shared" si="221"/>
        <v>#VALUE!</v>
      </c>
      <c r="AH133" s="115" t="e">
        <f t="shared" si="221"/>
        <v>#VALUE!</v>
      </c>
      <c r="AI133" s="115" t="e">
        <f t="shared" si="221"/>
        <v>#VALUE!</v>
      </c>
      <c r="AJ133" s="115" t="e">
        <f t="shared" si="222"/>
        <v>#VALUE!</v>
      </c>
      <c r="AK133" s="115" t="e">
        <f t="shared" si="222"/>
        <v>#VALUE!</v>
      </c>
      <c r="AL133" s="115" t="e">
        <f t="shared" si="222"/>
        <v>#VALUE!</v>
      </c>
      <c r="AM133" s="115" t="e">
        <f t="shared" si="222"/>
        <v>#VALUE!</v>
      </c>
      <c r="AN133" s="115" t="e">
        <f t="shared" si="222"/>
        <v>#VALUE!</v>
      </c>
      <c r="AO133" s="115" t="e">
        <f t="shared" si="222"/>
        <v>#VALUE!</v>
      </c>
      <c r="AP133" s="115" t="e">
        <f t="shared" si="222"/>
        <v>#VALUE!</v>
      </c>
      <c r="AQ133" s="115" t="e">
        <f t="shared" si="222"/>
        <v>#VALUE!</v>
      </c>
      <c r="AR133" s="115" t="e">
        <f t="shared" si="222"/>
        <v>#VALUE!</v>
      </c>
      <c r="AS133" s="115" t="e">
        <f t="shared" si="222"/>
        <v>#VALUE!</v>
      </c>
      <c r="AT133" s="115" t="e">
        <f t="shared" si="223"/>
        <v>#VALUE!</v>
      </c>
      <c r="AU133" s="115" t="e">
        <f t="shared" si="223"/>
        <v>#VALUE!</v>
      </c>
      <c r="AV133" s="115" t="e">
        <f t="shared" si="223"/>
        <v>#VALUE!</v>
      </c>
      <c r="AW133" s="115" t="e">
        <f t="shared" si="223"/>
        <v>#VALUE!</v>
      </c>
      <c r="AX133" s="115" t="e">
        <f t="shared" si="223"/>
        <v>#VALUE!</v>
      </c>
      <c r="AY133" s="115" t="e">
        <f t="shared" si="223"/>
        <v>#VALUE!</v>
      </c>
      <c r="AZ133" s="115" t="e">
        <f t="shared" si="223"/>
        <v>#VALUE!</v>
      </c>
      <c r="BA133" s="115" t="e">
        <f t="shared" si="223"/>
        <v>#VALUE!</v>
      </c>
      <c r="BB133" s="115" t="e">
        <f t="shared" si="223"/>
        <v>#VALUE!</v>
      </c>
      <c r="BC133" s="115" t="e">
        <f t="shared" si="223"/>
        <v>#VALUE!</v>
      </c>
      <c r="BD133" s="115" t="e">
        <f t="shared" si="224"/>
        <v>#VALUE!</v>
      </c>
      <c r="BE133" s="115" t="e">
        <f t="shared" si="224"/>
        <v>#VALUE!</v>
      </c>
      <c r="BF133" s="115" t="e">
        <f t="shared" si="224"/>
        <v>#VALUE!</v>
      </c>
      <c r="BG133" s="115" t="e">
        <f t="shared" si="224"/>
        <v>#VALUE!</v>
      </c>
      <c r="BH133" s="115" t="e">
        <f t="shared" si="224"/>
        <v>#VALUE!</v>
      </c>
      <c r="BI133" s="115" t="e">
        <f t="shared" si="224"/>
        <v>#VALUE!</v>
      </c>
      <c r="BJ133" s="115" t="e">
        <f t="shared" si="224"/>
        <v>#VALUE!</v>
      </c>
      <c r="BK133" s="115" t="e">
        <f t="shared" si="224"/>
        <v>#VALUE!</v>
      </c>
      <c r="BL133" s="115" t="e">
        <f t="shared" si="224"/>
        <v>#VALUE!</v>
      </c>
      <c r="BM133" s="115" t="e">
        <f t="shared" si="224"/>
        <v>#VALUE!</v>
      </c>
      <c r="BN133" s="115" t="e">
        <f t="shared" si="225"/>
        <v>#VALUE!</v>
      </c>
      <c r="BO133" s="115" t="e">
        <f t="shared" si="225"/>
        <v>#VALUE!</v>
      </c>
      <c r="BP133" s="115" t="e">
        <f t="shared" si="225"/>
        <v>#VALUE!</v>
      </c>
      <c r="BQ133" s="115" t="e">
        <f t="shared" si="225"/>
        <v>#VALUE!</v>
      </c>
      <c r="BR133" s="115" t="e">
        <f t="shared" si="225"/>
        <v>#VALUE!</v>
      </c>
      <c r="BS133" s="115" t="e">
        <f t="shared" si="225"/>
        <v>#VALUE!</v>
      </c>
      <c r="BT133" s="115" t="e">
        <f t="shared" si="225"/>
        <v>#VALUE!</v>
      </c>
      <c r="BU133" s="115" t="e">
        <f t="shared" si="225"/>
        <v>#VALUE!</v>
      </c>
      <c r="BV133" s="115" t="e">
        <f t="shared" si="225"/>
        <v>#VALUE!</v>
      </c>
      <c r="BW133" s="115" t="e">
        <f t="shared" si="225"/>
        <v>#VALUE!</v>
      </c>
      <c r="BX133" s="115" t="e">
        <f t="shared" si="226"/>
        <v>#VALUE!</v>
      </c>
      <c r="BY133" s="115" t="e">
        <f t="shared" si="226"/>
        <v>#VALUE!</v>
      </c>
      <c r="BZ133" s="115" t="e">
        <f t="shared" si="226"/>
        <v>#VALUE!</v>
      </c>
      <c r="CA133" s="115" t="e">
        <f t="shared" si="226"/>
        <v>#VALUE!</v>
      </c>
      <c r="CB133" s="115" t="e">
        <f t="shared" si="226"/>
        <v>#VALUE!</v>
      </c>
      <c r="CC133" s="115" t="e">
        <f t="shared" si="226"/>
        <v>#VALUE!</v>
      </c>
      <c r="CD133" s="115" t="e">
        <f t="shared" si="226"/>
        <v>#VALUE!</v>
      </c>
      <c r="CE133" s="115" t="e">
        <f t="shared" si="226"/>
        <v>#VALUE!</v>
      </c>
      <c r="CF133" s="115" t="e">
        <f t="shared" si="226"/>
        <v>#VALUE!</v>
      </c>
      <c r="CG133" s="115" t="e">
        <f t="shared" si="226"/>
        <v>#VALUE!</v>
      </c>
      <c r="CH133" s="115" t="e">
        <f t="shared" si="227"/>
        <v>#VALUE!</v>
      </c>
      <c r="CI133" s="115" t="e">
        <f t="shared" si="227"/>
        <v>#VALUE!</v>
      </c>
      <c r="CJ133" s="115" t="e">
        <f t="shared" si="227"/>
        <v>#VALUE!</v>
      </c>
      <c r="CK133" s="115" t="e">
        <f t="shared" si="227"/>
        <v>#VALUE!</v>
      </c>
      <c r="CL133" s="115" t="e">
        <f t="shared" si="227"/>
        <v>#VALUE!</v>
      </c>
      <c r="CM133" s="115" t="e">
        <f t="shared" si="227"/>
        <v>#VALUE!</v>
      </c>
      <c r="CN133" s="115" t="e">
        <f t="shared" si="227"/>
        <v>#VALUE!</v>
      </c>
      <c r="CO133" s="115" t="e">
        <f t="shared" si="227"/>
        <v>#VALUE!</v>
      </c>
      <c r="CP133" s="115" t="e">
        <f t="shared" si="227"/>
        <v>#VALUE!</v>
      </c>
      <c r="CQ133" s="115" t="e">
        <f t="shared" si="227"/>
        <v>#VALUE!</v>
      </c>
      <c r="CR133" s="115" t="e">
        <f t="shared" si="228"/>
        <v>#VALUE!</v>
      </c>
      <c r="CS133" s="115" t="e">
        <f t="shared" si="228"/>
        <v>#VALUE!</v>
      </c>
      <c r="CT133" s="115" t="e">
        <f t="shared" si="228"/>
        <v>#VALUE!</v>
      </c>
      <c r="CU133" s="115" t="e">
        <f t="shared" si="228"/>
        <v>#VALUE!</v>
      </c>
      <c r="CV133" s="115" t="e">
        <f t="shared" si="228"/>
        <v>#VALUE!</v>
      </c>
      <c r="CW133" s="115" t="e">
        <f t="shared" si="228"/>
        <v>#VALUE!</v>
      </c>
      <c r="CX133" s="115" t="e">
        <f t="shared" si="228"/>
        <v>#VALUE!</v>
      </c>
      <c r="CY133" s="115" t="e">
        <f t="shared" si="228"/>
        <v>#VALUE!</v>
      </c>
      <c r="CZ133" s="115" t="e">
        <f t="shared" si="228"/>
        <v>#VALUE!</v>
      </c>
      <c r="DA133" s="115" t="e">
        <f t="shared" si="228"/>
        <v>#VALUE!</v>
      </c>
      <c r="DB133" s="115" t="e">
        <f t="shared" si="229"/>
        <v>#VALUE!</v>
      </c>
      <c r="DC133" s="115" t="e">
        <f t="shared" si="229"/>
        <v>#VALUE!</v>
      </c>
      <c r="DD133" s="115" t="e">
        <f t="shared" si="229"/>
        <v>#VALUE!</v>
      </c>
      <c r="DE133" s="115" t="e">
        <f t="shared" si="229"/>
        <v>#VALUE!</v>
      </c>
      <c r="DF133" s="115" t="e">
        <f t="shared" si="229"/>
        <v>#VALUE!</v>
      </c>
      <c r="DG133" s="115" t="e">
        <f t="shared" si="229"/>
        <v>#VALUE!</v>
      </c>
      <c r="DH133" s="115" t="e">
        <f t="shared" si="229"/>
        <v>#VALUE!</v>
      </c>
      <c r="DI133" s="115" t="e">
        <f t="shared" si="229"/>
        <v>#VALUE!</v>
      </c>
      <c r="DJ133" s="115" t="e">
        <f t="shared" si="229"/>
        <v>#VALUE!</v>
      </c>
      <c r="DK133" s="115" t="e">
        <f t="shared" si="229"/>
        <v>#VALUE!</v>
      </c>
      <c r="DL133" s="115" t="e">
        <f t="shared" si="229"/>
        <v>#VALUE!</v>
      </c>
      <c r="DM133" s="115" t="e">
        <f t="shared" si="229"/>
        <v>#VALUE!</v>
      </c>
    </row>
    <row r="134" spans="1:117" ht="15" customHeight="1" thickBot="1">
      <c r="A134" s="55">
        <v>13700</v>
      </c>
      <c r="B134" s="194" t="s">
        <v>728</v>
      </c>
      <c r="C134" s="194" t="s">
        <v>889</v>
      </c>
      <c r="D134" s="194" t="s">
        <v>264</v>
      </c>
      <c r="E134" s="194" t="s">
        <v>265</v>
      </c>
      <c r="F134" s="194" t="s">
        <v>1104</v>
      </c>
      <c r="G134" s="291" t="e">
        <f t="shared" si="216"/>
        <v>#VALUE!</v>
      </c>
      <c r="H134" s="292" t="e">
        <f>VLOOKUP("E3.D.05",Errichtungskosten,12,0) *VLOOKUP("PFAKT",Instandsetzung,5,0)</f>
        <v>#VALUE!</v>
      </c>
      <c r="I134" s="168"/>
      <c r="J134" s="194" t="s">
        <v>850</v>
      </c>
      <c r="K134" s="385">
        <f t="shared" si="217"/>
        <v>20</v>
      </c>
      <c r="L134" s="379" t="s">
        <v>358</v>
      </c>
      <c r="M134" s="325">
        <f t="shared" si="218"/>
        <v>1.35</v>
      </c>
      <c r="N134" s="380">
        <f t="shared" si="219"/>
        <v>0.99655850540806312</v>
      </c>
      <c r="O134" s="381" t="e">
        <f t="shared" si="220"/>
        <v>#VALUE!</v>
      </c>
      <c r="P134" s="169" t="s">
        <v>103</v>
      </c>
      <c r="Q134" s="114" t="e">
        <f t="shared" si="220"/>
        <v>#VALUE!</v>
      </c>
      <c r="R134" s="115" t="e">
        <f t="shared" si="220"/>
        <v>#VALUE!</v>
      </c>
      <c r="S134" s="115" t="e">
        <f t="shared" si="220"/>
        <v>#VALUE!</v>
      </c>
      <c r="T134" s="115" t="e">
        <f t="shared" si="220"/>
        <v>#VALUE!</v>
      </c>
      <c r="U134" s="115" t="e">
        <f t="shared" si="220"/>
        <v>#VALUE!</v>
      </c>
      <c r="V134" s="115" t="e">
        <f t="shared" si="220"/>
        <v>#VALUE!</v>
      </c>
      <c r="W134" s="115" t="e">
        <f t="shared" si="220"/>
        <v>#VALUE!</v>
      </c>
      <c r="X134" s="115" t="e">
        <f t="shared" si="220"/>
        <v>#VALUE!</v>
      </c>
      <c r="Y134" s="115" t="e">
        <f t="shared" si="220"/>
        <v>#VALUE!</v>
      </c>
      <c r="Z134" s="115" t="e">
        <f t="shared" si="221"/>
        <v>#VALUE!</v>
      </c>
      <c r="AA134" s="115" t="e">
        <f t="shared" si="221"/>
        <v>#VALUE!</v>
      </c>
      <c r="AB134" s="115" t="e">
        <f t="shared" si="221"/>
        <v>#VALUE!</v>
      </c>
      <c r="AC134" s="115" t="e">
        <f t="shared" si="221"/>
        <v>#VALUE!</v>
      </c>
      <c r="AD134" s="115" t="e">
        <f t="shared" si="221"/>
        <v>#VALUE!</v>
      </c>
      <c r="AE134" s="115" t="e">
        <f t="shared" si="221"/>
        <v>#VALUE!</v>
      </c>
      <c r="AF134" s="115" t="e">
        <f t="shared" si="221"/>
        <v>#VALUE!</v>
      </c>
      <c r="AG134" s="115" t="e">
        <f t="shared" si="221"/>
        <v>#VALUE!</v>
      </c>
      <c r="AH134" s="115" t="e">
        <f t="shared" si="221"/>
        <v>#VALUE!</v>
      </c>
      <c r="AI134" s="115" t="e">
        <f t="shared" si="221"/>
        <v>#VALUE!</v>
      </c>
      <c r="AJ134" s="115" t="e">
        <f t="shared" si="222"/>
        <v>#VALUE!</v>
      </c>
      <c r="AK134" s="115" t="e">
        <f t="shared" si="222"/>
        <v>#VALUE!</v>
      </c>
      <c r="AL134" s="115" t="e">
        <f t="shared" si="222"/>
        <v>#VALUE!</v>
      </c>
      <c r="AM134" s="115" t="e">
        <f t="shared" si="222"/>
        <v>#VALUE!</v>
      </c>
      <c r="AN134" s="115" t="e">
        <f t="shared" si="222"/>
        <v>#VALUE!</v>
      </c>
      <c r="AO134" s="115" t="e">
        <f t="shared" si="222"/>
        <v>#VALUE!</v>
      </c>
      <c r="AP134" s="115" t="e">
        <f t="shared" si="222"/>
        <v>#VALUE!</v>
      </c>
      <c r="AQ134" s="115" t="e">
        <f t="shared" si="222"/>
        <v>#VALUE!</v>
      </c>
      <c r="AR134" s="115" t="e">
        <f t="shared" si="222"/>
        <v>#VALUE!</v>
      </c>
      <c r="AS134" s="115" t="e">
        <f t="shared" si="222"/>
        <v>#VALUE!</v>
      </c>
      <c r="AT134" s="115" t="e">
        <f t="shared" si="223"/>
        <v>#VALUE!</v>
      </c>
      <c r="AU134" s="115" t="e">
        <f t="shared" si="223"/>
        <v>#VALUE!</v>
      </c>
      <c r="AV134" s="115" t="e">
        <f t="shared" si="223"/>
        <v>#VALUE!</v>
      </c>
      <c r="AW134" s="115" t="e">
        <f t="shared" si="223"/>
        <v>#VALUE!</v>
      </c>
      <c r="AX134" s="115" t="e">
        <f t="shared" si="223"/>
        <v>#VALUE!</v>
      </c>
      <c r="AY134" s="115" t="e">
        <f t="shared" si="223"/>
        <v>#VALUE!</v>
      </c>
      <c r="AZ134" s="115" t="e">
        <f t="shared" si="223"/>
        <v>#VALUE!</v>
      </c>
      <c r="BA134" s="115" t="e">
        <f t="shared" si="223"/>
        <v>#VALUE!</v>
      </c>
      <c r="BB134" s="115" t="e">
        <f t="shared" si="223"/>
        <v>#VALUE!</v>
      </c>
      <c r="BC134" s="115" t="e">
        <f t="shared" si="223"/>
        <v>#VALUE!</v>
      </c>
      <c r="BD134" s="115" t="e">
        <f t="shared" si="224"/>
        <v>#VALUE!</v>
      </c>
      <c r="BE134" s="115" t="e">
        <f t="shared" si="224"/>
        <v>#VALUE!</v>
      </c>
      <c r="BF134" s="115" t="e">
        <f t="shared" si="224"/>
        <v>#VALUE!</v>
      </c>
      <c r="BG134" s="115" t="e">
        <f t="shared" si="224"/>
        <v>#VALUE!</v>
      </c>
      <c r="BH134" s="115" t="e">
        <f t="shared" si="224"/>
        <v>#VALUE!</v>
      </c>
      <c r="BI134" s="115" t="e">
        <f t="shared" si="224"/>
        <v>#VALUE!</v>
      </c>
      <c r="BJ134" s="115" t="e">
        <f t="shared" si="224"/>
        <v>#VALUE!</v>
      </c>
      <c r="BK134" s="115" t="e">
        <f t="shared" si="224"/>
        <v>#VALUE!</v>
      </c>
      <c r="BL134" s="115" t="e">
        <f t="shared" si="224"/>
        <v>#VALUE!</v>
      </c>
      <c r="BM134" s="115" t="e">
        <f t="shared" si="224"/>
        <v>#VALUE!</v>
      </c>
      <c r="BN134" s="115" t="e">
        <f t="shared" si="225"/>
        <v>#VALUE!</v>
      </c>
      <c r="BO134" s="115" t="e">
        <f t="shared" si="225"/>
        <v>#VALUE!</v>
      </c>
      <c r="BP134" s="115" t="e">
        <f t="shared" si="225"/>
        <v>#VALUE!</v>
      </c>
      <c r="BQ134" s="115" t="e">
        <f t="shared" si="225"/>
        <v>#VALUE!</v>
      </c>
      <c r="BR134" s="115" t="e">
        <f t="shared" si="225"/>
        <v>#VALUE!</v>
      </c>
      <c r="BS134" s="115" t="e">
        <f t="shared" si="225"/>
        <v>#VALUE!</v>
      </c>
      <c r="BT134" s="115" t="e">
        <f t="shared" si="225"/>
        <v>#VALUE!</v>
      </c>
      <c r="BU134" s="115" t="e">
        <f t="shared" si="225"/>
        <v>#VALUE!</v>
      </c>
      <c r="BV134" s="115" t="e">
        <f t="shared" si="225"/>
        <v>#VALUE!</v>
      </c>
      <c r="BW134" s="115" t="e">
        <f t="shared" si="225"/>
        <v>#VALUE!</v>
      </c>
      <c r="BX134" s="115" t="e">
        <f t="shared" si="226"/>
        <v>#VALUE!</v>
      </c>
      <c r="BY134" s="115" t="e">
        <f t="shared" si="226"/>
        <v>#VALUE!</v>
      </c>
      <c r="BZ134" s="115" t="e">
        <f t="shared" si="226"/>
        <v>#VALUE!</v>
      </c>
      <c r="CA134" s="115" t="e">
        <f t="shared" si="226"/>
        <v>#VALUE!</v>
      </c>
      <c r="CB134" s="115" t="e">
        <f t="shared" si="226"/>
        <v>#VALUE!</v>
      </c>
      <c r="CC134" s="115" t="e">
        <f t="shared" si="226"/>
        <v>#VALUE!</v>
      </c>
      <c r="CD134" s="115" t="e">
        <f t="shared" si="226"/>
        <v>#VALUE!</v>
      </c>
      <c r="CE134" s="115" t="e">
        <f t="shared" si="226"/>
        <v>#VALUE!</v>
      </c>
      <c r="CF134" s="115" t="e">
        <f t="shared" si="226"/>
        <v>#VALUE!</v>
      </c>
      <c r="CG134" s="115" t="e">
        <f t="shared" si="226"/>
        <v>#VALUE!</v>
      </c>
      <c r="CH134" s="115" t="e">
        <f t="shared" si="227"/>
        <v>#VALUE!</v>
      </c>
      <c r="CI134" s="115" t="e">
        <f t="shared" si="227"/>
        <v>#VALUE!</v>
      </c>
      <c r="CJ134" s="115" t="e">
        <f t="shared" si="227"/>
        <v>#VALUE!</v>
      </c>
      <c r="CK134" s="115" t="e">
        <f t="shared" si="227"/>
        <v>#VALUE!</v>
      </c>
      <c r="CL134" s="115" t="e">
        <f t="shared" si="227"/>
        <v>#VALUE!</v>
      </c>
      <c r="CM134" s="115" t="e">
        <f t="shared" si="227"/>
        <v>#VALUE!</v>
      </c>
      <c r="CN134" s="115" t="e">
        <f t="shared" si="227"/>
        <v>#VALUE!</v>
      </c>
      <c r="CO134" s="115" t="e">
        <f t="shared" si="227"/>
        <v>#VALUE!</v>
      </c>
      <c r="CP134" s="115" t="e">
        <f t="shared" si="227"/>
        <v>#VALUE!</v>
      </c>
      <c r="CQ134" s="115" t="e">
        <f t="shared" si="227"/>
        <v>#VALUE!</v>
      </c>
      <c r="CR134" s="115" t="e">
        <f t="shared" si="228"/>
        <v>#VALUE!</v>
      </c>
      <c r="CS134" s="115" t="e">
        <f t="shared" si="228"/>
        <v>#VALUE!</v>
      </c>
      <c r="CT134" s="115" t="e">
        <f t="shared" si="228"/>
        <v>#VALUE!</v>
      </c>
      <c r="CU134" s="115" t="e">
        <f t="shared" si="228"/>
        <v>#VALUE!</v>
      </c>
      <c r="CV134" s="115" t="e">
        <f t="shared" si="228"/>
        <v>#VALUE!</v>
      </c>
      <c r="CW134" s="115" t="e">
        <f t="shared" si="228"/>
        <v>#VALUE!</v>
      </c>
      <c r="CX134" s="115" t="e">
        <f t="shared" si="228"/>
        <v>#VALUE!</v>
      </c>
      <c r="CY134" s="115" t="e">
        <f t="shared" si="228"/>
        <v>#VALUE!</v>
      </c>
      <c r="CZ134" s="115" t="e">
        <f t="shared" si="228"/>
        <v>#VALUE!</v>
      </c>
      <c r="DA134" s="115" t="e">
        <f t="shared" si="228"/>
        <v>#VALUE!</v>
      </c>
      <c r="DB134" s="115" t="e">
        <f t="shared" si="229"/>
        <v>#VALUE!</v>
      </c>
      <c r="DC134" s="115" t="e">
        <f t="shared" si="229"/>
        <v>#VALUE!</v>
      </c>
      <c r="DD134" s="115" t="e">
        <f t="shared" si="229"/>
        <v>#VALUE!</v>
      </c>
      <c r="DE134" s="115" t="e">
        <f t="shared" si="229"/>
        <v>#VALUE!</v>
      </c>
      <c r="DF134" s="115" t="e">
        <f t="shared" si="229"/>
        <v>#VALUE!</v>
      </c>
      <c r="DG134" s="115" t="e">
        <f t="shared" si="229"/>
        <v>#VALUE!</v>
      </c>
      <c r="DH134" s="115" t="e">
        <f t="shared" si="229"/>
        <v>#VALUE!</v>
      </c>
      <c r="DI134" s="115" t="e">
        <f t="shared" si="229"/>
        <v>#VALUE!</v>
      </c>
      <c r="DJ134" s="115" t="e">
        <f t="shared" si="229"/>
        <v>#VALUE!</v>
      </c>
      <c r="DK134" s="115" t="e">
        <f t="shared" si="229"/>
        <v>#VALUE!</v>
      </c>
      <c r="DL134" s="115" t="e">
        <f t="shared" si="229"/>
        <v>#VALUE!</v>
      </c>
      <c r="DM134" s="115" t="e">
        <f t="shared" si="229"/>
        <v>#VALUE!</v>
      </c>
    </row>
    <row r="135" spans="1:117" ht="15" customHeight="1" thickBot="1">
      <c r="A135" s="55">
        <v>13800</v>
      </c>
      <c r="B135" s="194" t="s">
        <v>728</v>
      </c>
      <c r="C135" s="194" t="s">
        <v>890</v>
      </c>
      <c r="D135" s="194" t="s">
        <v>262</v>
      </c>
      <c r="E135" s="194" t="s">
        <v>263</v>
      </c>
      <c r="F135" s="194" t="s">
        <v>1105</v>
      </c>
      <c r="G135" s="291" t="e">
        <f t="shared" si="216"/>
        <v>#VALUE!</v>
      </c>
      <c r="H135" s="292" t="e">
        <f>VLOOKUP("E3.D.S",Errichtungskosten,12,0) *VLOOKUP("PFAKT",Instandsetzung,5,0)</f>
        <v>#VALUE!</v>
      </c>
      <c r="I135" s="168"/>
      <c r="J135" s="194" t="s">
        <v>850</v>
      </c>
      <c r="K135" s="385">
        <f t="shared" si="217"/>
        <v>20</v>
      </c>
      <c r="L135" s="379" t="s">
        <v>358</v>
      </c>
      <c r="M135" s="325">
        <f t="shared" si="218"/>
        <v>1.35</v>
      </c>
      <c r="N135" s="380">
        <f t="shared" si="219"/>
        <v>0.99655850540806312</v>
      </c>
      <c r="O135" s="381" t="e">
        <f t="shared" si="220"/>
        <v>#VALUE!</v>
      </c>
      <c r="P135" s="169" t="s">
        <v>103</v>
      </c>
      <c r="Q135" s="114" t="e">
        <f t="shared" si="220"/>
        <v>#VALUE!</v>
      </c>
      <c r="R135" s="115" t="e">
        <f t="shared" si="220"/>
        <v>#VALUE!</v>
      </c>
      <c r="S135" s="115" t="e">
        <f t="shared" si="220"/>
        <v>#VALUE!</v>
      </c>
      <c r="T135" s="115" t="e">
        <f t="shared" si="220"/>
        <v>#VALUE!</v>
      </c>
      <c r="U135" s="115" t="e">
        <f t="shared" si="220"/>
        <v>#VALUE!</v>
      </c>
      <c r="V135" s="115" t="e">
        <f t="shared" si="220"/>
        <v>#VALUE!</v>
      </c>
      <c r="W135" s="115" t="e">
        <f t="shared" si="220"/>
        <v>#VALUE!</v>
      </c>
      <c r="X135" s="115" t="e">
        <f t="shared" si="220"/>
        <v>#VALUE!</v>
      </c>
      <c r="Y135" s="115" t="e">
        <f t="shared" si="220"/>
        <v>#VALUE!</v>
      </c>
      <c r="Z135" s="115" t="e">
        <f t="shared" si="221"/>
        <v>#VALUE!</v>
      </c>
      <c r="AA135" s="115" t="e">
        <f t="shared" si="221"/>
        <v>#VALUE!</v>
      </c>
      <c r="AB135" s="115" t="e">
        <f t="shared" si="221"/>
        <v>#VALUE!</v>
      </c>
      <c r="AC135" s="115" t="e">
        <f t="shared" si="221"/>
        <v>#VALUE!</v>
      </c>
      <c r="AD135" s="115" t="e">
        <f t="shared" si="221"/>
        <v>#VALUE!</v>
      </c>
      <c r="AE135" s="115" t="e">
        <f t="shared" si="221"/>
        <v>#VALUE!</v>
      </c>
      <c r="AF135" s="115" t="e">
        <f t="shared" si="221"/>
        <v>#VALUE!</v>
      </c>
      <c r="AG135" s="115" t="e">
        <f t="shared" si="221"/>
        <v>#VALUE!</v>
      </c>
      <c r="AH135" s="115" t="e">
        <f t="shared" si="221"/>
        <v>#VALUE!</v>
      </c>
      <c r="AI135" s="115" t="e">
        <f t="shared" si="221"/>
        <v>#VALUE!</v>
      </c>
      <c r="AJ135" s="115" t="e">
        <f t="shared" si="222"/>
        <v>#VALUE!</v>
      </c>
      <c r="AK135" s="115" t="e">
        <f t="shared" si="222"/>
        <v>#VALUE!</v>
      </c>
      <c r="AL135" s="115" t="e">
        <f t="shared" si="222"/>
        <v>#VALUE!</v>
      </c>
      <c r="AM135" s="115" t="e">
        <f t="shared" si="222"/>
        <v>#VALUE!</v>
      </c>
      <c r="AN135" s="115" t="e">
        <f t="shared" si="222"/>
        <v>#VALUE!</v>
      </c>
      <c r="AO135" s="115" t="e">
        <f t="shared" si="222"/>
        <v>#VALUE!</v>
      </c>
      <c r="AP135" s="115" t="e">
        <f t="shared" si="222"/>
        <v>#VALUE!</v>
      </c>
      <c r="AQ135" s="115" t="e">
        <f t="shared" si="222"/>
        <v>#VALUE!</v>
      </c>
      <c r="AR135" s="115" t="e">
        <f t="shared" si="222"/>
        <v>#VALUE!</v>
      </c>
      <c r="AS135" s="115" t="e">
        <f t="shared" si="222"/>
        <v>#VALUE!</v>
      </c>
      <c r="AT135" s="115" t="e">
        <f t="shared" si="223"/>
        <v>#VALUE!</v>
      </c>
      <c r="AU135" s="115" t="e">
        <f t="shared" si="223"/>
        <v>#VALUE!</v>
      </c>
      <c r="AV135" s="115" t="e">
        <f t="shared" si="223"/>
        <v>#VALUE!</v>
      </c>
      <c r="AW135" s="115" t="e">
        <f t="shared" si="223"/>
        <v>#VALUE!</v>
      </c>
      <c r="AX135" s="115" t="e">
        <f t="shared" si="223"/>
        <v>#VALUE!</v>
      </c>
      <c r="AY135" s="115" t="e">
        <f t="shared" si="223"/>
        <v>#VALUE!</v>
      </c>
      <c r="AZ135" s="115" t="e">
        <f t="shared" si="223"/>
        <v>#VALUE!</v>
      </c>
      <c r="BA135" s="115" t="e">
        <f t="shared" si="223"/>
        <v>#VALUE!</v>
      </c>
      <c r="BB135" s="115" t="e">
        <f t="shared" si="223"/>
        <v>#VALUE!</v>
      </c>
      <c r="BC135" s="115" t="e">
        <f t="shared" si="223"/>
        <v>#VALUE!</v>
      </c>
      <c r="BD135" s="115" t="e">
        <f t="shared" si="224"/>
        <v>#VALUE!</v>
      </c>
      <c r="BE135" s="115" t="e">
        <f t="shared" si="224"/>
        <v>#VALUE!</v>
      </c>
      <c r="BF135" s="115" t="e">
        <f t="shared" si="224"/>
        <v>#VALUE!</v>
      </c>
      <c r="BG135" s="115" t="e">
        <f t="shared" si="224"/>
        <v>#VALUE!</v>
      </c>
      <c r="BH135" s="115" t="e">
        <f t="shared" si="224"/>
        <v>#VALUE!</v>
      </c>
      <c r="BI135" s="115" t="e">
        <f t="shared" si="224"/>
        <v>#VALUE!</v>
      </c>
      <c r="BJ135" s="115" t="e">
        <f t="shared" si="224"/>
        <v>#VALUE!</v>
      </c>
      <c r="BK135" s="115" t="e">
        <f t="shared" si="224"/>
        <v>#VALUE!</v>
      </c>
      <c r="BL135" s="115" t="e">
        <f t="shared" si="224"/>
        <v>#VALUE!</v>
      </c>
      <c r="BM135" s="115" t="e">
        <f t="shared" si="224"/>
        <v>#VALUE!</v>
      </c>
      <c r="BN135" s="115" t="e">
        <f t="shared" si="225"/>
        <v>#VALUE!</v>
      </c>
      <c r="BO135" s="115" t="e">
        <f t="shared" si="225"/>
        <v>#VALUE!</v>
      </c>
      <c r="BP135" s="115" t="e">
        <f t="shared" si="225"/>
        <v>#VALUE!</v>
      </c>
      <c r="BQ135" s="115" t="e">
        <f t="shared" si="225"/>
        <v>#VALUE!</v>
      </c>
      <c r="BR135" s="115" t="e">
        <f t="shared" si="225"/>
        <v>#VALUE!</v>
      </c>
      <c r="BS135" s="115" t="e">
        <f t="shared" si="225"/>
        <v>#VALUE!</v>
      </c>
      <c r="BT135" s="115" t="e">
        <f t="shared" si="225"/>
        <v>#VALUE!</v>
      </c>
      <c r="BU135" s="115" t="e">
        <f t="shared" si="225"/>
        <v>#VALUE!</v>
      </c>
      <c r="BV135" s="115" t="e">
        <f t="shared" si="225"/>
        <v>#VALUE!</v>
      </c>
      <c r="BW135" s="115" t="e">
        <f t="shared" si="225"/>
        <v>#VALUE!</v>
      </c>
      <c r="BX135" s="115" t="e">
        <f t="shared" si="226"/>
        <v>#VALUE!</v>
      </c>
      <c r="BY135" s="115" t="e">
        <f t="shared" si="226"/>
        <v>#VALUE!</v>
      </c>
      <c r="BZ135" s="115" t="e">
        <f t="shared" si="226"/>
        <v>#VALUE!</v>
      </c>
      <c r="CA135" s="115" t="e">
        <f t="shared" si="226"/>
        <v>#VALUE!</v>
      </c>
      <c r="CB135" s="115" t="e">
        <f t="shared" si="226"/>
        <v>#VALUE!</v>
      </c>
      <c r="CC135" s="115" t="e">
        <f t="shared" si="226"/>
        <v>#VALUE!</v>
      </c>
      <c r="CD135" s="115" t="e">
        <f t="shared" si="226"/>
        <v>#VALUE!</v>
      </c>
      <c r="CE135" s="115" t="e">
        <f t="shared" si="226"/>
        <v>#VALUE!</v>
      </c>
      <c r="CF135" s="115" t="e">
        <f t="shared" si="226"/>
        <v>#VALUE!</v>
      </c>
      <c r="CG135" s="115" t="e">
        <f t="shared" si="226"/>
        <v>#VALUE!</v>
      </c>
      <c r="CH135" s="115" t="e">
        <f t="shared" si="227"/>
        <v>#VALUE!</v>
      </c>
      <c r="CI135" s="115" t="e">
        <f t="shared" si="227"/>
        <v>#VALUE!</v>
      </c>
      <c r="CJ135" s="115" t="e">
        <f t="shared" si="227"/>
        <v>#VALUE!</v>
      </c>
      <c r="CK135" s="115" t="e">
        <f t="shared" si="227"/>
        <v>#VALUE!</v>
      </c>
      <c r="CL135" s="115" t="e">
        <f t="shared" si="227"/>
        <v>#VALUE!</v>
      </c>
      <c r="CM135" s="115" t="e">
        <f t="shared" si="227"/>
        <v>#VALUE!</v>
      </c>
      <c r="CN135" s="115" t="e">
        <f t="shared" si="227"/>
        <v>#VALUE!</v>
      </c>
      <c r="CO135" s="115" t="e">
        <f t="shared" si="227"/>
        <v>#VALUE!</v>
      </c>
      <c r="CP135" s="115" t="e">
        <f t="shared" si="227"/>
        <v>#VALUE!</v>
      </c>
      <c r="CQ135" s="115" t="e">
        <f t="shared" si="227"/>
        <v>#VALUE!</v>
      </c>
      <c r="CR135" s="115" t="e">
        <f t="shared" si="228"/>
        <v>#VALUE!</v>
      </c>
      <c r="CS135" s="115" t="e">
        <f t="shared" si="228"/>
        <v>#VALUE!</v>
      </c>
      <c r="CT135" s="115" t="e">
        <f t="shared" si="228"/>
        <v>#VALUE!</v>
      </c>
      <c r="CU135" s="115" t="e">
        <f t="shared" si="228"/>
        <v>#VALUE!</v>
      </c>
      <c r="CV135" s="115" t="e">
        <f t="shared" si="228"/>
        <v>#VALUE!</v>
      </c>
      <c r="CW135" s="115" t="e">
        <f t="shared" si="228"/>
        <v>#VALUE!</v>
      </c>
      <c r="CX135" s="115" t="e">
        <f t="shared" si="228"/>
        <v>#VALUE!</v>
      </c>
      <c r="CY135" s="115" t="e">
        <f t="shared" si="228"/>
        <v>#VALUE!</v>
      </c>
      <c r="CZ135" s="115" t="e">
        <f t="shared" si="228"/>
        <v>#VALUE!</v>
      </c>
      <c r="DA135" s="115" t="e">
        <f t="shared" si="228"/>
        <v>#VALUE!</v>
      </c>
      <c r="DB135" s="115" t="e">
        <f t="shared" si="229"/>
        <v>#VALUE!</v>
      </c>
      <c r="DC135" s="115" t="e">
        <f t="shared" si="229"/>
        <v>#VALUE!</v>
      </c>
      <c r="DD135" s="115" t="e">
        <f t="shared" si="229"/>
        <v>#VALUE!</v>
      </c>
      <c r="DE135" s="115" t="e">
        <f t="shared" si="229"/>
        <v>#VALUE!</v>
      </c>
      <c r="DF135" s="115" t="e">
        <f t="shared" si="229"/>
        <v>#VALUE!</v>
      </c>
      <c r="DG135" s="115" t="e">
        <f t="shared" si="229"/>
        <v>#VALUE!</v>
      </c>
      <c r="DH135" s="115" t="e">
        <f t="shared" si="229"/>
        <v>#VALUE!</v>
      </c>
      <c r="DI135" s="115" t="e">
        <f t="shared" si="229"/>
        <v>#VALUE!</v>
      </c>
      <c r="DJ135" s="115" t="e">
        <f t="shared" si="229"/>
        <v>#VALUE!</v>
      </c>
      <c r="DK135" s="115" t="e">
        <f t="shared" si="229"/>
        <v>#VALUE!</v>
      </c>
      <c r="DL135" s="115" t="e">
        <f t="shared" si="229"/>
        <v>#VALUE!</v>
      </c>
      <c r="DM135" s="115" t="e">
        <f t="shared" si="229"/>
        <v>#VALUE!</v>
      </c>
    </row>
    <row r="136" spans="1:117" ht="15" customHeight="1" thickBot="1">
      <c r="A136" s="293">
        <v>13900</v>
      </c>
      <c r="B136" s="172" t="s">
        <v>743</v>
      </c>
      <c r="C136" s="172" t="s">
        <v>891</v>
      </c>
      <c r="D136" s="172" t="s">
        <v>259</v>
      </c>
      <c r="E136" s="172"/>
      <c r="F136" s="172"/>
      <c r="G136" s="172"/>
      <c r="H136" s="172"/>
      <c r="I136" s="172"/>
      <c r="J136" s="373"/>
      <c r="K136" s="386"/>
      <c r="L136" s="172"/>
      <c r="M136" s="293"/>
      <c r="N136" s="293"/>
      <c r="O136" s="376" t="e">
        <f>SUM(O137:O141)</f>
        <v>#VALUE!</v>
      </c>
      <c r="P136" s="383" t="s">
        <v>103</v>
      </c>
      <c r="Q136" s="116"/>
      <c r="R136" s="116"/>
      <c r="S136" s="116"/>
      <c r="T136" s="116"/>
      <c r="U136" s="116"/>
      <c r="V136" s="116"/>
      <c r="W136" s="116"/>
      <c r="X136" s="116"/>
      <c r="Y136" s="116"/>
      <c r="Z136" s="116"/>
      <c r="AA136" s="116"/>
      <c r="AB136" s="116"/>
      <c r="AC136" s="116"/>
      <c r="AD136" s="116"/>
      <c r="AE136" s="116"/>
      <c r="AF136" s="116"/>
      <c r="AG136" s="116"/>
      <c r="AH136" s="116"/>
      <c r="AI136" s="116"/>
      <c r="AJ136" s="116"/>
      <c r="AK136" s="116"/>
      <c r="AL136" s="116"/>
      <c r="AM136" s="116"/>
      <c r="AN136" s="116"/>
      <c r="AO136" s="116"/>
      <c r="AP136" s="116"/>
      <c r="AQ136" s="116"/>
      <c r="AR136" s="116"/>
      <c r="AS136" s="116"/>
      <c r="AT136" s="116"/>
      <c r="AU136" s="116"/>
      <c r="AV136" s="116"/>
      <c r="AW136" s="116"/>
      <c r="AX136" s="116"/>
      <c r="AY136" s="116"/>
      <c r="AZ136" s="116"/>
      <c r="BA136" s="116"/>
      <c r="BB136" s="116"/>
      <c r="BC136" s="116"/>
      <c r="BD136" s="116"/>
      <c r="BE136" s="116"/>
      <c r="BF136" s="116"/>
      <c r="BG136" s="116"/>
      <c r="BH136" s="116"/>
      <c r="BI136" s="116"/>
      <c r="BJ136" s="116"/>
      <c r="BK136" s="116"/>
      <c r="BL136" s="116"/>
      <c r="BM136" s="116"/>
      <c r="BN136" s="116"/>
      <c r="BO136" s="116"/>
      <c r="BP136" s="116"/>
      <c r="BQ136" s="116"/>
      <c r="BR136" s="116"/>
      <c r="BS136" s="116"/>
      <c r="BT136" s="116"/>
      <c r="BU136" s="116"/>
      <c r="BV136" s="116"/>
      <c r="BW136" s="116"/>
      <c r="BX136" s="116"/>
      <c r="BY136" s="116"/>
      <c r="BZ136" s="116"/>
      <c r="CA136" s="116"/>
      <c r="CB136" s="116"/>
      <c r="CC136" s="116"/>
      <c r="CD136" s="116"/>
      <c r="CE136" s="116"/>
      <c r="CF136" s="116"/>
      <c r="CG136" s="116"/>
      <c r="CH136" s="116"/>
      <c r="CI136" s="116"/>
      <c r="CJ136" s="116"/>
      <c r="CK136" s="116"/>
      <c r="CL136" s="116"/>
      <c r="CM136" s="116"/>
      <c r="CN136" s="116"/>
      <c r="CO136" s="116"/>
      <c r="CP136" s="116"/>
      <c r="CQ136" s="116"/>
      <c r="CR136" s="116"/>
      <c r="CS136" s="116"/>
      <c r="CT136" s="116"/>
      <c r="CU136" s="116"/>
      <c r="CV136" s="116"/>
      <c r="CW136" s="116"/>
      <c r="CX136" s="116"/>
      <c r="CY136" s="116"/>
      <c r="CZ136" s="116"/>
      <c r="DA136" s="116"/>
      <c r="DB136" s="116"/>
      <c r="DC136" s="116"/>
      <c r="DD136" s="116"/>
      <c r="DE136" s="116"/>
      <c r="DF136" s="116"/>
      <c r="DG136" s="116"/>
      <c r="DH136" s="116"/>
      <c r="DI136" s="116"/>
      <c r="DJ136" s="116"/>
      <c r="DK136" s="116"/>
      <c r="DL136" s="116"/>
      <c r="DM136" s="116"/>
    </row>
    <row r="137" spans="1:117" ht="15" customHeight="1" thickBot="1">
      <c r="A137" s="55">
        <v>14000</v>
      </c>
      <c r="B137" s="194" t="s">
        <v>728</v>
      </c>
      <c r="C137" s="194" t="s">
        <v>892</v>
      </c>
      <c r="D137" s="194" t="s">
        <v>257</v>
      </c>
      <c r="E137" s="194" t="s">
        <v>258</v>
      </c>
      <c r="F137" s="194" t="s">
        <v>1106</v>
      </c>
      <c r="G137" s="291" t="e">
        <f t="shared" ref="G137:G142" si="230">IF(I137="",H137,I137)</f>
        <v>#VALUE!</v>
      </c>
      <c r="H137" s="292" t="e">
        <f>VLOOKUP("E3.E.01",Errichtungskosten,12,0) *VLOOKUP("PFAKT",Instandsetzung,5,0)</f>
        <v>#VALUE!</v>
      </c>
      <c r="I137" s="168"/>
      <c r="J137" s="194" t="s">
        <v>850</v>
      </c>
      <c r="K137" s="385">
        <f t="shared" ref="K137:K142" si="231">IF(ISNUMBER(VLOOKUP(E137,Nutzungsdauern,5,0)),VLOOKUP(E137,Nutzungsdauern,5,0),1000)</f>
        <v>25</v>
      </c>
      <c r="L137" s="379" t="s">
        <v>358</v>
      </c>
      <c r="M137" s="325">
        <f t="shared" ref="M137:M142" si="232">VLOOKUP(L137,Finanzielle_Parameter,5,0)</f>
        <v>1.35</v>
      </c>
      <c r="N137" s="380">
        <f t="shared" ref="N137:N142" si="233">(1+VLOOKUP(L137,Finanzielle_Parameter,5,0)/100)/(1+VLOOKUP("R",Finanzielle_Parameter,5,0)/100)</f>
        <v>0.99655850540806312</v>
      </c>
      <c r="O137" s="381" t="e">
        <f t="shared" ref="O137:Y142" si="234">IF($N137&lt;&gt;1,$G137*($N137^$K137)*(($N137^($K137*INT(O$2/$K137))-1)/($N137^$K137-1)),$G137*INT(O$2/$K137))</f>
        <v>#VALUE!</v>
      </c>
      <c r="P137" s="169" t="s">
        <v>103</v>
      </c>
      <c r="Q137" s="114" t="e">
        <f t="shared" si="234"/>
        <v>#VALUE!</v>
      </c>
      <c r="R137" s="115" t="e">
        <f t="shared" si="234"/>
        <v>#VALUE!</v>
      </c>
      <c r="S137" s="115" t="e">
        <f t="shared" si="234"/>
        <v>#VALUE!</v>
      </c>
      <c r="T137" s="115" t="e">
        <f t="shared" si="234"/>
        <v>#VALUE!</v>
      </c>
      <c r="U137" s="115" t="e">
        <f t="shared" si="234"/>
        <v>#VALUE!</v>
      </c>
      <c r="V137" s="115" t="e">
        <f t="shared" si="234"/>
        <v>#VALUE!</v>
      </c>
      <c r="W137" s="115" t="e">
        <f t="shared" si="234"/>
        <v>#VALUE!</v>
      </c>
      <c r="X137" s="115" t="e">
        <f t="shared" si="234"/>
        <v>#VALUE!</v>
      </c>
      <c r="Y137" s="115" t="e">
        <f t="shared" si="234"/>
        <v>#VALUE!</v>
      </c>
      <c r="Z137" s="115" t="e">
        <f t="shared" ref="Z137:AI142" si="235">IF($N137&lt;&gt;1,$G137*($N137^$K137)*(($N137^($K137*INT(Z$2/$K137))-1)/($N137^$K137-1)),$G137*INT(Z$2/$K137))</f>
        <v>#VALUE!</v>
      </c>
      <c r="AA137" s="115" t="e">
        <f t="shared" si="235"/>
        <v>#VALUE!</v>
      </c>
      <c r="AB137" s="115" t="e">
        <f t="shared" si="235"/>
        <v>#VALUE!</v>
      </c>
      <c r="AC137" s="115" t="e">
        <f t="shared" si="235"/>
        <v>#VALUE!</v>
      </c>
      <c r="AD137" s="115" t="e">
        <f t="shared" si="235"/>
        <v>#VALUE!</v>
      </c>
      <c r="AE137" s="115" t="e">
        <f t="shared" si="235"/>
        <v>#VALUE!</v>
      </c>
      <c r="AF137" s="115" t="e">
        <f t="shared" si="235"/>
        <v>#VALUE!</v>
      </c>
      <c r="AG137" s="115" t="e">
        <f t="shared" si="235"/>
        <v>#VALUE!</v>
      </c>
      <c r="AH137" s="115" t="e">
        <f t="shared" si="235"/>
        <v>#VALUE!</v>
      </c>
      <c r="AI137" s="115" t="e">
        <f t="shared" si="235"/>
        <v>#VALUE!</v>
      </c>
      <c r="AJ137" s="115" t="e">
        <f t="shared" ref="AJ137:AS142" si="236">IF($N137&lt;&gt;1,$G137*($N137^$K137)*(($N137^($K137*INT(AJ$2/$K137))-1)/($N137^$K137-1)),$G137*INT(AJ$2/$K137))</f>
        <v>#VALUE!</v>
      </c>
      <c r="AK137" s="115" t="e">
        <f t="shared" si="236"/>
        <v>#VALUE!</v>
      </c>
      <c r="AL137" s="115" t="e">
        <f t="shared" si="236"/>
        <v>#VALUE!</v>
      </c>
      <c r="AM137" s="115" t="e">
        <f t="shared" si="236"/>
        <v>#VALUE!</v>
      </c>
      <c r="AN137" s="115" t="e">
        <f t="shared" si="236"/>
        <v>#VALUE!</v>
      </c>
      <c r="AO137" s="115" t="e">
        <f t="shared" si="236"/>
        <v>#VALUE!</v>
      </c>
      <c r="AP137" s="115" t="e">
        <f t="shared" si="236"/>
        <v>#VALUE!</v>
      </c>
      <c r="AQ137" s="115" t="e">
        <f t="shared" si="236"/>
        <v>#VALUE!</v>
      </c>
      <c r="AR137" s="115" t="e">
        <f t="shared" si="236"/>
        <v>#VALUE!</v>
      </c>
      <c r="AS137" s="115" t="e">
        <f t="shared" si="236"/>
        <v>#VALUE!</v>
      </c>
      <c r="AT137" s="115" t="e">
        <f t="shared" ref="AT137:BC142" si="237">IF($N137&lt;&gt;1,$G137*($N137^$K137)*(($N137^($K137*INT(AT$2/$K137))-1)/($N137^$K137-1)),$G137*INT(AT$2/$K137))</f>
        <v>#VALUE!</v>
      </c>
      <c r="AU137" s="115" t="e">
        <f t="shared" si="237"/>
        <v>#VALUE!</v>
      </c>
      <c r="AV137" s="115" t="e">
        <f t="shared" si="237"/>
        <v>#VALUE!</v>
      </c>
      <c r="AW137" s="115" t="e">
        <f t="shared" si="237"/>
        <v>#VALUE!</v>
      </c>
      <c r="AX137" s="115" t="e">
        <f t="shared" si="237"/>
        <v>#VALUE!</v>
      </c>
      <c r="AY137" s="115" t="e">
        <f t="shared" si="237"/>
        <v>#VALUE!</v>
      </c>
      <c r="AZ137" s="115" t="e">
        <f t="shared" si="237"/>
        <v>#VALUE!</v>
      </c>
      <c r="BA137" s="115" t="e">
        <f t="shared" si="237"/>
        <v>#VALUE!</v>
      </c>
      <c r="BB137" s="115" t="e">
        <f t="shared" si="237"/>
        <v>#VALUE!</v>
      </c>
      <c r="BC137" s="115" t="e">
        <f t="shared" si="237"/>
        <v>#VALUE!</v>
      </c>
      <c r="BD137" s="115" t="e">
        <f t="shared" ref="BD137:BM142" si="238">IF($N137&lt;&gt;1,$G137*($N137^$K137)*(($N137^($K137*INT(BD$2/$K137))-1)/($N137^$K137-1)),$G137*INT(BD$2/$K137))</f>
        <v>#VALUE!</v>
      </c>
      <c r="BE137" s="115" t="e">
        <f t="shared" si="238"/>
        <v>#VALUE!</v>
      </c>
      <c r="BF137" s="115" t="e">
        <f t="shared" si="238"/>
        <v>#VALUE!</v>
      </c>
      <c r="BG137" s="115" t="e">
        <f t="shared" si="238"/>
        <v>#VALUE!</v>
      </c>
      <c r="BH137" s="115" t="e">
        <f t="shared" si="238"/>
        <v>#VALUE!</v>
      </c>
      <c r="BI137" s="115" t="e">
        <f t="shared" si="238"/>
        <v>#VALUE!</v>
      </c>
      <c r="BJ137" s="115" t="e">
        <f t="shared" si="238"/>
        <v>#VALUE!</v>
      </c>
      <c r="BK137" s="115" t="e">
        <f t="shared" si="238"/>
        <v>#VALUE!</v>
      </c>
      <c r="BL137" s="115" t="e">
        <f t="shared" si="238"/>
        <v>#VALUE!</v>
      </c>
      <c r="BM137" s="115" t="e">
        <f t="shared" si="238"/>
        <v>#VALUE!</v>
      </c>
      <c r="BN137" s="115" t="e">
        <f t="shared" ref="BN137:BW142" si="239">IF($N137&lt;&gt;1,$G137*($N137^$K137)*(($N137^($K137*INT(BN$2/$K137))-1)/($N137^$K137-1)),$G137*INT(BN$2/$K137))</f>
        <v>#VALUE!</v>
      </c>
      <c r="BO137" s="115" t="e">
        <f t="shared" si="239"/>
        <v>#VALUE!</v>
      </c>
      <c r="BP137" s="115" t="e">
        <f t="shared" si="239"/>
        <v>#VALUE!</v>
      </c>
      <c r="BQ137" s="115" t="e">
        <f t="shared" si="239"/>
        <v>#VALUE!</v>
      </c>
      <c r="BR137" s="115" t="e">
        <f t="shared" si="239"/>
        <v>#VALUE!</v>
      </c>
      <c r="BS137" s="115" t="e">
        <f t="shared" si="239"/>
        <v>#VALUE!</v>
      </c>
      <c r="BT137" s="115" t="e">
        <f t="shared" si="239"/>
        <v>#VALUE!</v>
      </c>
      <c r="BU137" s="115" t="e">
        <f t="shared" si="239"/>
        <v>#VALUE!</v>
      </c>
      <c r="BV137" s="115" t="e">
        <f t="shared" si="239"/>
        <v>#VALUE!</v>
      </c>
      <c r="BW137" s="115" t="e">
        <f t="shared" si="239"/>
        <v>#VALUE!</v>
      </c>
      <c r="BX137" s="115" t="e">
        <f t="shared" ref="BX137:CG142" si="240">IF($N137&lt;&gt;1,$G137*($N137^$K137)*(($N137^($K137*INT(BX$2/$K137))-1)/($N137^$K137-1)),$G137*INT(BX$2/$K137))</f>
        <v>#VALUE!</v>
      </c>
      <c r="BY137" s="115" t="e">
        <f t="shared" si="240"/>
        <v>#VALUE!</v>
      </c>
      <c r="BZ137" s="115" t="e">
        <f t="shared" si="240"/>
        <v>#VALUE!</v>
      </c>
      <c r="CA137" s="115" t="e">
        <f t="shared" si="240"/>
        <v>#VALUE!</v>
      </c>
      <c r="CB137" s="115" t="e">
        <f t="shared" si="240"/>
        <v>#VALUE!</v>
      </c>
      <c r="CC137" s="115" t="e">
        <f t="shared" si="240"/>
        <v>#VALUE!</v>
      </c>
      <c r="CD137" s="115" t="e">
        <f t="shared" si="240"/>
        <v>#VALUE!</v>
      </c>
      <c r="CE137" s="115" t="e">
        <f t="shared" si="240"/>
        <v>#VALUE!</v>
      </c>
      <c r="CF137" s="115" t="e">
        <f t="shared" si="240"/>
        <v>#VALUE!</v>
      </c>
      <c r="CG137" s="115" t="e">
        <f t="shared" si="240"/>
        <v>#VALUE!</v>
      </c>
      <c r="CH137" s="115" t="e">
        <f t="shared" ref="CH137:CQ142" si="241">IF($N137&lt;&gt;1,$G137*($N137^$K137)*(($N137^($K137*INT(CH$2/$K137))-1)/($N137^$K137-1)),$G137*INT(CH$2/$K137))</f>
        <v>#VALUE!</v>
      </c>
      <c r="CI137" s="115" t="e">
        <f t="shared" si="241"/>
        <v>#VALUE!</v>
      </c>
      <c r="CJ137" s="115" t="e">
        <f t="shared" si="241"/>
        <v>#VALUE!</v>
      </c>
      <c r="CK137" s="115" t="e">
        <f t="shared" si="241"/>
        <v>#VALUE!</v>
      </c>
      <c r="CL137" s="115" t="e">
        <f t="shared" si="241"/>
        <v>#VALUE!</v>
      </c>
      <c r="CM137" s="115" t="e">
        <f t="shared" si="241"/>
        <v>#VALUE!</v>
      </c>
      <c r="CN137" s="115" t="e">
        <f t="shared" si="241"/>
        <v>#VALUE!</v>
      </c>
      <c r="CO137" s="115" t="e">
        <f t="shared" si="241"/>
        <v>#VALUE!</v>
      </c>
      <c r="CP137" s="115" t="e">
        <f t="shared" si="241"/>
        <v>#VALUE!</v>
      </c>
      <c r="CQ137" s="115" t="e">
        <f t="shared" si="241"/>
        <v>#VALUE!</v>
      </c>
      <c r="CR137" s="115" t="e">
        <f t="shared" ref="CR137:DA142" si="242">IF($N137&lt;&gt;1,$G137*($N137^$K137)*(($N137^($K137*INT(CR$2/$K137))-1)/($N137^$K137-1)),$G137*INT(CR$2/$K137))</f>
        <v>#VALUE!</v>
      </c>
      <c r="CS137" s="115" t="e">
        <f t="shared" si="242"/>
        <v>#VALUE!</v>
      </c>
      <c r="CT137" s="115" t="e">
        <f t="shared" si="242"/>
        <v>#VALUE!</v>
      </c>
      <c r="CU137" s="115" t="e">
        <f t="shared" si="242"/>
        <v>#VALUE!</v>
      </c>
      <c r="CV137" s="115" t="e">
        <f t="shared" si="242"/>
        <v>#VALUE!</v>
      </c>
      <c r="CW137" s="115" t="e">
        <f t="shared" si="242"/>
        <v>#VALUE!</v>
      </c>
      <c r="CX137" s="115" t="e">
        <f t="shared" si="242"/>
        <v>#VALUE!</v>
      </c>
      <c r="CY137" s="115" t="e">
        <f t="shared" si="242"/>
        <v>#VALUE!</v>
      </c>
      <c r="CZ137" s="115" t="e">
        <f t="shared" si="242"/>
        <v>#VALUE!</v>
      </c>
      <c r="DA137" s="115" t="e">
        <f t="shared" si="242"/>
        <v>#VALUE!</v>
      </c>
      <c r="DB137" s="115" t="e">
        <f t="shared" ref="DB137:DM142" si="243">IF($N137&lt;&gt;1,$G137*($N137^$K137)*(($N137^($K137*INT(DB$2/$K137))-1)/($N137^$K137-1)),$G137*INT(DB$2/$K137))</f>
        <v>#VALUE!</v>
      </c>
      <c r="DC137" s="115" t="e">
        <f t="shared" si="243"/>
        <v>#VALUE!</v>
      </c>
      <c r="DD137" s="115" t="e">
        <f t="shared" si="243"/>
        <v>#VALUE!</v>
      </c>
      <c r="DE137" s="115" t="e">
        <f t="shared" si="243"/>
        <v>#VALUE!</v>
      </c>
      <c r="DF137" s="115" t="e">
        <f t="shared" si="243"/>
        <v>#VALUE!</v>
      </c>
      <c r="DG137" s="115" t="e">
        <f t="shared" si="243"/>
        <v>#VALUE!</v>
      </c>
      <c r="DH137" s="115" t="e">
        <f t="shared" si="243"/>
        <v>#VALUE!</v>
      </c>
      <c r="DI137" s="115" t="e">
        <f t="shared" si="243"/>
        <v>#VALUE!</v>
      </c>
      <c r="DJ137" s="115" t="e">
        <f t="shared" si="243"/>
        <v>#VALUE!</v>
      </c>
      <c r="DK137" s="115" t="e">
        <f t="shared" si="243"/>
        <v>#VALUE!</v>
      </c>
      <c r="DL137" s="115" t="e">
        <f t="shared" si="243"/>
        <v>#VALUE!</v>
      </c>
      <c r="DM137" s="115" t="e">
        <f t="shared" si="243"/>
        <v>#VALUE!</v>
      </c>
    </row>
    <row r="138" spans="1:117" ht="15" customHeight="1" thickBot="1">
      <c r="A138" s="55">
        <v>14100</v>
      </c>
      <c r="B138" s="194" t="s">
        <v>728</v>
      </c>
      <c r="C138" s="194" t="s">
        <v>893</v>
      </c>
      <c r="D138" s="194" t="s">
        <v>255</v>
      </c>
      <c r="E138" s="194" t="s">
        <v>256</v>
      </c>
      <c r="F138" s="194" t="s">
        <v>1107</v>
      </c>
      <c r="G138" s="291" t="e">
        <f t="shared" si="230"/>
        <v>#VALUE!</v>
      </c>
      <c r="H138" s="292" t="e">
        <f>VLOOKUP("E3.E.02",Errichtungskosten,12,0) *VLOOKUP("PFAKT",Instandsetzung,5,0)</f>
        <v>#VALUE!</v>
      </c>
      <c r="I138" s="168"/>
      <c r="J138" s="194" t="s">
        <v>850</v>
      </c>
      <c r="K138" s="385">
        <f t="shared" si="231"/>
        <v>30</v>
      </c>
      <c r="L138" s="379" t="s">
        <v>358</v>
      </c>
      <c r="M138" s="325">
        <f t="shared" si="232"/>
        <v>1.35</v>
      </c>
      <c r="N138" s="380">
        <f t="shared" si="233"/>
        <v>0.99655850540806312</v>
      </c>
      <c r="O138" s="381" t="e">
        <f t="shared" si="234"/>
        <v>#VALUE!</v>
      </c>
      <c r="P138" s="169" t="s">
        <v>103</v>
      </c>
      <c r="Q138" s="114" t="e">
        <f t="shared" si="234"/>
        <v>#VALUE!</v>
      </c>
      <c r="R138" s="115" t="e">
        <f t="shared" si="234"/>
        <v>#VALUE!</v>
      </c>
      <c r="S138" s="115" t="e">
        <f t="shared" si="234"/>
        <v>#VALUE!</v>
      </c>
      <c r="T138" s="115" t="e">
        <f t="shared" si="234"/>
        <v>#VALUE!</v>
      </c>
      <c r="U138" s="115" t="e">
        <f t="shared" si="234"/>
        <v>#VALUE!</v>
      </c>
      <c r="V138" s="115" t="e">
        <f t="shared" si="234"/>
        <v>#VALUE!</v>
      </c>
      <c r="W138" s="115" t="e">
        <f t="shared" si="234"/>
        <v>#VALUE!</v>
      </c>
      <c r="X138" s="115" t="e">
        <f t="shared" si="234"/>
        <v>#VALUE!</v>
      </c>
      <c r="Y138" s="115" t="e">
        <f t="shared" si="234"/>
        <v>#VALUE!</v>
      </c>
      <c r="Z138" s="115" t="e">
        <f t="shared" si="235"/>
        <v>#VALUE!</v>
      </c>
      <c r="AA138" s="115" t="e">
        <f t="shared" si="235"/>
        <v>#VALUE!</v>
      </c>
      <c r="AB138" s="115" t="e">
        <f t="shared" si="235"/>
        <v>#VALUE!</v>
      </c>
      <c r="AC138" s="115" t="e">
        <f t="shared" si="235"/>
        <v>#VALUE!</v>
      </c>
      <c r="AD138" s="115" t="e">
        <f t="shared" si="235"/>
        <v>#VALUE!</v>
      </c>
      <c r="AE138" s="115" t="e">
        <f t="shared" si="235"/>
        <v>#VALUE!</v>
      </c>
      <c r="AF138" s="115" t="e">
        <f t="shared" si="235"/>
        <v>#VALUE!</v>
      </c>
      <c r="AG138" s="115" t="e">
        <f t="shared" si="235"/>
        <v>#VALUE!</v>
      </c>
      <c r="AH138" s="115" t="e">
        <f t="shared" si="235"/>
        <v>#VALUE!</v>
      </c>
      <c r="AI138" s="115" t="e">
        <f t="shared" si="235"/>
        <v>#VALUE!</v>
      </c>
      <c r="AJ138" s="115" t="e">
        <f t="shared" si="236"/>
        <v>#VALUE!</v>
      </c>
      <c r="AK138" s="115" t="e">
        <f t="shared" si="236"/>
        <v>#VALUE!</v>
      </c>
      <c r="AL138" s="115" t="e">
        <f t="shared" si="236"/>
        <v>#VALUE!</v>
      </c>
      <c r="AM138" s="115" t="e">
        <f t="shared" si="236"/>
        <v>#VALUE!</v>
      </c>
      <c r="AN138" s="115" t="e">
        <f t="shared" si="236"/>
        <v>#VALUE!</v>
      </c>
      <c r="AO138" s="115" t="e">
        <f t="shared" si="236"/>
        <v>#VALUE!</v>
      </c>
      <c r="AP138" s="115" t="e">
        <f t="shared" si="236"/>
        <v>#VALUE!</v>
      </c>
      <c r="AQ138" s="115" t="e">
        <f t="shared" si="236"/>
        <v>#VALUE!</v>
      </c>
      <c r="AR138" s="115" t="e">
        <f t="shared" si="236"/>
        <v>#VALUE!</v>
      </c>
      <c r="AS138" s="115" t="e">
        <f t="shared" si="236"/>
        <v>#VALUE!</v>
      </c>
      <c r="AT138" s="115" t="e">
        <f t="shared" si="237"/>
        <v>#VALUE!</v>
      </c>
      <c r="AU138" s="115" t="e">
        <f t="shared" si="237"/>
        <v>#VALUE!</v>
      </c>
      <c r="AV138" s="115" t="e">
        <f t="shared" si="237"/>
        <v>#VALUE!</v>
      </c>
      <c r="AW138" s="115" t="e">
        <f t="shared" si="237"/>
        <v>#VALUE!</v>
      </c>
      <c r="AX138" s="115" t="e">
        <f t="shared" si="237"/>
        <v>#VALUE!</v>
      </c>
      <c r="AY138" s="115" t="e">
        <f t="shared" si="237"/>
        <v>#VALUE!</v>
      </c>
      <c r="AZ138" s="115" t="e">
        <f t="shared" si="237"/>
        <v>#VALUE!</v>
      </c>
      <c r="BA138" s="115" t="e">
        <f t="shared" si="237"/>
        <v>#VALUE!</v>
      </c>
      <c r="BB138" s="115" t="e">
        <f t="shared" si="237"/>
        <v>#VALUE!</v>
      </c>
      <c r="BC138" s="115" t="e">
        <f t="shared" si="237"/>
        <v>#VALUE!</v>
      </c>
      <c r="BD138" s="115" t="e">
        <f t="shared" si="238"/>
        <v>#VALUE!</v>
      </c>
      <c r="BE138" s="115" t="e">
        <f t="shared" si="238"/>
        <v>#VALUE!</v>
      </c>
      <c r="BF138" s="115" t="e">
        <f t="shared" si="238"/>
        <v>#VALUE!</v>
      </c>
      <c r="BG138" s="115" t="e">
        <f t="shared" si="238"/>
        <v>#VALUE!</v>
      </c>
      <c r="BH138" s="115" t="e">
        <f t="shared" si="238"/>
        <v>#VALUE!</v>
      </c>
      <c r="BI138" s="115" t="e">
        <f t="shared" si="238"/>
        <v>#VALUE!</v>
      </c>
      <c r="BJ138" s="115" t="e">
        <f t="shared" si="238"/>
        <v>#VALUE!</v>
      </c>
      <c r="BK138" s="115" t="e">
        <f t="shared" si="238"/>
        <v>#VALUE!</v>
      </c>
      <c r="BL138" s="115" t="e">
        <f t="shared" si="238"/>
        <v>#VALUE!</v>
      </c>
      <c r="BM138" s="115" t="e">
        <f t="shared" si="238"/>
        <v>#VALUE!</v>
      </c>
      <c r="BN138" s="115" t="e">
        <f t="shared" si="239"/>
        <v>#VALUE!</v>
      </c>
      <c r="BO138" s="115" t="e">
        <f t="shared" si="239"/>
        <v>#VALUE!</v>
      </c>
      <c r="BP138" s="115" t="e">
        <f t="shared" si="239"/>
        <v>#VALUE!</v>
      </c>
      <c r="BQ138" s="115" t="e">
        <f t="shared" si="239"/>
        <v>#VALUE!</v>
      </c>
      <c r="BR138" s="115" t="e">
        <f t="shared" si="239"/>
        <v>#VALUE!</v>
      </c>
      <c r="BS138" s="115" t="e">
        <f t="shared" si="239"/>
        <v>#VALUE!</v>
      </c>
      <c r="BT138" s="115" t="e">
        <f t="shared" si="239"/>
        <v>#VALUE!</v>
      </c>
      <c r="BU138" s="115" t="e">
        <f t="shared" si="239"/>
        <v>#VALUE!</v>
      </c>
      <c r="BV138" s="115" t="e">
        <f t="shared" si="239"/>
        <v>#VALUE!</v>
      </c>
      <c r="BW138" s="115" t="e">
        <f t="shared" si="239"/>
        <v>#VALUE!</v>
      </c>
      <c r="BX138" s="115" t="e">
        <f t="shared" si="240"/>
        <v>#VALUE!</v>
      </c>
      <c r="BY138" s="115" t="e">
        <f t="shared" si="240"/>
        <v>#VALUE!</v>
      </c>
      <c r="BZ138" s="115" t="e">
        <f t="shared" si="240"/>
        <v>#VALUE!</v>
      </c>
      <c r="CA138" s="115" t="e">
        <f t="shared" si="240"/>
        <v>#VALUE!</v>
      </c>
      <c r="CB138" s="115" t="e">
        <f t="shared" si="240"/>
        <v>#VALUE!</v>
      </c>
      <c r="CC138" s="115" t="e">
        <f t="shared" si="240"/>
        <v>#VALUE!</v>
      </c>
      <c r="CD138" s="115" t="e">
        <f t="shared" si="240"/>
        <v>#VALUE!</v>
      </c>
      <c r="CE138" s="115" t="e">
        <f t="shared" si="240"/>
        <v>#VALUE!</v>
      </c>
      <c r="CF138" s="115" t="e">
        <f t="shared" si="240"/>
        <v>#VALUE!</v>
      </c>
      <c r="CG138" s="115" t="e">
        <f t="shared" si="240"/>
        <v>#VALUE!</v>
      </c>
      <c r="CH138" s="115" t="e">
        <f t="shared" si="241"/>
        <v>#VALUE!</v>
      </c>
      <c r="CI138" s="115" t="e">
        <f t="shared" si="241"/>
        <v>#VALUE!</v>
      </c>
      <c r="CJ138" s="115" t="e">
        <f t="shared" si="241"/>
        <v>#VALUE!</v>
      </c>
      <c r="CK138" s="115" t="e">
        <f t="shared" si="241"/>
        <v>#VALUE!</v>
      </c>
      <c r="CL138" s="115" t="e">
        <f t="shared" si="241"/>
        <v>#VALUE!</v>
      </c>
      <c r="CM138" s="115" t="e">
        <f t="shared" si="241"/>
        <v>#VALUE!</v>
      </c>
      <c r="CN138" s="115" t="e">
        <f t="shared" si="241"/>
        <v>#VALUE!</v>
      </c>
      <c r="CO138" s="115" t="e">
        <f t="shared" si="241"/>
        <v>#VALUE!</v>
      </c>
      <c r="CP138" s="115" t="e">
        <f t="shared" si="241"/>
        <v>#VALUE!</v>
      </c>
      <c r="CQ138" s="115" t="e">
        <f t="shared" si="241"/>
        <v>#VALUE!</v>
      </c>
      <c r="CR138" s="115" t="e">
        <f t="shared" si="242"/>
        <v>#VALUE!</v>
      </c>
      <c r="CS138" s="115" t="e">
        <f t="shared" si="242"/>
        <v>#VALUE!</v>
      </c>
      <c r="CT138" s="115" t="e">
        <f t="shared" si="242"/>
        <v>#VALUE!</v>
      </c>
      <c r="CU138" s="115" t="e">
        <f t="shared" si="242"/>
        <v>#VALUE!</v>
      </c>
      <c r="CV138" s="115" t="e">
        <f t="shared" si="242"/>
        <v>#VALUE!</v>
      </c>
      <c r="CW138" s="115" t="e">
        <f t="shared" si="242"/>
        <v>#VALUE!</v>
      </c>
      <c r="CX138" s="115" t="e">
        <f t="shared" si="242"/>
        <v>#VALUE!</v>
      </c>
      <c r="CY138" s="115" t="e">
        <f t="shared" si="242"/>
        <v>#VALUE!</v>
      </c>
      <c r="CZ138" s="115" t="e">
        <f t="shared" si="242"/>
        <v>#VALUE!</v>
      </c>
      <c r="DA138" s="115" t="e">
        <f t="shared" si="242"/>
        <v>#VALUE!</v>
      </c>
      <c r="DB138" s="115" t="e">
        <f t="shared" si="243"/>
        <v>#VALUE!</v>
      </c>
      <c r="DC138" s="115" t="e">
        <f t="shared" si="243"/>
        <v>#VALUE!</v>
      </c>
      <c r="DD138" s="115" t="e">
        <f t="shared" si="243"/>
        <v>#VALUE!</v>
      </c>
      <c r="DE138" s="115" t="e">
        <f t="shared" si="243"/>
        <v>#VALUE!</v>
      </c>
      <c r="DF138" s="115" t="e">
        <f t="shared" si="243"/>
        <v>#VALUE!</v>
      </c>
      <c r="DG138" s="115" t="e">
        <f t="shared" si="243"/>
        <v>#VALUE!</v>
      </c>
      <c r="DH138" s="115" t="e">
        <f t="shared" si="243"/>
        <v>#VALUE!</v>
      </c>
      <c r="DI138" s="115" t="e">
        <f t="shared" si="243"/>
        <v>#VALUE!</v>
      </c>
      <c r="DJ138" s="115" t="e">
        <f t="shared" si="243"/>
        <v>#VALUE!</v>
      </c>
      <c r="DK138" s="115" t="e">
        <f t="shared" si="243"/>
        <v>#VALUE!</v>
      </c>
      <c r="DL138" s="115" t="e">
        <f t="shared" si="243"/>
        <v>#VALUE!</v>
      </c>
      <c r="DM138" s="115" t="e">
        <f t="shared" si="243"/>
        <v>#VALUE!</v>
      </c>
    </row>
    <row r="139" spans="1:117" ht="15" customHeight="1" thickBot="1">
      <c r="A139" s="55">
        <v>14200</v>
      </c>
      <c r="B139" s="194" t="s">
        <v>728</v>
      </c>
      <c r="C139" s="194" t="s">
        <v>894</v>
      </c>
      <c r="D139" s="194" t="s">
        <v>253</v>
      </c>
      <c r="E139" s="194" t="s">
        <v>254</v>
      </c>
      <c r="F139" s="194" t="s">
        <v>1108</v>
      </c>
      <c r="G139" s="291" t="e">
        <f t="shared" si="230"/>
        <v>#VALUE!</v>
      </c>
      <c r="H139" s="292" t="e">
        <f>VLOOKUP("E3.E.03",Errichtungskosten,12,0) *VLOOKUP("PFAKT",Instandsetzung,5,0)</f>
        <v>#VALUE!</v>
      </c>
      <c r="I139" s="168"/>
      <c r="J139" s="194" t="s">
        <v>850</v>
      </c>
      <c r="K139" s="385">
        <f t="shared" si="231"/>
        <v>20</v>
      </c>
      <c r="L139" s="379" t="s">
        <v>358</v>
      </c>
      <c r="M139" s="325">
        <f t="shared" si="232"/>
        <v>1.35</v>
      </c>
      <c r="N139" s="380">
        <f t="shared" si="233"/>
        <v>0.99655850540806312</v>
      </c>
      <c r="O139" s="381" t="e">
        <f t="shared" si="234"/>
        <v>#VALUE!</v>
      </c>
      <c r="P139" s="169" t="s">
        <v>103</v>
      </c>
      <c r="Q139" s="114" t="e">
        <f t="shared" si="234"/>
        <v>#VALUE!</v>
      </c>
      <c r="R139" s="115" t="e">
        <f t="shared" si="234"/>
        <v>#VALUE!</v>
      </c>
      <c r="S139" s="115" t="e">
        <f t="shared" si="234"/>
        <v>#VALUE!</v>
      </c>
      <c r="T139" s="115" t="e">
        <f t="shared" si="234"/>
        <v>#VALUE!</v>
      </c>
      <c r="U139" s="115" t="e">
        <f t="shared" si="234"/>
        <v>#VALUE!</v>
      </c>
      <c r="V139" s="115" t="e">
        <f t="shared" si="234"/>
        <v>#VALUE!</v>
      </c>
      <c r="W139" s="115" t="e">
        <f t="shared" si="234"/>
        <v>#VALUE!</v>
      </c>
      <c r="X139" s="115" t="e">
        <f t="shared" si="234"/>
        <v>#VALUE!</v>
      </c>
      <c r="Y139" s="115" t="e">
        <f t="shared" si="234"/>
        <v>#VALUE!</v>
      </c>
      <c r="Z139" s="115" t="e">
        <f t="shared" si="235"/>
        <v>#VALUE!</v>
      </c>
      <c r="AA139" s="115" t="e">
        <f t="shared" si="235"/>
        <v>#VALUE!</v>
      </c>
      <c r="AB139" s="115" t="e">
        <f t="shared" si="235"/>
        <v>#VALUE!</v>
      </c>
      <c r="AC139" s="115" t="e">
        <f t="shared" si="235"/>
        <v>#VALUE!</v>
      </c>
      <c r="AD139" s="115" t="e">
        <f t="shared" si="235"/>
        <v>#VALUE!</v>
      </c>
      <c r="AE139" s="115" t="e">
        <f t="shared" si="235"/>
        <v>#VALUE!</v>
      </c>
      <c r="AF139" s="115" t="e">
        <f t="shared" si="235"/>
        <v>#VALUE!</v>
      </c>
      <c r="AG139" s="115" t="e">
        <f t="shared" si="235"/>
        <v>#VALUE!</v>
      </c>
      <c r="AH139" s="115" t="e">
        <f t="shared" si="235"/>
        <v>#VALUE!</v>
      </c>
      <c r="AI139" s="115" t="e">
        <f t="shared" si="235"/>
        <v>#VALUE!</v>
      </c>
      <c r="AJ139" s="115" t="e">
        <f t="shared" si="236"/>
        <v>#VALUE!</v>
      </c>
      <c r="AK139" s="115" t="e">
        <f t="shared" si="236"/>
        <v>#VALUE!</v>
      </c>
      <c r="AL139" s="115" t="e">
        <f t="shared" si="236"/>
        <v>#VALUE!</v>
      </c>
      <c r="AM139" s="115" t="e">
        <f t="shared" si="236"/>
        <v>#VALUE!</v>
      </c>
      <c r="AN139" s="115" t="e">
        <f t="shared" si="236"/>
        <v>#VALUE!</v>
      </c>
      <c r="AO139" s="115" t="e">
        <f t="shared" si="236"/>
        <v>#VALUE!</v>
      </c>
      <c r="AP139" s="115" t="e">
        <f t="shared" si="236"/>
        <v>#VALUE!</v>
      </c>
      <c r="AQ139" s="115" t="e">
        <f t="shared" si="236"/>
        <v>#VALUE!</v>
      </c>
      <c r="AR139" s="115" t="e">
        <f t="shared" si="236"/>
        <v>#VALUE!</v>
      </c>
      <c r="AS139" s="115" t="e">
        <f t="shared" si="236"/>
        <v>#VALUE!</v>
      </c>
      <c r="AT139" s="115" t="e">
        <f t="shared" si="237"/>
        <v>#VALUE!</v>
      </c>
      <c r="AU139" s="115" t="e">
        <f t="shared" si="237"/>
        <v>#VALUE!</v>
      </c>
      <c r="AV139" s="115" t="e">
        <f t="shared" si="237"/>
        <v>#VALUE!</v>
      </c>
      <c r="AW139" s="115" t="e">
        <f t="shared" si="237"/>
        <v>#VALUE!</v>
      </c>
      <c r="AX139" s="115" t="e">
        <f t="shared" si="237"/>
        <v>#VALUE!</v>
      </c>
      <c r="AY139" s="115" t="e">
        <f t="shared" si="237"/>
        <v>#VALUE!</v>
      </c>
      <c r="AZ139" s="115" t="e">
        <f t="shared" si="237"/>
        <v>#VALUE!</v>
      </c>
      <c r="BA139" s="115" t="e">
        <f t="shared" si="237"/>
        <v>#VALUE!</v>
      </c>
      <c r="BB139" s="115" t="e">
        <f t="shared" si="237"/>
        <v>#VALUE!</v>
      </c>
      <c r="BC139" s="115" t="e">
        <f t="shared" si="237"/>
        <v>#VALUE!</v>
      </c>
      <c r="BD139" s="115" t="e">
        <f t="shared" si="238"/>
        <v>#VALUE!</v>
      </c>
      <c r="BE139" s="115" t="e">
        <f t="shared" si="238"/>
        <v>#VALUE!</v>
      </c>
      <c r="BF139" s="115" t="e">
        <f t="shared" si="238"/>
        <v>#VALUE!</v>
      </c>
      <c r="BG139" s="115" t="e">
        <f t="shared" si="238"/>
        <v>#VALUE!</v>
      </c>
      <c r="BH139" s="115" t="e">
        <f t="shared" si="238"/>
        <v>#VALUE!</v>
      </c>
      <c r="BI139" s="115" t="e">
        <f t="shared" si="238"/>
        <v>#VALUE!</v>
      </c>
      <c r="BJ139" s="115" t="e">
        <f t="shared" si="238"/>
        <v>#VALUE!</v>
      </c>
      <c r="BK139" s="115" t="e">
        <f t="shared" si="238"/>
        <v>#VALUE!</v>
      </c>
      <c r="BL139" s="115" t="e">
        <f t="shared" si="238"/>
        <v>#VALUE!</v>
      </c>
      <c r="BM139" s="115" t="e">
        <f t="shared" si="238"/>
        <v>#VALUE!</v>
      </c>
      <c r="BN139" s="115" t="e">
        <f t="shared" si="239"/>
        <v>#VALUE!</v>
      </c>
      <c r="BO139" s="115" t="e">
        <f t="shared" si="239"/>
        <v>#VALUE!</v>
      </c>
      <c r="BP139" s="115" t="e">
        <f t="shared" si="239"/>
        <v>#VALUE!</v>
      </c>
      <c r="BQ139" s="115" t="e">
        <f t="shared" si="239"/>
        <v>#VALUE!</v>
      </c>
      <c r="BR139" s="115" t="e">
        <f t="shared" si="239"/>
        <v>#VALUE!</v>
      </c>
      <c r="BS139" s="115" t="e">
        <f t="shared" si="239"/>
        <v>#VALUE!</v>
      </c>
      <c r="BT139" s="115" t="e">
        <f t="shared" si="239"/>
        <v>#VALUE!</v>
      </c>
      <c r="BU139" s="115" t="e">
        <f t="shared" si="239"/>
        <v>#VALUE!</v>
      </c>
      <c r="BV139" s="115" t="e">
        <f t="shared" si="239"/>
        <v>#VALUE!</v>
      </c>
      <c r="BW139" s="115" t="e">
        <f t="shared" si="239"/>
        <v>#VALUE!</v>
      </c>
      <c r="BX139" s="115" t="e">
        <f t="shared" si="240"/>
        <v>#VALUE!</v>
      </c>
      <c r="BY139" s="115" t="e">
        <f t="shared" si="240"/>
        <v>#VALUE!</v>
      </c>
      <c r="BZ139" s="115" t="e">
        <f t="shared" si="240"/>
        <v>#VALUE!</v>
      </c>
      <c r="CA139" s="115" t="e">
        <f t="shared" si="240"/>
        <v>#VALUE!</v>
      </c>
      <c r="CB139" s="115" t="e">
        <f t="shared" si="240"/>
        <v>#VALUE!</v>
      </c>
      <c r="CC139" s="115" t="e">
        <f t="shared" si="240"/>
        <v>#VALUE!</v>
      </c>
      <c r="CD139" s="115" t="e">
        <f t="shared" si="240"/>
        <v>#VALUE!</v>
      </c>
      <c r="CE139" s="115" t="e">
        <f t="shared" si="240"/>
        <v>#VALUE!</v>
      </c>
      <c r="CF139" s="115" t="e">
        <f t="shared" si="240"/>
        <v>#VALUE!</v>
      </c>
      <c r="CG139" s="115" t="e">
        <f t="shared" si="240"/>
        <v>#VALUE!</v>
      </c>
      <c r="CH139" s="115" t="e">
        <f t="shared" si="241"/>
        <v>#VALUE!</v>
      </c>
      <c r="CI139" s="115" t="e">
        <f t="shared" si="241"/>
        <v>#VALUE!</v>
      </c>
      <c r="CJ139" s="115" t="e">
        <f t="shared" si="241"/>
        <v>#VALUE!</v>
      </c>
      <c r="CK139" s="115" t="e">
        <f t="shared" si="241"/>
        <v>#VALUE!</v>
      </c>
      <c r="CL139" s="115" t="e">
        <f t="shared" si="241"/>
        <v>#VALUE!</v>
      </c>
      <c r="CM139" s="115" t="e">
        <f t="shared" si="241"/>
        <v>#VALUE!</v>
      </c>
      <c r="CN139" s="115" t="e">
        <f t="shared" si="241"/>
        <v>#VALUE!</v>
      </c>
      <c r="CO139" s="115" t="e">
        <f t="shared" si="241"/>
        <v>#VALUE!</v>
      </c>
      <c r="CP139" s="115" t="e">
        <f t="shared" si="241"/>
        <v>#VALUE!</v>
      </c>
      <c r="CQ139" s="115" t="e">
        <f t="shared" si="241"/>
        <v>#VALUE!</v>
      </c>
      <c r="CR139" s="115" t="e">
        <f t="shared" si="242"/>
        <v>#VALUE!</v>
      </c>
      <c r="CS139" s="115" t="e">
        <f t="shared" si="242"/>
        <v>#VALUE!</v>
      </c>
      <c r="CT139" s="115" t="e">
        <f t="shared" si="242"/>
        <v>#VALUE!</v>
      </c>
      <c r="CU139" s="115" t="e">
        <f t="shared" si="242"/>
        <v>#VALUE!</v>
      </c>
      <c r="CV139" s="115" t="e">
        <f t="shared" si="242"/>
        <v>#VALUE!</v>
      </c>
      <c r="CW139" s="115" t="e">
        <f t="shared" si="242"/>
        <v>#VALUE!</v>
      </c>
      <c r="CX139" s="115" t="e">
        <f t="shared" si="242"/>
        <v>#VALUE!</v>
      </c>
      <c r="CY139" s="115" t="e">
        <f t="shared" si="242"/>
        <v>#VALUE!</v>
      </c>
      <c r="CZ139" s="115" t="e">
        <f t="shared" si="242"/>
        <v>#VALUE!</v>
      </c>
      <c r="DA139" s="115" t="e">
        <f t="shared" si="242"/>
        <v>#VALUE!</v>
      </c>
      <c r="DB139" s="115" t="e">
        <f t="shared" si="243"/>
        <v>#VALUE!</v>
      </c>
      <c r="DC139" s="115" t="e">
        <f t="shared" si="243"/>
        <v>#VALUE!</v>
      </c>
      <c r="DD139" s="115" t="e">
        <f t="shared" si="243"/>
        <v>#VALUE!</v>
      </c>
      <c r="DE139" s="115" t="e">
        <f t="shared" si="243"/>
        <v>#VALUE!</v>
      </c>
      <c r="DF139" s="115" t="e">
        <f t="shared" si="243"/>
        <v>#VALUE!</v>
      </c>
      <c r="DG139" s="115" t="e">
        <f t="shared" si="243"/>
        <v>#VALUE!</v>
      </c>
      <c r="DH139" s="115" t="e">
        <f t="shared" si="243"/>
        <v>#VALUE!</v>
      </c>
      <c r="DI139" s="115" t="e">
        <f t="shared" si="243"/>
        <v>#VALUE!</v>
      </c>
      <c r="DJ139" s="115" t="e">
        <f t="shared" si="243"/>
        <v>#VALUE!</v>
      </c>
      <c r="DK139" s="115" t="e">
        <f t="shared" si="243"/>
        <v>#VALUE!</v>
      </c>
      <c r="DL139" s="115" t="e">
        <f t="shared" si="243"/>
        <v>#VALUE!</v>
      </c>
      <c r="DM139" s="115" t="e">
        <f t="shared" si="243"/>
        <v>#VALUE!</v>
      </c>
    </row>
    <row r="140" spans="1:117" ht="15" customHeight="1" thickBot="1">
      <c r="A140" s="55">
        <v>14300</v>
      </c>
      <c r="B140" s="194" t="s">
        <v>728</v>
      </c>
      <c r="C140" s="194" t="s">
        <v>895</v>
      </c>
      <c r="D140" s="194" t="s">
        <v>251</v>
      </c>
      <c r="E140" s="194" t="s">
        <v>252</v>
      </c>
      <c r="F140" s="194" t="s">
        <v>1109</v>
      </c>
      <c r="G140" s="291" t="e">
        <f t="shared" si="230"/>
        <v>#VALUE!</v>
      </c>
      <c r="H140" s="292" t="e">
        <f>VLOOKUP("E3.E.04",Errichtungskosten,12,0) *VLOOKUP("PFAKT",Instandsetzung,5,0)</f>
        <v>#VALUE!</v>
      </c>
      <c r="I140" s="168"/>
      <c r="J140" s="194" t="s">
        <v>850</v>
      </c>
      <c r="K140" s="385">
        <f t="shared" si="231"/>
        <v>20</v>
      </c>
      <c r="L140" s="379" t="s">
        <v>358</v>
      </c>
      <c r="M140" s="325">
        <f t="shared" si="232"/>
        <v>1.35</v>
      </c>
      <c r="N140" s="380">
        <f t="shared" si="233"/>
        <v>0.99655850540806312</v>
      </c>
      <c r="O140" s="381" t="e">
        <f t="shared" si="234"/>
        <v>#VALUE!</v>
      </c>
      <c r="P140" s="169" t="s">
        <v>103</v>
      </c>
      <c r="Q140" s="114" t="e">
        <f t="shared" si="234"/>
        <v>#VALUE!</v>
      </c>
      <c r="R140" s="115" t="e">
        <f t="shared" si="234"/>
        <v>#VALUE!</v>
      </c>
      <c r="S140" s="115" t="e">
        <f t="shared" si="234"/>
        <v>#VALUE!</v>
      </c>
      <c r="T140" s="115" t="e">
        <f t="shared" si="234"/>
        <v>#VALUE!</v>
      </c>
      <c r="U140" s="115" t="e">
        <f t="shared" si="234"/>
        <v>#VALUE!</v>
      </c>
      <c r="V140" s="115" t="e">
        <f t="shared" si="234"/>
        <v>#VALUE!</v>
      </c>
      <c r="W140" s="115" t="e">
        <f t="shared" si="234"/>
        <v>#VALUE!</v>
      </c>
      <c r="X140" s="115" t="e">
        <f t="shared" si="234"/>
        <v>#VALUE!</v>
      </c>
      <c r="Y140" s="115" t="e">
        <f t="shared" si="234"/>
        <v>#VALUE!</v>
      </c>
      <c r="Z140" s="115" t="e">
        <f t="shared" si="235"/>
        <v>#VALUE!</v>
      </c>
      <c r="AA140" s="115" t="e">
        <f t="shared" si="235"/>
        <v>#VALUE!</v>
      </c>
      <c r="AB140" s="115" t="e">
        <f t="shared" si="235"/>
        <v>#VALUE!</v>
      </c>
      <c r="AC140" s="115" t="e">
        <f t="shared" si="235"/>
        <v>#VALUE!</v>
      </c>
      <c r="AD140" s="115" t="e">
        <f t="shared" si="235"/>
        <v>#VALUE!</v>
      </c>
      <c r="AE140" s="115" t="e">
        <f t="shared" si="235"/>
        <v>#VALUE!</v>
      </c>
      <c r="AF140" s="115" t="e">
        <f t="shared" si="235"/>
        <v>#VALUE!</v>
      </c>
      <c r="AG140" s="115" t="e">
        <f t="shared" si="235"/>
        <v>#VALUE!</v>
      </c>
      <c r="AH140" s="115" t="e">
        <f t="shared" si="235"/>
        <v>#VALUE!</v>
      </c>
      <c r="AI140" s="115" t="e">
        <f t="shared" si="235"/>
        <v>#VALUE!</v>
      </c>
      <c r="AJ140" s="115" t="e">
        <f t="shared" si="236"/>
        <v>#VALUE!</v>
      </c>
      <c r="AK140" s="115" t="e">
        <f t="shared" si="236"/>
        <v>#VALUE!</v>
      </c>
      <c r="AL140" s="115" t="e">
        <f t="shared" si="236"/>
        <v>#VALUE!</v>
      </c>
      <c r="AM140" s="115" t="e">
        <f t="shared" si="236"/>
        <v>#VALUE!</v>
      </c>
      <c r="AN140" s="115" t="e">
        <f t="shared" si="236"/>
        <v>#VALUE!</v>
      </c>
      <c r="AO140" s="115" t="e">
        <f t="shared" si="236"/>
        <v>#VALUE!</v>
      </c>
      <c r="AP140" s="115" t="e">
        <f t="shared" si="236"/>
        <v>#VALUE!</v>
      </c>
      <c r="AQ140" s="115" t="e">
        <f t="shared" si="236"/>
        <v>#VALUE!</v>
      </c>
      <c r="AR140" s="115" t="e">
        <f t="shared" si="236"/>
        <v>#VALUE!</v>
      </c>
      <c r="AS140" s="115" t="e">
        <f t="shared" si="236"/>
        <v>#VALUE!</v>
      </c>
      <c r="AT140" s="115" t="e">
        <f t="shared" si="237"/>
        <v>#VALUE!</v>
      </c>
      <c r="AU140" s="115" t="e">
        <f t="shared" si="237"/>
        <v>#VALUE!</v>
      </c>
      <c r="AV140" s="115" t="e">
        <f t="shared" si="237"/>
        <v>#VALUE!</v>
      </c>
      <c r="AW140" s="115" t="e">
        <f t="shared" si="237"/>
        <v>#VALUE!</v>
      </c>
      <c r="AX140" s="115" t="e">
        <f t="shared" si="237"/>
        <v>#VALUE!</v>
      </c>
      <c r="AY140" s="115" t="e">
        <f t="shared" si="237"/>
        <v>#VALUE!</v>
      </c>
      <c r="AZ140" s="115" t="e">
        <f t="shared" si="237"/>
        <v>#VALUE!</v>
      </c>
      <c r="BA140" s="115" t="e">
        <f t="shared" si="237"/>
        <v>#VALUE!</v>
      </c>
      <c r="BB140" s="115" t="e">
        <f t="shared" si="237"/>
        <v>#VALUE!</v>
      </c>
      <c r="BC140" s="115" t="e">
        <f t="shared" si="237"/>
        <v>#VALUE!</v>
      </c>
      <c r="BD140" s="115" t="e">
        <f t="shared" si="238"/>
        <v>#VALUE!</v>
      </c>
      <c r="BE140" s="115" t="e">
        <f t="shared" si="238"/>
        <v>#VALUE!</v>
      </c>
      <c r="BF140" s="115" t="e">
        <f t="shared" si="238"/>
        <v>#VALUE!</v>
      </c>
      <c r="BG140" s="115" t="e">
        <f t="shared" si="238"/>
        <v>#VALUE!</v>
      </c>
      <c r="BH140" s="115" t="e">
        <f t="shared" si="238"/>
        <v>#VALUE!</v>
      </c>
      <c r="BI140" s="115" t="e">
        <f t="shared" si="238"/>
        <v>#VALUE!</v>
      </c>
      <c r="BJ140" s="115" t="e">
        <f t="shared" si="238"/>
        <v>#VALUE!</v>
      </c>
      <c r="BK140" s="115" t="e">
        <f t="shared" si="238"/>
        <v>#VALUE!</v>
      </c>
      <c r="BL140" s="115" t="e">
        <f t="shared" si="238"/>
        <v>#VALUE!</v>
      </c>
      <c r="BM140" s="115" t="e">
        <f t="shared" si="238"/>
        <v>#VALUE!</v>
      </c>
      <c r="BN140" s="115" t="e">
        <f t="shared" si="239"/>
        <v>#VALUE!</v>
      </c>
      <c r="BO140" s="115" t="e">
        <f t="shared" si="239"/>
        <v>#VALUE!</v>
      </c>
      <c r="BP140" s="115" t="e">
        <f t="shared" si="239"/>
        <v>#VALUE!</v>
      </c>
      <c r="BQ140" s="115" t="e">
        <f t="shared" si="239"/>
        <v>#VALUE!</v>
      </c>
      <c r="BR140" s="115" t="e">
        <f t="shared" si="239"/>
        <v>#VALUE!</v>
      </c>
      <c r="BS140" s="115" t="e">
        <f t="shared" si="239"/>
        <v>#VALUE!</v>
      </c>
      <c r="BT140" s="115" t="e">
        <f t="shared" si="239"/>
        <v>#VALUE!</v>
      </c>
      <c r="BU140" s="115" t="e">
        <f t="shared" si="239"/>
        <v>#VALUE!</v>
      </c>
      <c r="BV140" s="115" t="e">
        <f t="shared" si="239"/>
        <v>#VALUE!</v>
      </c>
      <c r="BW140" s="115" t="e">
        <f t="shared" si="239"/>
        <v>#VALUE!</v>
      </c>
      <c r="BX140" s="115" t="e">
        <f t="shared" si="240"/>
        <v>#VALUE!</v>
      </c>
      <c r="BY140" s="115" t="e">
        <f t="shared" si="240"/>
        <v>#VALUE!</v>
      </c>
      <c r="BZ140" s="115" t="e">
        <f t="shared" si="240"/>
        <v>#VALUE!</v>
      </c>
      <c r="CA140" s="115" t="e">
        <f t="shared" si="240"/>
        <v>#VALUE!</v>
      </c>
      <c r="CB140" s="115" t="e">
        <f t="shared" si="240"/>
        <v>#VALUE!</v>
      </c>
      <c r="CC140" s="115" t="e">
        <f t="shared" si="240"/>
        <v>#VALUE!</v>
      </c>
      <c r="CD140" s="115" t="e">
        <f t="shared" si="240"/>
        <v>#VALUE!</v>
      </c>
      <c r="CE140" s="115" t="e">
        <f t="shared" si="240"/>
        <v>#VALUE!</v>
      </c>
      <c r="CF140" s="115" t="e">
        <f t="shared" si="240"/>
        <v>#VALUE!</v>
      </c>
      <c r="CG140" s="115" t="e">
        <f t="shared" si="240"/>
        <v>#VALUE!</v>
      </c>
      <c r="CH140" s="115" t="e">
        <f t="shared" si="241"/>
        <v>#VALUE!</v>
      </c>
      <c r="CI140" s="115" t="e">
        <f t="shared" si="241"/>
        <v>#VALUE!</v>
      </c>
      <c r="CJ140" s="115" t="e">
        <f t="shared" si="241"/>
        <v>#VALUE!</v>
      </c>
      <c r="CK140" s="115" t="e">
        <f t="shared" si="241"/>
        <v>#VALUE!</v>
      </c>
      <c r="CL140" s="115" t="e">
        <f t="shared" si="241"/>
        <v>#VALUE!</v>
      </c>
      <c r="CM140" s="115" t="e">
        <f t="shared" si="241"/>
        <v>#VALUE!</v>
      </c>
      <c r="CN140" s="115" t="e">
        <f t="shared" si="241"/>
        <v>#VALUE!</v>
      </c>
      <c r="CO140" s="115" t="e">
        <f t="shared" si="241"/>
        <v>#VALUE!</v>
      </c>
      <c r="CP140" s="115" t="e">
        <f t="shared" si="241"/>
        <v>#VALUE!</v>
      </c>
      <c r="CQ140" s="115" t="e">
        <f t="shared" si="241"/>
        <v>#VALUE!</v>
      </c>
      <c r="CR140" s="115" t="e">
        <f t="shared" si="242"/>
        <v>#VALUE!</v>
      </c>
      <c r="CS140" s="115" t="e">
        <f t="shared" si="242"/>
        <v>#VALUE!</v>
      </c>
      <c r="CT140" s="115" t="e">
        <f t="shared" si="242"/>
        <v>#VALUE!</v>
      </c>
      <c r="CU140" s="115" t="e">
        <f t="shared" si="242"/>
        <v>#VALUE!</v>
      </c>
      <c r="CV140" s="115" t="e">
        <f t="shared" si="242"/>
        <v>#VALUE!</v>
      </c>
      <c r="CW140" s="115" t="e">
        <f t="shared" si="242"/>
        <v>#VALUE!</v>
      </c>
      <c r="CX140" s="115" t="e">
        <f t="shared" si="242"/>
        <v>#VALUE!</v>
      </c>
      <c r="CY140" s="115" t="e">
        <f t="shared" si="242"/>
        <v>#VALUE!</v>
      </c>
      <c r="CZ140" s="115" t="e">
        <f t="shared" si="242"/>
        <v>#VALUE!</v>
      </c>
      <c r="DA140" s="115" t="e">
        <f t="shared" si="242"/>
        <v>#VALUE!</v>
      </c>
      <c r="DB140" s="115" t="e">
        <f t="shared" si="243"/>
        <v>#VALUE!</v>
      </c>
      <c r="DC140" s="115" t="e">
        <f t="shared" si="243"/>
        <v>#VALUE!</v>
      </c>
      <c r="DD140" s="115" t="e">
        <f t="shared" si="243"/>
        <v>#VALUE!</v>
      </c>
      <c r="DE140" s="115" t="e">
        <f t="shared" si="243"/>
        <v>#VALUE!</v>
      </c>
      <c r="DF140" s="115" t="e">
        <f t="shared" si="243"/>
        <v>#VALUE!</v>
      </c>
      <c r="DG140" s="115" t="e">
        <f t="shared" si="243"/>
        <v>#VALUE!</v>
      </c>
      <c r="DH140" s="115" t="e">
        <f t="shared" si="243"/>
        <v>#VALUE!</v>
      </c>
      <c r="DI140" s="115" t="e">
        <f t="shared" si="243"/>
        <v>#VALUE!</v>
      </c>
      <c r="DJ140" s="115" t="e">
        <f t="shared" si="243"/>
        <v>#VALUE!</v>
      </c>
      <c r="DK140" s="115" t="e">
        <f t="shared" si="243"/>
        <v>#VALUE!</v>
      </c>
      <c r="DL140" s="115" t="e">
        <f t="shared" si="243"/>
        <v>#VALUE!</v>
      </c>
      <c r="DM140" s="115" t="e">
        <f t="shared" si="243"/>
        <v>#VALUE!</v>
      </c>
    </row>
    <row r="141" spans="1:117" ht="15" customHeight="1" thickBot="1">
      <c r="A141" s="55">
        <v>14400</v>
      </c>
      <c r="B141" s="194" t="s">
        <v>728</v>
      </c>
      <c r="C141" s="194" t="s">
        <v>896</v>
      </c>
      <c r="D141" s="194" t="s">
        <v>249</v>
      </c>
      <c r="E141" s="194" t="s">
        <v>250</v>
      </c>
      <c r="F141" s="194" t="s">
        <v>1110</v>
      </c>
      <c r="G141" s="291" t="e">
        <f t="shared" si="230"/>
        <v>#VALUE!</v>
      </c>
      <c r="H141" s="292" t="e">
        <f>VLOOKUP("E3.E.S",Errichtungskosten,12,0) *VLOOKUP("PFAKT",Instandsetzung,5,0)</f>
        <v>#VALUE!</v>
      </c>
      <c r="I141" s="168"/>
      <c r="J141" s="194" t="s">
        <v>850</v>
      </c>
      <c r="K141" s="385">
        <f t="shared" si="231"/>
        <v>20</v>
      </c>
      <c r="L141" s="379" t="s">
        <v>358</v>
      </c>
      <c r="M141" s="325">
        <f t="shared" si="232"/>
        <v>1.35</v>
      </c>
      <c r="N141" s="380">
        <f t="shared" si="233"/>
        <v>0.99655850540806312</v>
      </c>
      <c r="O141" s="381" t="e">
        <f t="shared" si="234"/>
        <v>#VALUE!</v>
      </c>
      <c r="P141" s="169" t="s">
        <v>103</v>
      </c>
      <c r="Q141" s="114" t="e">
        <f t="shared" si="234"/>
        <v>#VALUE!</v>
      </c>
      <c r="R141" s="115" t="e">
        <f t="shared" si="234"/>
        <v>#VALUE!</v>
      </c>
      <c r="S141" s="115" t="e">
        <f t="shared" si="234"/>
        <v>#VALUE!</v>
      </c>
      <c r="T141" s="115" t="e">
        <f t="shared" si="234"/>
        <v>#VALUE!</v>
      </c>
      <c r="U141" s="115" t="e">
        <f t="shared" si="234"/>
        <v>#VALUE!</v>
      </c>
      <c r="V141" s="115" t="e">
        <f t="shared" si="234"/>
        <v>#VALUE!</v>
      </c>
      <c r="W141" s="115" t="e">
        <f t="shared" si="234"/>
        <v>#VALUE!</v>
      </c>
      <c r="X141" s="115" t="e">
        <f t="shared" si="234"/>
        <v>#VALUE!</v>
      </c>
      <c r="Y141" s="115" t="e">
        <f t="shared" si="234"/>
        <v>#VALUE!</v>
      </c>
      <c r="Z141" s="115" t="e">
        <f t="shared" si="235"/>
        <v>#VALUE!</v>
      </c>
      <c r="AA141" s="115" t="e">
        <f t="shared" si="235"/>
        <v>#VALUE!</v>
      </c>
      <c r="AB141" s="115" t="e">
        <f t="shared" si="235"/>
        <v>#VALUE!</v>
      </c>
      <c r="AC141" s="115" t="e">
        <f t="shared" si="235"/>
        <v>#VALUE!</v>
      </c>
      <c r="AD141" s="115" t="e">
        <f t="shared" si="235"/>
        <v>#VALUE!</v>
      </c>
      <c r="AE141" s="115" t="e">
        <f t="shared" si="235"/>
        <v>#VALUE!</v>
      </c>
      <c r="AF141" s="115" t="e">
        <f t="shared" si="235"/>
        <v>#VALUE!</v>
      </c>
      <c r="AG141" s="115" t="e">
        <f t="shared" si="235"/>
        <v>#VALUE!</v>
      </c>
      <c r="AH141" s="115" t="e">
        <f t="shared" si="235"/>
        <v>#VALUE!</v>
      </c>
      <c r="AI141" s="115" t="e">
        <f t="shared" si="235"/>
        <v>#VALUE!</v>
      </c>
      <c r="AJ141" s="115" t="e">
        <f t="shared" si="236"/>
        <v>#VALUE!</v>
      </c>
      <c r="AK141" s="115" t="e">
        <f t="shared" si="236"/>
        <v>#VALUE!</v>
      </c>
      <c r="AL141" s="115" t="e">
        <f t="shared" si="236"/>
        <v>#VALUE!</v>
      </c>
      <c r="AM141" s="115" t="e">
        <f t="shared" si="236"/>
        <v>#VALUE!</v>
      </c>
      <c r="AN141" s="115" t="e">
        <f t="shared" si="236"/>
        <v>#VALUE!</v>
      </c>
      <c r="AO141" s="115" t="e">
        <f t="shared" si="236"/>
        <v>#VALUE!</v>
      </c>
      <c r="AP141" s="115" t="e">
        <f t="shared" si="236"/>
        <v>#VALUE!</v>
      </c>
      <c r="AQ141" s="115" t="e">
        <f t="shared" si="236"/>
        <v>#VALUE!</v>
      </c>
      <c r="AR141" s="115" t="e">
        <f t="shared" si="236"/>
        <v>#VALUE!</v>
      </c>
      <c r="AS141" s="115" t="e">
        <f t="shared" si="236"/>
        <v>#VALUE!</v>
      </c>
      <c r="AT141" s="115" t="e">
        <f t="shared" si="237"/>
        <v>#VALUE!</v>
      </c>
      <c r="AU141" s="115" t="e">
        <f t="shared" si="237"/>
        <v>#VALUE!</v>
      </c>
      <c r="AV141" s="115" t="e">
        <f t="shared" si="237"/>
        <v>#VALUE!</v>
      </c>
      <c r="AW141" s="115" t="e">
        <f t="shared" si="237"/>
        <v>#VALUE!</v>
      </c>
      <c r="AX141" s="115" t="e">
        <f t="shared" si="237"/>
        <v>#VALUE!</v>
      </c>
      <c r="AY141" s="115" t="e">
        <f t="shared" si="237"/>
        <v>#VALUE!</v>
      </c>
      <c r="AZ141" s="115" t="e">
        <f t="shared" si="237"/>
        <v>#VALUE!</v>
      </c>
      <c r="BA141" s="115" t="e">
        <f t="shared" si="237"/>
        <v>#VALUE!</v>
      </c>
      <c r="BB141" s="115" t="e">
        <f t="shared" si="237"/>
        <v>#VALUE!</v>
      </c>
      <c r="BC141" s="115" t="e">
        <f t="shared" si="237"/>
        <v>#VALUE!</v>
      </c>
      <c r="BD141" s="115" t="e">
        <f t="shared" si="238"/>
        <v>#VALUE!</v>
      </c>
      <c r="BE141" s="115" t="e">
        <f t="shared" si="238"/>
        <v>#VALUE!</v>
      </c>
      <c r="BF141" s="115" t="e">
        <f t="shared" si="238"/>
        <v>#VALUE!</v>
      </c>
      <c r="BG141" s="115" t="e">
        <f t="shared" si="238"/>
        <v>#VALUE!</v>
      </c>
      <c r="BH141" s="115" t="e">
        <f t="shared" si="238"/>
        <v>#VALUE!</v>
      </c>
      <c r="BI141" s="115" t="e">
        <f t="shared" si="238"/>
        <v>#VALUE!</v>
      </c>
      <c r="BJ141" s="115" t="e">
        <f t="shared" si="238"/>
        <v>#VALUE!</v>
      </c>
      <c r="BK141" s="115" t="e">
        <f t="shared" si="238"/>
        <v>#VALUE!</v>
      </c>
      <c r="BL141" s="115" t="e">
        <f t="shared" si="238"/>
        <v>#VALUE!</v>
      </c>
      <c r="BM141" s="115" t="e">
        <f t="shared" si="238"/>
        <v>#VALUE!</v>
      </c>
      <c r="BN141" s="115" t="e">
        <f t="shared" si="239"/>
        <v>#VALUE!</v>
      </c>
      <c r="BO141" s="115" t="e">
        <f t="shared" si="239"/>
        <v>#VALUE!</v>
      </c>
      <c r="BP141" s="115" t="e">
        <f t="shared" si="239"/>
        <v>#VALUE!</v>
      </c>
      <c r="BQ141" s="115" t="e">
        <f t="shared" si="239"/>
        <v>#VALUE!</v>
      </c>
      <c r="BR141" s="115" t="e">
        <f t="shared" si="239"/>
        <v>#VALUE!</v>
      </c>
      <c r="BS141" s="115" t="e">
        <f t="shared" si="239"/>
        <v>#VALUE!</v>
      </c>
      <c r="BT141" s="115" t="e">
        <f t="shared" si="239"/>
        <v>#VALUE!</v>
      </c>
      <c r="BU141" s="115" t="e">
        <f t="shared" si="239"/>
        <v>#VALUE!</v>
      </c>
      <c r="BV141" s="115" t="e">
        <f t="shared" si="239"/>
        <v>#VALUE!</v>
      </c>
      <c r="BW141" s="115" t="e">
        <f t="shared" si="239"/>
        <v>#VALUE!</v>
      </c>
      <c r="BX141" s="115" t="e">
        <f t="shared" si="240"/>
        <v>#VALUE!</v>
      </c>
      <c r="BY141" s="115" t="e">
        <f t="shared" si="240"/>
        <v>#VALUE!</v>
      </c>
      <c r="BZ141" s="115" t="e">
        <f t="shared" si="240"/>
        <v>#VALUE!</v>
      </c>
      <c r="CA141" s="115" t="e">
        <f t="shared" si="240"/>
        <v>#VALUE!</v>
      </c>
      <c r="CB141" s="115" t="e">
        <f t="shared" si="240"/>
        <v>#VALUE!</v>
      </c>
      <c r="CC141" s="115" t="e">
        <f t="shared" si="240"/>
        <v>#VALUE!</v>
      </c>
      <c r="CD141" s="115" t="e">
        <f t="shared" si="240"/>
        <v>#VALUE!</v>
      </c>
      <c r="CE141" s="115" t="e">
        <f t="shared" si="240"/>
        <v>#VALUE!</v>
      </c>
      <c r="CF141" s="115" t="e">
        <f t="shared" si="240"/>
        <v>#VALUE!</v>
      </c>
      <c r="CG141" s="115" t="e">
        <f t="shared" si="240"/>
        <v>#VALUE!</v>
      </c>
      <c r="CH141" s="115" t="e">
        <f t="shared" si="241"/>
        <v>#VALUE!</v>
      </c>
      <c r="CI141" s="115" t="e">
        <f t="shared" si="241"/>
        <v>#VALUE!</v>
      </c>
      <c r="CJ141" s="115" t="e">
        <f t="shared" si="241"/>
        <v>#VALUE!</v>
      </c>
      <c r="CK141" s="115" t="e">
        <f t="shared" si="241"/>
        <v>#VALUE!</v>
      </c>
      <c r="CL141" s="115" t="e">
        <f t="shared" si="241"/>
        <v>#VALUE!</v>
      </c>
      <c r="CM141" s="115" t="e">
        <f t="shared" si="241"/>
        <v>#VALUE!</v>
      </c>
      <c r="CN141" s="115" t="e">
        <f t="shared" si="241"/>
        <v>#VALUE!</v>
      </c>
      <c r="CO141" s="115" t="e">
        <f t="shared" si="241"/>
        <v>#VALUE!</v>
      </c>
      <c r="CP141" s="115" t="e">
        <f t="shared" si="241"/>
        <v>#VALUE!</v>
      </c>
      <c r="CQ141" s="115" t="e">
        <f t="shared" si="241"/>
        <v>#VALUE!</v>
      </c>
      <c r="CR141" s="115" t="e">
        <f t="shared" si="242"/>
        <v>#VALUE!</v>
      </c>
      <c r="CS141" s="115" t="e">
        <f t="shared" si="242"/>
        <v>#VALUE!</v>
      </c>
      <c r="CT141" s="115" t="e">
        <f t="shared" si="242"/>
        <v>#VALUE!</v>
      </c>
      <c r="CU141" s="115" t="e">
        <f t="shared" si="242"/>
        <v>#VALUE!</v>
      </c>
      <c r="CV141" s="115" t="e">
        <f t="shared" si="242"/>
        <v>#VALUE!</v>
      </c>
      <c r="CW141" s="115" t="e">
        <f t="shared" si="242"/>
        <v>#VALUE!</v>
      </c>
      <c r="CX141" s="115" t="e">
        <f t="shared" si="242"/>
        <v>#VALUE!</v>
      </c>
      <c r="CY141" s="115" t="e">
        <f t="shared" si="242"/>
        <v>#VALUE!</v>
      </c>
      <c r="CZ141" s="115" t="e">
        <f t="shared" si="242"/>
        <v>#VALUE!</v>
      </c>
      <c r="DA141" s="115" t="e">
        <f t="shared" si="242"/>
        <v>#VALUE!</v>
      </c>
      <c r="DB141" s="115" t="e">
        <f t="shared" si="243"/>
        <v>#VALUE!</v>
      </c>
      <c r="DC141" s="115" t="e">
        <f t="shared" si="243"/>
        <v>#VALUE!</v>
      </c>
      <c r="DD141" s="115" t="e">
        <f t="shared" si="243"/>
        <v>#VALUE!</v>
      </c>
      <c r="DE141" s="115" t="e">
        <f t="shared" si="243"/>
        <v>#VALUE!</v>
      </c>
      <c r="DF141" s="115" t="e">
        <f t="shared" si="243"/>
        <v>#VALUE!</v>
      </c>
      <c r="DG141" s="115" t="e">
        <f t="shared" si="243"/>
        <v>#VALUE!</v>
      </c>
      <c r="DH141" s="115" t="e">
        <f t="shared" si="243"/>
        <v>#VALUE!</v>
      </c>
      <c r="DI141" s="115" t="e">
        <f t="shared" si="243"/>
        <v>#VALUE!</v>
      </c>
      <c r="DJ141" s="115" t="e">
        <f t="shared" si="243"/>
        <v>#VALUE!</v>
      </c>
      <c r="DK141" s="115" t="e">
        <f t="shared" si="243"/>
        <v>#VALUE!</v>
      </c>
      <c r="DL141" s="115" t="e">
        <f t="shared" si="243"/>
        <v>#VALUE!</v>
      </c>
      <c r="DM141" s="115" t="e">
        <f t="shared" si="243"/>
        <v>#VALUE!</v>
      </c>
    </row>
    <row r="142" spans="1:117" ht="15" customHeight="1" thickBot="1">
      <c r="A142" s="55">
        <v>14500</v>
      </c>
      <c r="B142" s="194" t="s">
        <v>728</v>
      </c>
      <c r="C142" s="194" t="s">
        <v>897</v>
      </c>
      <c r="D142" s="194" t="s">
        <v>246</v>
      </c>
      <c r="E142" s="194" t="s">
        <v>247</v>
      </c>
      <c r="F142" s="194" t="s">
        <v>1111</v>
      </c>
      <c r="G142" s="291" t="e">
        <f t="shared" si="230"/>
        <v>#VALUE!</v>
      </c>
      <c r="H142" s="292" t="e">
        <f>VLOOKUP("E3.F",Errichtungskosten,12,0) *VLOOKUP("PFAKT",Instandsetzung,5,0)</f>
        <v>#VALUE!</v>
      </c>
      <c r="I142" s="168"/>
      <c r="J142" s="194" t="s">
        <v>850</v>
      </c>
      <c r="K142" s="385">
        <f t="shared" si="231"/>
        <v>25</v>
      </c>
      <c r="L142" s="379" t="s">
        <v>358</v>
      </c>
      <c r="M142" s="325">
        <f t="shared" si="232"/>
        <v>1.35</v>
      </c>
      <c r="N142" s="380">
        <f t="shared" si="233"/>
        <v>0.99655850540806312</v>
      </c>
      <c r="O142" s="381" t="e">
        <f t="shared" si="234"/>
        <v>#VALUE!</v>
      </c>
      <c r="P142" s="169" t="s">
        <v>103</v>
      </c>
      <c r="Q142" s="114" t="e">
        <f t="shared" si="234"/>
        <v>#VALUE!</v>
      </c>
      <c r="R142" s="115" t="e">
        <f t="shared" si="234"/>
        <v>#VALUE!</v>
      </c>
      <c r="S142" s="115" t="e">
        <f t="shared" si="234"/>
        <v>#VALUE!</v>
      </c>
      <c r="T142" s="115" t="e">
        <f t="shared" si="234"/>
        <v>#VALUE!</v>
      </c>
      <c r="U142" s="115" t="e">
        <f t="shared" si="234"/>
        <v>#VALUE!</v>
      </c>
      <c r="V142" s="115" t="e">
        <f t="shared" si="234"/>
        <v>#VALUE!</v>
      </c>
      <c r="W142" s="115" t="e">
        <f t="shared" si="234"/>
        <v>#VALUE!</v>
      </c>
      <c r="X142" s="115" t="e">
        <f t="shared" si="234"/>
        <v>#VALUE!</v>
      </c>
      <c r="Y142" s="115" t="e">
        <f t="shared" si="234"/>
        <v>#VALUE!</v>
      </c>
      <c r="Z142" s="115" t="e">
        <f t="shared" si="235"/>
        <v>#VALUE!</v>
      </c>
      <c r="AA142" s="115" t="e">
        <f t="shared" si="235"/>
        <v>#VALUE!</v>
      </c>
      <c r="AB142" s="115" t="e">
        <f t="shared" si="235"/>
        <v>#VALUE!</v>
      </c>
      <c r="AC142" s="115" t="e">
        <f t="shared" si="235"/>
        <v>#VALUE!</v>
      </c>
      <c r="AD142" s="115" t="e">
        <f t="shared" si="235"/>
        <v>#VALUE!</v>
      </c>
      <c r="AE142" s="115" t="e">
        <f t="shared" si="235"/>
        <v>#VALUE!</v>
      </c>
      <c r="AF142" s="115" t="e">
        <f t="shared" si="235"/>
        <v>#VALUE!</v>
      </c>
      <c r="AG142" s="115" t="e">
        <f t="shared" si="235"/>
        <v>#VALUE!</v>
      </c>
      <c r="AH142" s="115" t="e">
        <f t="shared" si="235"/>
        <v>#VALUE!</v>
      </c>
      <c r="AI142" s="115" t="e">
        <f t="shared" si="235"/>
        <v>#VALUE!</v>
      </c>
      <c r="AJ142" s="115" t="e">
        <f t="shared" si="236"/>
        <v>#VALUE!</v>
      </c>
      <c r="AK142" s="115" t="e">
        <f t="shared" si="236"/>
        <v>#VALUE!</v>
      </c>
      <c r="AL142" s="115" t="e">
        <f t="shared" si="236"/>
        <v>#VALUE!</v>
      </c>
      <c r="AM142" s="115" t="e">
        <f t="shared" si="236"/>
        <v>#VALUE!</v>
      </c>
      <c r="AN142" s="115" t="e">
        <f t="shared" si="236"/>
        <v>#VALUE!</v>
      </c>
      <c r="AO142" s="115" t="e">
        <f t="shared" si="236"/>
        <v>#VALUE!</v>
      </c>
      <c r="AP142" s="115" t="e">
        <f t="shared" si="236"/>
        <v>#VALUE!</v>
      </c>
      <c r="AQ142" s="115" t="e">
        <f t="shared" si="236"/>
        <v>#VALUE!</v>
      </c>
      <c r="AR142" s="115" t="e">
        <f t="shared" si="236"/>
        <v>#VALUE!</v>
      </c>
      <c r="AS142" s="115" t="e">
        <f t="shared" si="236"/>
        <v>#VALUE!</v>
      </c>
      <c r="AT142" s="115" t="e">
        <f t="shared" si="237"/>
        <v>#VALUE!</v>
      </c>
      <c r="AU142" s="115" t="e">
        <f t="shared" si="237"/>
        <v>#VALUE!</v>
      </c>
      <c r="AV142" s="115" t="e">
        <f t="shared" si="237"/>
        <v>#VALUE!</v>
      </c>
      <c r="AW142" s="115" t="e">
        <f t="shared" si="237"/>
        <v>#VALUE!</v>
      </c>
      <c r="AX142" s="115" t="e">
        <f t="shared" si="237"/>
        <v>#VALUE!</v>
      </c>
      <c r="AY142" s="115" t="e">
        <f t="shared" si="237"/>
        <v>#VALUE!</v>
      </c>
      <c r="AZ142" s="115" t="e">
        <f t="shared" si="237"/>
        <v>#VALUE!</v>
      </c>
      <c r="BA142" s="115" t="e">
        <f t="shared" si="237"/>
        <v>#VALUE!</v>
      </c>
      <c r="BB142" s="115" t="e">
        <f t="shared" si="237"/>
        <v>#VALUE!</v>
      </c>
      <c r="BC142" s="115" t="e">
        <f t="shared" si="237"/>
        <v>#VALUE!</v>
      </c>
      <c r="BD142" s="115" t="e">
        <f t="shared" si="238"/>
        <v>#VALUE!</v>
      </c>
      <c r="BE142" s="115" t="e">
        <f t="shared" si="238"/>
        <v>#VALUE!</v>
      </c>
      <c r="BF142" s="115" t="e">
        <f t="shared" si="238"/>
        <v>#VALUE!</v>
      </c>
      <c r="BG142" s="115" t="e">
        <f t="shared" si="238"/>
        <v>#VALUE!</v>
      </c>
      <c r="BH142" s="115" t="e">
        <f t="shared" si="238"/>
        <v>#VALUE!</v>
      </c>
      <c r="BI142" s="115" t="e">
        <f t="shared" si="238"/>
        <v>#VALUE!</v>
      </c>
      <c r="BJ142" s="115" t="e">
        <f t="shared" si="238"/>
        <v>#VALUE!</v>
      </c>
      <c r="BK142" s="115" t="e">
        <f t="shared" si="238"/>
        <v>#VALUE!</v>
      </c>
      <c r="BL142" s="115" t="e">
        <f t="shared" si="238"/>
        <v>#VALUE!</v>
      </c>
      <c r="BM142" s="115" t="e">
        <f t="shared" si="238"/>
        <v>#VALUE!</v>
      </c>
      <c r="BN142" s="115" t="e">
        <f t="shared" si="239"/>
        <v>#VALUE!</v>
      </c>
      <c r="BO142" s="115" t="e">
        <f t="shared" si="239"/>
        <v>#VALUE!</v>
      </c>
      <c r="BP142" s="115" t="e">
        <f t="shared" si="239"/>
        <v>#VALUE!</v>
      </c>
      <c r="BQ142" s="115" t="e">
        <f t="shared" si="239"/>
        <v>#VALUE!</v>
      </c>
      <c r="BR142" s="115" t="e">
        <f t="shared" si="239"/>
        <v>#VALUE!</v>
      </c>
      <c r="BS142" s="115" t="e">
        <f t="shared" si="239"/>
        <v>#VALUE!</v>
      </c>
      <c r="BT142" s="115" t="e">
        <f t="shared" si="239"/>
        <v>#VALUE!</v>
      </c>
      <c r="BU142" s="115" t="e">
        <f t="shared" si="239"/>
        <v>#VALUE!</v>
      </c>
      <c r="BV142" s="115" t="e">
        <f t="shared" si="239"/>
        <v>#VALUE!</v>
      </c>
      <c r="BW142" s="115" t="e">
        <f t="shared" si="239"/>
        <v>#VALUE!</v>
      </c>
      <c r="BX142" s="115" t="e">
        <f t="shared" si="240"/>
        <v>#VALUE!</v>
      </c>
      <c r="BY142" s="115" t="e">
        <f t="shared" si="240"/>
        <v>#VALUE!</v>
      </c>
      <c r="BZ142" s="115" t="e">
        <f t="shared" si="240"/>
        <v>#VALUE!</v>
      </c>
      <c r="CA142" s="115" t="e">
        <f t="shared" si="240"/>
        <v>#VALUE!</v>
      </c>
      <c r="CB142" s="115" t="e">
        <f t="shared" si="240"/>
        <v>#VALUE!</v>
      </c>
      <c r="CC142" s="115" t="e">
        <f t="shared" si="240"/>
        <v>#VALUE!</v>
      </c>
      <c r="CD142" s="115" t="e">
        <f t="shared" si="240"/>
        <v>#VALUE!</v>
      </c>
      <c r="CE142" s="115" t="e">
        <f t="shared" si="240"/>
        <v>#VALUE!</v>
      </c>
      <c r="CF142" s="115" t="e">
        <f t="shared" si="240"/>
        <v>#VALUE!</v>
      </c>
      <c r="CG142" s="115" t="e">
        <f t="shared" si="240"/>
        <v>#VALUE!</v>
      </c>
      <c r="CH142" s="115" t="e">
        <f t="shared" si="241"/>
        <v>#VALUE!</v>
      </c>
      <c r="CI142" s="115" t="e">
        <f t="shared" si="241"/>
        <v>#VALUE!</v>
      </c>
      <c r="CJ142" s="115" t="e">
        <f t="shared" si="241"/>
        <v>#VALUE!</v>
      </c>
      <c r="CK142" s="115" t="e">
        <f t="shared" si="241"/>
        <v>#VALUE!</v>
      </c>
      <c r="CL142" s="115" t="e">
        <f t="shared" si="241"/>
        <v>#VALUE!</v>
      </c>
      <c r="CM142" s="115" t="e">
        <f t="shared" si="241"/>
        <v>#VALUE!</v>
      </c>
      <c r="CN142" s="115" t="e">
        <f t="shared" si="241"/>
        <v>#VALUE!</v>
      </c>
      <c r="CO142" s="115" t="e">
        <f t="shared" si="241"/>
        <v>#VALUE!</v>
      </c>
      <c r="CP142" s="115" t="e">
        <f t="shared" si="241"/>
        <v>#VALUE!</v>
      </c>
      <c r="CQ142" s="115" t="e">
        <f t="shared" si="241"/>
        <v>#VALUE!</v>
      </c>
      <c r="CR142" s="115" t="e">
        <f t="shared" si="242"/>
        <v>#VALUE!</v>
      </c>
      <c r="CS142" s="115" t="e">
        <f t="shared" si="242"/>
        <v>#VALUE!</v>
      </c>
      <c r="CT142" s="115" t="e">
        <f t="shared" si="242"/>
        <v>#VALUE!</v>
      </c>
      <c r="CU142" s="115" t="e">
        <f t="shared" si="242"/>
        <v>#VALUE!</v>
      </c>
      <c r="CV142" s="115" t="e">
        <f t="shared" si="242"/>
        <v>#VALUE!</v>
      </c>
      <c r="CW142" s="115" t="e">
        <f t="shared" si="242"/>
        <v>#VALUE!</v>
      </c>
      <c r="CX142" s="115" t="e">
        <f t="shared" si="242"/>
        <v>#VALUE!</v>
      </c>
      <c r="CY142" s="115" t="e">
        <f t="shared" si="242"/>
        <v>#VALUE!</v>
      </c>
      <c r="CZ142" s="115" t="e">
        <f t="shared" si="242"/>
        <v>#VALUE!</v>
      </c>
      <c r="DA142" s="115" t="e">
        <f t="shared" si="242"/>
        <v>#VALUE!</v>
      </c>
      <c r="DB142" s="115" t="e">
        <f t="shared" si="243"/>
        <v>#VALUE!</v>
      </c>
      <c r="DC142" s="115" t="e">
        <f t="shared" si="243"/>
        <v>#VALUE!</v>
      </c>
      <c r="DD142" s="115" t="e">
        <f t="shared" si="243"/>
        <v>#VALUE!</v>
      </c>
      <c r="DE142" s="115" t="e">
        <f t="shared" si="243"/>
        <v>#VALUE!</v>
      </c>
      <c r="DF142" s="115" t="e">
        <f t="shared" si="243"/>
        <v>#VALUE!</v>
      </c>
      <c r="DG142" s="115" t="e">
        <f t="shared" si="243"/>
        <v>#VALUE!</v>
      </c>
      <c r="DH142" s="115" t="e">
        <f t="shared" si="243"/>
        <v>#VALUE!</v>
      </c>
      <c r="DI142" s="115" t="e">
        <f t="shared" si="243"/>
        <v>#VALUE!</v>
      </c>
      <c r="DJ142" s="115" t="e">
        <f t="shared" si="243"/>
        <v>#VALUE!</v>
      </c>
      <c r="DK142" s="115" t="e">
        <f t="shared" si="243"/>
        <v>#VALUE!</v>
      </c>
      <c r="DL142" s="115" t="e">
        <f t="shared" si="243"/>
        <v>#VALUE!</v>
      </c>
      <c r="DM142" s="115" t="e">
        <f t="shared" si="243"/>
        <v>#VALUE!</v>
      </c>
    </row>
    <row r="143" spans="1:117" ht="15" customHeight="1" thickBot="1">
      <c r="A143" s="293">
        <v>14600</v>
      </c>
      <c r="B143" s="172" t="s">
        <v>743</v>
      </c>
      <c r="C143" s="172" t="s">
        <v>898</v>
      </c>
      <c r="D143" s="172" t="s">
        <v>229</v>
      </c>
      <c r="E143" s="172"/>
      <c r="F143" s="172"/>
      <c r="G143" s="172"/>
      <c r="H143" s="172"/>
      <c r="I143" s="172"/>
      <c r="J143" s="172"/>
      <c r="K143" s="386"/>
      <c r="L143" s="172"/>
      <c r="M143" s="293"/>
      <c r="N143" s="293"/>
      <c r="O143" s="376" t="e">
        <f>SUM(O144:O151)</f>
        <v>#VALUE!</v>
      </c>
      <c r="P143" s="377" t="s">
        <v>103</v>
      </c>
      <c r="Q143" s="116"/>
      <c r="R143" s="116"/>
      <c r="S143" s="116"/>
      <c r="T143" s="116"/>
      <c r="U143" s="116"/>
      <c r="V143" s="116"/>
      <c r="W143" s="116"/>
      <c r="X143" s="116"/>
      <c r="Y143" s="116"/>
      <c r="Z143" s="116"/>
      <c r="AA143" s="116"/>
      <c r="AB143" s="116"/>
      <c r="AC143" s="116"/>
      <c r="AD143" s="116"/>
      <c r="AE143" s="116"/>
      <c r="AF143" s="116"/>
      <c r="AG143" s="116"/>
      <c r="AH143" s="116"/>
      <c r="AI143" s="116"/>
      <c r="AJ143" s="116"/>
      <c r="AK143" s="116"/>
      <c r="AL143" s="116"/>
      <c r="AM143" s="116"/>
      <c r="AN143" s="116"/>
      <c r="AO143" s="116"/>
      <c r="AP143" s="116"/>
      <c r="AQ143" s="116"/>
      <c r="AR143" s="116"/>
      <c r="AS143" s="116"/>
      <c r="AT143" s="116"/>
      <c r="AU143" s="116"/>
      <c r="AV143" s="116"/>
      <c r="AW143" s="116"/>
      <c r="AX143" s="116"/>
      <c r="AY143" s="116"/>
      <c r="AZ143" s="116"/>
      <c r="BA143" s="116"/>
      <c r="BB143" s="116"/>
      <c r="BC143" s="116"/>
      <c r="BD143" s="116"/>
      <c r="BE143" s="116"/>
      <c r="BF143" s="116"/>
      <c r="BG143" s="116"/>
      <c r="BH143" s="116"/>
      <c r="BI143" s="116"/>
      <c r="BJ143" s="116"/>
      <c r="BK143" s="116"/>
      <c r="BL143" s="116"/>
      <c r="BM143" s="116"/>
      <c r="BN143" s="116"/>
      <c r="BO143" s="116"/>
      <c r="BP143" s="116"/>
      <c r="BQ143" s="116"/>
      <c r="BR143" s="116"/>
      <c r="BS143" s="116"/>
      <c r="BT143" s="116"/>
      <c r="BU143" s="116"/>
      <c r="BV143" s="116"/>
      <c r="BW143" s="116"/>
      <c r="BX143" s="116"/>
      <c r="BY143" s="116"/>
      <c r="BZ143" s="116"/>
      <c r="CA143" s="116"/>
      <c r="CB143" s="116"/>
      <c r="CC143" s="116"/>
      <c r="CD143" s="116"/>
      <c r="CE143" s="116"/>
      <c r="CF143" s="116"/>
      <c r="CG143" s="116"/>
      <c r="CH143" s="116"/>
      <c r="CI143" s="116"/>
      <c r="CJ143" s="116"/>
      <c r="CK143" s="116"/>
      <c r="CL143" s="116"/>
      <c r="CM143" s="116"/>
      <c r="CN143" s="116"/>
      <c r="CO143" s="116"/>
      <c r="CP143" s="116"/>
      <c r="CQ143" s="116"/>
      <c r="CR143" s="116"/>
      <c r="CS143" s="116"/>
      <c r="CT143" s="116"/>
      <c r="CU143" s="116"/>
      <c r="CV143" s="116"/>
      <c r="CW143" s="116"/>
      <c r="CX143" s="116"/>
      <c r="CY143" s="116"/>
      <c r="CZ143" s="116"/>
      <c r="DA143" s="116"/>
      <c r="DB143" s="116"/>
      <c r="DC143" s="116"/>
      <c r="DD143" s="116"/>
      <c r="DE143" s="116"/>
      <c r="DF143" s="116"/>
      <c r="DG143" s="116"/>
      <c r="DH143" s="116"/>
      <c r="DI143" s="116"/>
      <c r="DJ143" s="116"/>
      <c r="DK143" s="116"/>
      <c r="DL143" s="116"/>
      <c r="DM143" s="116"/>
    </row>
    <row r="144" spans="1:117" ht="15" customHeight="1" thickBot="1">
      <c r="A144" s="55">
        <v>14700</v>
      </c>
      <c r="B144" s="194" t="s">
        <v>728</v>
      </c>
      <c r="C144" s="194" t="s">
        <v>899</v>
      </c>
      <c r="D144" s="194" t="s">
        <v>227</v>
      </c>
      <c r="E144" s="194" t="s">
        <v>228</v>
      </c>
      <c r="F144" s="194" t="s">
        <v>1112</v>
      </c>
      <c r="G144" s="291" t="e">
        <f t="shared" ref="G144:G153" si="244">IF(I144="",H144,I144)</f>
        <v>#VALUE!</v>
      </c>
      <c r="H144" s="292" t="e">
        <f>VLOOKUP("E3.G.01",Errichtungskosten,12,0) *VLOOKUP("PFAKT",Instandsetzung,5,0)</f>
        <v>#VALUE!</v>
      </c>
      <c r="I144" s="168"/>
      <c r="J144" s="194" t="s">
        <v>850</v>
      </c>
      <c r="K144" s="385">
        <f t="shared" ref="K144:K153" si="245">IF(ISNUMBER(VLOOKUP(E144,Nutzungsdauern,5,0)),VLOOKUP(E144,Nutzungsdauern,5,0),1000)</f>
        <v>10</v>
      </c>
      <c r="L144" s="379" t="s">
        <v>358</v>
      </c>
      <c r="M144" s="325">
        <f t="shared" ref="M144:M153" si="246">VLOOKUP(L144,Finanzielle_Parameter,5,0)</f>
        <v>1.35</v>
      </c>
      <c r="N144" s="380">
        <f t="shared" ref="N144:N153" si="247">(1+VLOOKUP(L144,Finanzielle_Parameter,5,0)/100)/(1+VLOOKUP("R",Finanzielle_Parameter,5,0)/100)</f>
        <v>0.99655850540806312</v>
      </c>
      <c r="O144" s="381" t="e">
        <f t="shared" ref="O144:Y153" si="248">IF($N144&lt;&gt;1,$G144*($N144^$K144)*(($N144^($K144*INT(O$2/$K144))-1)/($N144^$K144-1)),$G144*INT(O$2/$K144))</f>
        <v>#VALUE!</v>
      </c>
      <c r="P144" s="169" t="s">
        <v>103</v>
      </c>
      <c r="Q144" s="114" t="e">
        <f t="shared" si="248"/>
        <v>#VALUE!</v>
      </c>
      <c r="R144" s="115" t="e">
        <f t="shared" si="248"/>
        <v>#VALUE!</v>
      </c>
      <c r="S144" s="115" t="e">
        <f t="shared" si="248"/>
        <v>#VALUE!</v>
      </c>
      <c r="T144" s="115" t="e">
        <f t="shared" si="248"/>
        <v>#VALUE!</v>
      </c>
      <c r="U144" s="115" t="e">
        <f t="shared" si="248"/>
        <v>#VALUE!</v>
      </c>
      <c r="V144" s="115" t="e">
        <f t="shared" si="248"/>
        <v>#VALUE!</v>
      </c>
      <c r="W144" s="115" t="e">
        <f t="shared" si="248"/>
        <v>#VALUE!</v>
      </c>
      <c r="X144" s="115" t="e">
        <f t="shared" si="248"/>
        <v>#VALUE!</v>
      </c>
      <c r="Y144" s="115" t="e">
        <f t="shared" si="248"/>
        <v>#VALUE!</v>
      </c>
      <c r="Z144" s="115" t="e">
        <f t="shared" ref="Z144:AI153" si="249">IF($N144&lt;&gt;1,$G144*($N144^$K144)*(($N144^($K144*INT(Z$2/$K144))-1)/($N144^$K144-1)),$G144*INT(Z$2/$K144))</f>
        <v>#VALUE!</v>
      </c>
      <c r="AA144" s="115" t="e">
        <f t="shared" si="249"/>
        <v>#VALUE!</v>
      </c>
      <c r="AB144" s="115" t="e">
        <f t="shared" si="249"/>
        <v>#VALUE!</v>
      </c>
      <c r="AC144" s="115" t="e">
        <f t="shared" si="249"/>
        <v>#VALUE!</v>
      </c>
      <c r="AD144" s="115" t="e">
        <f t="shared" si="249"/>
        <v>#VALUE!</v>
      </c>
      <c r="AE144" s="115" t="e">
        <f t="shared" si="249"/>
        <v>#VALUE!</v>
      </c>
      <c r="AF144" s="115" t="e">
        <f t="shared" si="249"/>
        <v>#VALUE!</v>
      </c>
      <c r="AG144" s="115" t="e">
        <f t="shared" si="249"/>
        <v>#VALUE!</v>
      </c>
      <c r="AH144" s="115" t="e">
        <f t="shared" si="249"/>
        <v>#VALUE!</v>
      </c>
      <c r="AI144" s="115" t="e">
        <f t="shared" si="249"/>
        <v>#VALUE!</v>
      </c>
      <c r="AJ144" s="115" t="e">
        <f t="shared" ref="AJ144:AS153" si="250">IF($N144&lt;&gt;1,$G144*($N144^$K144)*(($N144^($K144*INT(AJ$2/$K144))-1)/($N144^$K144-1)),$G144*INT(AJ$2/$K144))</f>
        <v>#VALUE!</v>
      </c>
      <c r="AK144" s="115" t="e">
        <f t="shared" si="250"/>
        <v>#VALUE!</v>
      </c>
      <c r="AL144" s="115" t="e">
        <f t="shared" si="250"/>
        <v>#VALUE!</v>
      </c>
      <c r="AM144" s="115" t="e">
        <f t="shared" si="250"/>
        <v>#VALUE!</v>
      </c>
      <c r="AN144" s="115" t="e">
        <f t="shared" si="250"/>
        <v>#VALUE!</v>
      </c>
      <c r="AO144" s="115" t="e">
        <f t="shared" si="250"/>
        <v>#VALUE!</v>
      </c>
      <c r="AP144" s="115" t="e">
        <f t="shared" si="250"/>
        <v>#VALUE!</v>
      </c>
      <c r="AQ144" s="115" t="e">
        <f t="shared" si="250"/>
        <v>#VALUE!</v>
      </c>
      <c r="AR144" s="115" t="e">
        <f t="shared" si="250"/>
        <v>#VALUE!</v>
      </c>
      <c r="AS144" s="115" t="e">
        <f t="shared" si="250"/>
        <v>#VALUE!</v>
      </c>
      <c r="AT144" s="115" t="e">
        <f t="shared" ref="AT144:BC153" si="251">IF($N144&lt;&gt;1,$G144*($N144^$K144)*(($N144^($K144*INT(AT$2/$K144))-1)/($N144^$K144-1)),$G144*INT(AT$2/$K144))</f>
        <v>#VALUE!</v>
      </c>
      <c r="AU144" s="115" t="e">
        <f t="shared" si="251"/>
        <v>#VALUE!</v>
      </c>
      <c r="AV144" s="115" t="e">
        <f t="shared" si="251"/>
        <v>#VALUE!</v>
      </c>
      <c r="AW144" s="115" t="e">
        <f t="shared" si="251"/>
        <v>#VALUE!</v>
      </c>
      <c r="AX144" s="115" t="e">
        <f t="shared" si="251"/>
        <v>#VALUE!</v>
      </c>
      <c r="AY144" s="115" t="e">
        <f t="shared" si="251"/>
        <v>#VALUE!</v>
      </c>
      <c r="AZ144" s="115" t="e">
        <f t="shared" si="251"/>
        <v>#VALUE!</v>
      </c>
      <c r="BA144" s="115" t="e">
        <f t="shared" si="251"/>
        <v>#VALUE!</v>
      </c>
      <c r="BB144" s="115" t="e">
        <f t="shared" si="251"/>
        <v>#VALUE!</v>
      </c>
      <c r="BC144" s="115" t="e">
        <f t="shared" si="251"/>
        <v>#VALUE!</v>
      </c>
      <c r="BD144" s="115" t="e">
        <f t="shared" ref="BD144:BM153" si="252">IF($N144&lt;&gt;1,$G144*($N144^$K144)*(($N144^($K144*INT(BD$2/$K144))-1)/($N144^$K144-1)),$G144*INT(BD$2/$K144))</f>
        <v>#VALUE!</v>
      </c>
      <c r="BE144" s="115" t="e">
        <f t="shared" si="252"/>
        <v>#VALUE!</v>
      </c>
      <c r="BF144" s="115" t="e">
        <f t="shared" si="252"/>
        <v>#VALUE!</v>
      </c>
      <c r="BG144" s="115" t="e">
        <f t="shared" si="252"/>
        <v>#VALUE!</v>
      </c>
      <c r="BH144" s="115" t="e">
        <f t="shared" si="252"/>
        <v>#VALUE!</v>
      </c>
      <c r="BI144" s="115" t="e">
        <f t="shared" si="252"/>
        <v>#VALUE!</v>
      </c>
      <c r="BJ144" s="115" t="e">
        <f t="shared" si="252"/>
        <v>#VALUE!</v>
      </c>
      <c r="BK144" s="115" t="e">
        <f t="shared" si="252"/>
        <v>#VALUE!</v>
      </c>
      <c r="BL144" s="115" t="e">
        <f t="shared" si="252"/>
        <v>#VALUE!</v>
      </c>
      <c r="BM144" s="115" t="e">
        <f t="shared" si="252"/>
        <v>#VALUE!</v>
      </c>
      <c r="BN144" s="115" t="e">
        <f t="shared" ref="BN144:BW153" si="253">IF($N144&lt;&gt;1,$G144*($N144^$K144)*(($N144^($K144*INT(BN$2/$K144))-1)/($N144^$K144-1)),$G144*INT(BN$2/$K144))</f>
        <v>#VALUE!</v>
      </c>
      <c r="BO144" s="115" t="e">
        <f t="shared" si="253"/>
        <v>#VALUE!</v>
      </c>
      <c r="BP144" s="115" t="e">
        <f t="shared" si="253"/>
        <v>#VALUE!</v>
      </c>
      <c r="BQ144" s="115" t="e">
        <f t="shared" si="253"/>
        <v>#VALUE!</v>
      </c>
      <c r="BR144" s="115" t="e">
        <f t="shared" si="253"/>
        <v>#VALUE!</v>
      </c>
      <c r="BS144" s="115" t="e">
        <f t="shared" si="253"/>
        <v>#VALUE!</v>
      </c>
      <c r="BT144" s="115" t="e">
        <f t="shared" si="253"/>
        <v>#VALUE!</v>
      </c>
      <c r="BU144" s="115" t="e">
        <f t="shared" si="253"/>
        <v>#VALUE!</v>
      </c>
      <c r="BV144" s="115" t="e">
        <f t="shared" si="253"/>
        <v>#VALUE!</v>
      </c>
      <c r="BW144" s="115" t="e">
        <f t="shared" si="253"/>
        <v>#VALUE!</v>
      </c>
      <c r="BX144" s="115" t="e">
        <f t="shared" ref="BX144:CG153" si="254">IF($N144&lt;&gt;1,$G144*($N144^$K144)*(($N144^($K144*INT(BX$2/$K144))-1)/($N144^$K144-1)),$G144*INT(BX$2/$K144))</f>
        <v>#VALUE!</v>
      </c>
      <c r="BY144" s="115" t="e">
        <f t="shared" si="254"/>
        <v>#VALUE!</v>
      </c>
      <c r="BZ144" s="115" t="e">
        <f t="shared" si="254"/>
        <v>#VALUE!</v>
      </c>
      <c r="CA144" s="115" t="e">
        <f t="shared" si="254"/>
        <v>#VALUE!</v>
      </c>
      <c r="CB144" s="115" t="e">
        <f t="shared" si="254"/>
        <v>#VALUE!</v>
      </c>
      <c r="CC144" s="115" t="e">
        <f t="shared" si="254"/>
        <v>#VALUE!</v>
      </c>
      <c r="CD144" s="115" t="e">
        <f t="shared" si="254"/>
        <v>#VALUE!</v>
      </c>
      <c r="CE144" s="115" t="e">
        <f t="shared" si="254"/>
        <v>#VALUE!</v>
      </c>
      <c r="CF144" s="115" t="e">
        <f t="shared" si="254"/>
        <v>#VALUE!</v>
      </c>
      <c r="CG144" s="115" t="e">
        <f t="shared" si="254"/>
        <v>#VALUE!</v>
      </c>
      <c r="CH144" s="115" t="e">
        <f t="shared" ref="CH144:CQ153" si="255">IF($N144&lt;&gt;1,$G144*($N144^$K144)*(($N144^($K144*INT(CH$2/$K144))-1)/($N144^$K144-1)),$G144*INT(CH$2/$K144))</f>
        <v>#VALUE!</v>
      </c>
      <c r="CI144" s="115" t="e">
        <f t="shared" si="255"/>
        <v>#VALUE!</v>
      </c>
      <c r="CJ144" s="115" t="e">
        <f t="shared" si="255"/>
        <v>#VALUE!</v>
      </c>
      <c r="CK144" s="115" t="e">
        <f t="shared" si="255"/>
        <v>#VALUE!</v>
      </c>
      <c r="CL144" s="115" t="e">
        <f t="shared" si="255"/>
        <v>#VALUE!</v>
      </c>
      <c r="CM144" s="115" t="e">
        <f t="shared" si="255"/>
        <v>#VALUE!</v>
      </c>
      <c r="CN144" s="115" t="e">
        <f t="shared" si="255"/>
        <v>#VALUE!</v>
      </c>
      <c r="CO144" s="115" t="e">
        <f t="shared" si="255"/>
        <v>#VALUE!</v>
      </c>
      <c r="CP144" s="115" t="e">
        <f t="shared" si="255"/>
        <v>#VALUE!</v>
      </c>
      <c r="CQ144" s="115" t="e">
        <f t="shared" si="255"/>
        <v>#VALUE!</v>
      </c>
      <c r="CR144" s="115" t="e">
        <f t="shared" ref="CR144:DA153" si="256">IF($N144&lt;&gt;1,$G144*($N144^$K144)*(($N144^($K144*INT(CR$2/$K144))-1)/($N144^$K144-1)),$G144*INT(CR$2/$K144))</f>
        <v>#VALUE!</v>
      </c>
      <c r="CS144" s="115" t="e">
        <f t="shared" si="256"/>
        <v>#VALUE!</v>
      </c>
      <c r="CT144" s="115" t="e">
        <f t="shared" si="256"/>
        <v>#VALUE!</v>
      </c>
      <c r="CU144" s="115" t="e">
        <f t="shared" si="256"/>
        <v>#VALUE!</v>
      </c>
      <c r="CV144" s="115" t="e">
        <f t="shared" si="256"/>
        <v>#VALUE!</v>
      </c>
      <c r="CW144" s="115" t="e">
        <f t="shared" si="256"/>
        <v>#VALUE!</v>
      </c>
      <c r="CX144" s="115" t="e">
        <f t="shared" si="256"/>
        <v>#VALUE!</v>
      </c>
      <c r="CY144" s="115" t="e">
        <f t="shared" si="256"/>
        <v>#VALUE!</v>
      </c>
      <c r="CZ144" s="115" t="e">
        <f t="shared" si="256"/>
        <v>#VALUE!</v>
      </c>
      <c r="DA144" s="115" t="e">
        <f t="shared" si="256"/>
        <v>#VALUE!</v>
      </c>
      <c r="DB144" s="115" t="e">
        <f t="shared" ref="DB144:DM153" si="257">IF($N144&lt;&gt;1,$G144*($N144^$K144)*(($N144^($K144*INT(DB$2/$K144))-1)/($N144^$K144-1)),$G144*INT(DB$2/$K144))</f>
        <v>#VALUE!</v>
      </c>
      <c r="DC144" s="115" t="e">
        <f t="shared" si="257"/>
        <v>#VALUE!</v>
      </c>
      <c r="DD144" s="115" t="e">
        <f t="shared" si="257"/>
        <v>#VALUE!</v>
      </c>
      <c r="DE144" s="115" t="e">
        <f t="shared" si="257"/>
        <v>#VALUE!</v>
      </c>
      <c r="DF144" s="115" t="e">
        <f t="shared" si="257"/>
        <v>#VALUE!</v>
      </c>
      <c r="DG144" s="115" t="e">
        <f t="shared" si="257"/>
        <v>#VALUE!</v>
      </c>
      <c r="DH144" s="115" t="e">
        <f t="shared" si="257"/>
        <v>#VALUE!</v>
      </c>
      <c r="DI144" s="115" t="e">
        <f t="shared" si="257"/>
        <v>#VALUE!</v>
      </c>
      <c r="DJ144" s="115" t="e">
        <f t="shared" si="257"/>
        <v>#VALUE!</v>
      </c>
      <c r="DK144" s="115" t="e">
        <f t="shared" si="257"/>
        <v>#VALUE!</v>
      </c>
      <c r="DL144" s="115" t="e">
        <f t="shared" si="257"/>
        <v>#VALUE!</v>
      </c>
      <c r="DM144" s="115" t="e">
        <f t="shared" si="257"/>
        <v>#VALUE!</v>
      </c>
    </row>
    <row r="145" spans="1:117" ht="15" customHeight="1" thickBot="1">
      <c r="A145" s="55">
        <v>14800</v>
      </c>
      <c r="B145" s="194" t="s">
        <v>728</v>
      </c>
      <c r="C145" s="194" t="s">
        <v>900</v>
      </c>
      <c r="D145" s="194" t="s">
        <v>225</v>
      </c>
      <c r="E145" s="194" t="s">
        <v>226</v>
      </c>
      <c r="F145" s="194" t="s">
        <v>1113</v>
      </c>
      <c r="G145" s="291" t="e">
        <f t="shared" si="244"/>
        <v>#VALUE!</v>
      </c>
      <c r="H145" s="292" t="e">
        <f>VLOOKUP("E3.G.02",Errichtungskosten,12,0) *VLOOKUP("PFAKT",Instandsetzung,5,0)</f>
        <v>#VALUE!</v>
      </c>
      <c r="I145" s="168"/>
      <c r="J145" s="194" t="s">
        <v>850</v>
      </c>
      <c r="K145" s="385">
        <f t="shared" si="245"/>
        <v>20</v>
      </c>
      <c r="L145" s="379" t="s">
        <v>358</v>
      </c>
      <c r="M145" s="325">
        <f t="shared" si="246"/>
        <v>1.35</v>
      </c>
      <c r="N145" s="380">
        <f t="shared" si="247"/>
        <v>0.99655850540806312</v>
      </c>
      <c r="O145" s="381" t="e">
        <f t="shared" si="248"/>
        <v>#VALUE!</v>
      </c>
      <c r="P145" s="169" t="s">
        <v>103</v>
      </c>
      <c r="Q145" s="114" t="e">
        <f t="shared" si="248"/>
        <v>#VALUE!</v>
      </c>
      <c r="R145" s="115" t="e">
        <f t="shared" si="248"/>
        <v>#VALUE!</v>
      </c>
      <c r="S145" s="115" t="e">
        <f t="shared" si="248"/>
        <v>#VALUE!</v>
      </c>
      <c r="T145" s="115" t="e">
        <f t="shared" si="248"/>
        <v>#VALUE!</v>
      </c>
      <c r="U145" s="115" t="e">
        <f t="shared" si="248"/>
        <v>#VALUE!</v>
      </c>
      <c r="V145" s="115" t="e">
        <f t="shared" si="248"/>
        <v>#VALUE!</v>
      </c>
      <c r="W145" s="115" t="e">
        <f t="shared" si="248"/>
        <v>#VALUE!</v>
      </c>
      <c r="X145" s="115" t="e">
        <f t="shared" si="248"/>
        <v>#VALUE!</v>
      </c>
      <c r="Y145" s="115" t="e">
        <f t="shared" si="248"/>
        <v>#VALUE!</v>
      </c>
      <c r="Z145" s="115" t="e">
        <f t="shared" si="249"/>
        <v>#VALUE!</v>
      </c>
      <c r="AA145" s="115" t="e">
        <f t="shared" si="249"/>
        <v>#VALUE!</v>
      </c>
      <c r="AB145" s="115" t="e">
        <f t="shared" si="249"/>
        <v>#VALUE!</v>
      </c>
      <c r="AC145" s="115" t="e">
        <f t="shared" si="249"/>
        <v>#VALUE!</v>
      </c>
      <c r="AD145" s="115" t="e">
        <f t="shared" si="249"/>
        <v>#VALUE!</v>
      </c>
      <c r="AE145" s="115" t="e">
        <f t="shared" si="249"/>
        <v>#VALUE!</v>
      </c>
      <c r="AF145" s="115" t="e">
        <f t="shared" si="249"/>
        <v>#VALUE!</v>
      </c>
      <c r="AG145" s="115" t="e">
        <f t="shared" si="249"/>
        <v>#VALUE!</v>
      </c>
      <c r="AH145" s="115" t="e">
        <f t="shared" si="249"/>
        <v>#VALUE!</v>
      </c>
      <c r="AI145" s="115" t="e">
        <f t="shared" si="249"/>
        <v>#VALUE!</v>
      </c>
      <c r="AJ145" s="115" t="e">
        <f t="shared" si="250"/>
        <v>#VALUE!</v>
      </c>
      <c r="AK145" s="115" t="e">
        <f t="shared" si="250"/>
        <v>#VALUE!</v>
      </c>
      <c r="AL145" s="115" t="e">
        <f t="shared" si="250"/>
        <v>#VALUE!</v>
      </c>
      <c r="AM145" s="115" t="e">
        <f t="shared" si="250"/>
        <v>#VALUE!</v>
      </c>
      <c r="AN145" s="115" t="e">
        <f t="shared" si="250"/>
        <v>#VALUE!</v>
      </c>
      <c r="AO145" s="115" t="e">
        <f t="shared" si="250"/>
        <v>#VALUE!</v>
      </c>
      <c r="AP145" s="115" t="e">
        <f t="shared" si="250"/>
        <v>#VALUE!</v>
      </c>
      <c r="AQ145" s="115" t="e">
        <f t="shared" si="250"/>
        <v>#VALUE!</v>
      </c>
      <c r="AR145" s="115" t="e">
        <f t="shared" si="250"/>
        <v>#VALUE!</v>
      </c>
      <c r="AS145" s="115" t="e">
        <f t="shared" si="250"/>
        <v>#VALUE!</v>
      </c>
      <c r="AT145" s="115" t="e">
        <f t="shared" si="251"/>
        <v>#VALUE!</v>
      </c>
      <c r="AU145" s="115" t="e">
        <f t="shared" si="251"/>
        <v>#VALUE!</v>
      </c>
      <c r="AV145" s="115" t="e">
        <f t="shared" si="251"/>
        <v>#VALUE!</v>
      </c>
      <c r="AW145" s="115" t="e">
        <f t="shared" si="251"/>
        <v>#VALUE!</v>
      </c>
      <c r="AX145" s="115" t="e">
        <f t="shared" si="251"/>
        <v>#VALUE!</v>
      </c>
      <c r="AY145" s="115" t="e">
        <f t="shared" si="251"/>
        <v>#VALUE!</v>
      </c>
      <c r="AZ145" s="115" t="e">
        <f t="shared" si="251"/>
        <v>#VALUE!</v>
      </c>
      <c r="BA145" s="115" t="e">
        <f t="shared" si="251"/>
        <v>#VALUE!</v>
      </c>
      <c r="BB145" s="115" t="e">
        <f t="shared" si="251"/>
        <v>#VALUE!</v>
      </c>
      <c r="BC145" s="115" t="e">
        <f t="shared" si="251"/>
        <v>#VALUE!</v>
      </c>
      <c r="BD145" s="115" t="e">
        <f t="shared" si="252"/>
        <v>#VALUE!</v>
      </c>
      <c r="BE145" s="115" t="e">
        <f t="shared" si="252"/>
        <v>#VALUE!</v>
      </c>
      <c r="BF145" s="115" t="e">
        <f t="shared" si="252"/>
        <v>#VALUE!</v>
      </c>
      <c r="BG145" s="115" t="e">
        <f t="shared" si="252"/>
        <v>#VALUE!</v>
      </c>
      <c r="BH145" s="115" t="e">
        <f t="shared" si="252"/>
        <v>#VALUE!</v>
      </c>
      <c r="BI145" s="115" t="e">
        <f t="shared" si="252"/>
        <v>#VALUE!</v>
      </c>
      <c r="BJ145" s="115" t="e">
        <f t="shared" si="252"/>
        <v>#VALUE!</v>
      </c>
      <c r="BK145" s="115" t="e">
        <f t="shared" si="252"/>
        <v>#VALUE!</v>
      </c>
      <c r="BL145" s="115" t="e">
        <f t="shared" si="252"/>
        <v>#VALUE!</v>
      </c>
      <c r="BM145" s="115" t="e">
        <f t="shared" si="252"/>
        <v>#VALUE!</v>
      </c>
      <c r="BN145" s="115" t="e">
        <f t="shared" si="253"/>
        <v>#VALUE!</v>
      </c>
      <c r="BO145" s="115" t="e">
        <f t="shared" si="253"/>
        <v>#VALUE!</v>
      </c>
      <c r="BP145" s="115" t="e">
        <f t="shared" si="253"/>
        <v>#VALUE!</v>
      </c>
      <c r="BQ145" s="115" t="e">
        <f t="shared" si="253"/>
        <v>#VALUE!</v>
      </c>
      <c r="BR145" s="115" t="e">
        <f t="shared" si="253"/>
        <v>#VALUE!</v>
      </c>
      <c r="BS145" s="115" t="e">
        <f t="shared" si="253"/>
        <v>#VALUE!</v>
      </c>
      <c r="BT145" s="115" t="e">
        <f t="shared" si="253"/>
        <v>#VALUE!</v>
      </c>
      <c r="BU145" s="115" t="e">
        <f t="shared" si="253"/>
        <v>#VALUE!</v>
      </c>
      <c r="BV145" s="115" t="e">
        <f t="shared" si="253"/>
        <v>#VALUE!</v>
      </c>
      <c r="BW145" s="115" t="e">
        <f t="shared" si="253"/>
        <v>#VALUE!</v>
      </c>
      <c r="BX145" s="115" t="e">
        <f t="shared" si="254"/>
        <v>#VALUE!</v>
      </c>
      <c r="BY145" s="115" t="e">
        <f t="shared" si="254"/>
        <v>#VALUE!</v>
      </c>
      <c r="BZ145" s="115" t="e">
        <f t="shared" si="254"/>
        <v>#VALUE!</v>
      </c>
      <c r="CA145" s="115" t="e">
        <f t="shared" si="254"/>
        <v>#VALUE!</v>
      </c>
      <c r="CB145" s="115" t="e">
        <f t="shared" si="254"/>
        <v>#VALUE!</v>
      </c>
      <c r="CC145" s="115" t="e">
        <f t="shared" si="254"/>
        <v>#VALUE!</v>
      </c>
      <c r="CD145" s="115" t="e">
        <f t="shared" si="254"/>
        <v>#VALUE!</v>
      </c>
      <c r="CE145" s="115" t="e">
        <f t="shared" si="254"/>
        <v>#VALUE!</v>
      </c>
      <c r="CF145" s="115" t="e">
        <f t="shared" si="254"/>
        <v>#VALUE!</v>
      </c>
      <c r="CG145" s="115" t="e">
        <f t="shared" si="254"/>
        <v>#VALUE!</v>
      </c>
      <c r="CH145" s="115" t="e">
        <f t="shared" si="255"/>
        <v>#VALUE!</v>
      </c>
      <c r="CI145" s="115" t="e">
        <f t="shared" si="255"/>
        <v>#VALUE!</v>
      </c>
      <c r="CJ145" s="115" t="e">
        <f t="shared" si="255"/>
        <v>#VALUE!</v>
      </c>
      <c r="CK145" s="115" t="e">
        <f t="shared" si="255"/>
        <v>#VALUE!</v>
      </c>
      <c r="CL145" s="115" t="e">
        <f t="shared" si="255"/>
        <v>#VALUE!</v>
      </c>
      <c r="CM145" s="115" t="e">
        <f t="shared" si="255"/>
        <v>#VALUE!</v>
      </c>
      <c r="CN145" s="115" t="e">
        <f t="shared" si="255"/>
        <v>#VALUE!</v>
      </c>
      <c r="CO145" s="115" t="e">
        <f t="shared" si="255"/>
        <v>#VALUE!</v>
      </c>
      <c r="CP145" s="115" t="e">
        <f t="shared" si="255"/>
        <v>#VALUE!</v>
      </c>
      <c r="CQ145" s="115" t="e">
        <f t="shared" si="255"/>
        <v>#VALUE!</v>
      </c>
      <c r="CR145" s="115" t="e">
        <f t="shared" si="256"/>
        <v>#VALUE!</v>
      </c>
      <c r="CS145" s="115" t="e">
        <f t="shared" si="256"/>
        <v>#VALUE!</v>
      </c>
      <c r="CT145" s="115" t="e">
        <f t="shared" si="256"/>
        <v>#VALUE!</v>
      </c>
      <c r="CU145" s="115" t="e">
        <f t="shared" si="256"/>
        <v>#VALUE!</v>
      </c>
      <c r="CV145" s="115" t="e">
        <f t="shared" si="256"/>
        <v>#VALUE!</v>
      </c>
      <c r="CW145" s="115" t="e">
        <f t="shared" si="256"/>
        <v>#VALUE!</v>
      </c>
      <c r="CX145" s="115" t="e">
        <f t="shared" si="256"/>
        <v>#VALUE!</v>
      </c>
      <c r="CY145" s="115" t="e">
        <f t="shared" si="256"/>
        <v>#VALUE!</v>
      </c>
      <c r="CZ145" s="115" t="e">
        <f t="shared" si="256"/>
        <v>#VALUE!</v>
      </c>
      <c r="DA145" s="115" t="e">
        <f t="shared" si="256"/>
        <v>#VALUE!</v>
      </c>
      <c r="DB145" s="115" t="e">
        <f t="shared" si="257"/>
        <v>#VALUE!</v>
      </c>
      <c r="DC145" s="115" t="e">
        <f t="shared" si="257"/>
        <v>#VALUE!</v>
      </c>
      <c r="DD145" s="115" t="e">
        <f t="shared" si="257"/>
        <v>#VALUE!</v>
      </c>
      <c r="DE145" s="115" t="e">
        <f t="shared" si="257"/>
        <v>#VALUE!</v>
      </c>
      <c r="DF145" s="115" t="e">
        <f t="shared" si="257"/>
        <v>#VALUE!</v>
      </c>
      <c r="DG145" s="115" t="e">
        <f t="shared" si="257"/>
        <v>#VALUE!</v>
      </c>
      <c r="DH145" s="115" t="e">
        <f t="shared" si="257"/>
        <v>#VALUE!</v>
      </c>
      <c r="DI145" s="115" t="e">
        <f t="shared" si="257"/>
        <v>#VALUE!</v>
      </c>
      <c r="DJ145" s="115" t="e">
        <f t="shared" si="257"/>
        <v>#VALUE!</v>
      </c>
      <c r="DK145" s="115" t="e">
        <f t="shared" si="257"/>
        <v>#VALUE!</v>
      </c>
      <c r="DL145" s="115" t="e">
        <f t="shared" si="257"/>
        <v>#VALUE!</v>
      </c>
      <c r="DM145" s="115" t="e">
        <f t="shared" si="257"/>
        <v>#VALUE!</v>
      </c>
    </row>
    <row r="146" spans="1:117" ht="15" customHeight="1" thickBot="1">
      <c r="A146" s="55">
        <v>14900</v>
      </c>
      <c r="B146" s="194" t="s">
        <v>728</v>
      </c>
      <c r="C146" s="194" t="s">
        <v>901</v>
      </c>
      <c r="D146" s="194" t="s">
        <v>223</v>
      </c>
      <c r="E146" s="194" t="s">
        <v>224</v>
      </c>
      <c r="F146" s="194" t="s">
        <v>1114</v>
      </c>
      <c r="G146" s="291" t="e">
        <f t="shared" si="244"/>
        <v>#VALUE!</v>
      </c>
      <c r="H146" s="292" t="e">
        <f>VLOOKUP("E3.G.03",Errichtungskosten,12,0) *VLOOKUP("PFAKT",Instandsetzung,5,0)</f>
        <v>#VALUE!</v>
      </c>
      <c r="I146" s="168"/>
      <c r="J146" s="194" t="s">
        <v>850</v>
      </c>
      <c r="K146" s="385">
        <f t="shared" si="245"/>
        <v>14</v>
      </c>
      <c r="L146" s="379" t="s">
        <v>358</v>
      </c>
      <c r="M146" s="325">
        <f t="shared" si="246"/>
        <v>1.35</v>
      </c>
      <c r="N146" s="380">
        <f t="shared" si="247"/>
        <v>0.99655850540806312</v>
      </c>
      <c r="O146" s="381" t="e">
        <f t="shared" si="248"/>
        <v>#VALUE!</v>
      </c>
      <c r="P146" s="169" t="s">
        <v>103</v>
      </c>
      <c r="Q146" s="114" t="e">
        <f t="shared" si="248"/>
        <v>#VALUE!</v>
      </c>
      <c r="R146" s="115" t="e">
        <f t="shared" si="248"/>
        <v>#VALUE!</v>
      </c>
      <c r="S146" s="115" t="e">
        <f t="shared" si="248"/>
        <v>#VALUE!</v>
      </c>
      <c r="T146" s="115" t="e">
        <f t="shared" si="248"/>
        <v>#VALUE!</v>
      </c>
      <c r="U146" s="115" t="e">
        <f t="shared" si="248"/>
        <v>#VALUE!</v>
      </c>
      <c r="V146" s="115" t="e">
        <f t="shared" si="248"/>
        <v>#VALUE!</v>
      </c>
      <c r="W146" s="115" t="e">
        <f t="shared" si="248"/>
        <v>#VALUE!</v>
      </c>
      <c r="X146" s="115" t="e">
        <f t="shared" si="248"/>
        <v>#VALUE!</v>
      </c>
      <c r="Y146" s="115" t="e">
        <f t="shared" si="248"/>
        <v>#VALUE!</v>
      </c>
      <c r="Z146" s="115" t="e">
        <f t="shared" si="249"/>
        <v>#VALUE!</v>
      </c>
      <c r="AA146" s="115" t="e">
        <f t="shared" si="249"/>
        <v>#VALUE!</v>
      </c>
      <c r="AB146" s="115" t="e">
        <f t="shared" si="249"/>
        <v>#VALUE!</v>
      </c>
      <c r="AC146" s="115" t="e">
        <f t="shared" si="249"/>
        <v>#VALUE!</v>
      </c>
      <c r="AD146" s="115" t="e">
        <f t="shared" si="249"/>
        <v>#VALUE!</v>
      </c>
      <c r="AE146" s="115" t="e">
        <f t="shared" si="249"/>
        <v>#VALUE!</v>
      </c>
      <c r="AF146" s="115" t="e">
        <f t="shared" si="249"/>
        <v>#VALUE!</v>
      </c>
      <c r="AG146" s="115" t="e">
        <f t="shared" si="249"/>
        <v>#VALUE!</v>
      </c>
      <c r="AH146" s="115" t="e">
        <f t="shared" si="249"/>
        <v>#VALUE!</v>
      </c>
      <c r="AI146" s="115" t="e">
        <f t="shared" si="249"/>
        <v>#VALUE!</v>
      </c>
      <c r="AJ146" s="115" t="e">
        <f t="shared" si="250"/>
        <v>#VALUE!</v>
      </c>
      <c r="AK146" s="115" t="e">
        <f t="shared" si="250"/>
        <v>#VALUE!</v>
      </c>
      <c r="AL146" s="115" t="e">
        <f t="shared" si="250"/>
        <v>#VALUE!</v>
      </c>
      <c r="AM146" s="115" t="e">
        <f t="shared" si="250"/>
        <v>#VALUE!</v>
      </c>
      <c r="AN146" s="115" t="e">
        <f t="shared" si="250"/>
        <v>#VALUE!</v>
      </c>
      <c r="AO146" s="115" t="e">
        <f t="shared" si="250"/>
        <v>#VALUE!</v>
      </c>
      <c r="AP146" s="115" t="e">
        <f t="shared" si="250"/>
        <v>#VALUE!</v>
      </c>
      <c r="AQ146" s="115" t="e">
        <f t="shared" si="250"/>
        <v>#VALUE!</v>
      </c>
      <c r="AR146" s="115" t="e">
        <f t="shared" si="250"/>
        <v>#VALUE!</v>
      </c>
      <c r="AS146" s="115" t="e">
        <f t="shared" si="250"/>
        <v>#VALUE!</v>
      </c>
      <c r="AT146" s="115" t="e">
        <f t="shared" si="251"/>
        <v>#VALUE!</v>
      </c>
      <c r="AU146" s="115" t="e">
        <f t="shared" si="251"/>
        <v>#VALUE!</v>
      </c>
      <c r="AV146" s="115" t="e">
        <f t="shared" si="251"/>
        <v>#VALUE!</v>
      </c>
      <c r="AW146" s="115" t="e">
        <f t="shared" si="251"/>
        <v>#VALUE!</v>
      </c>
      <c r="AX146" s="115" t="e">
        <f t="shared" si="251"/>
        <v>#VALUE!</v>
      </c>
      <c r="AY146" s="115" t="e">
        <f t="shared" si="251"/>
        <v>#VALUE!</v>
      </c>
      <c r="AZ146" s="115" t="e">
        <f t="shared" si="251"/>
        <v>#VALUE!</v>
      </c>
      <c r="BA146" s="115" t="e">
        <f t="shared" si="251"/>
        <v>#VALUE!</v>
      </c>
      <c r="BB146" s="115" t="e">
        <f t="shared" si="251"/>
        <v>#VALUE!</v>
      </c>
      <c r="BC146" s="115" t="e">
        <f t="shared" si="251"/>
        <v>#VALUE!</v>
      </c>
      <c r="BD146" s="115" t="e">
        <f t="shared" si="252"/>
        <v>#VALUE!</v>
      </c>
      <c r="BE146" s="115" t="e">
        <f t="shared" si="252"/>
        <v>#VALUE!</v>
      </c>
      <c r="BF146" s="115" t="e">
        <f t="shared" si="252"/>
        <v>#VALUE!</v>
      </c>
      <c r="BG146" s="115" t="e">
        <f t="shared" si="252"/>
        <v>#VALUE!</v>
      </c>
      <c r="BH146" s="115" t="e">
        <f t="shared" si="252"/>
        <v>#VALUE!</v>
      </c>
      <c r="BI146" s="115" t="e">
        <f t="shared" si="252"/>
        <v>#VALUE!</v>
      </c>
      <c r="BJ146" s="115" t="e">
        <f t="shared" si="252"/>
        <v>#VALUE!</v>
      </c>
      <c r="BK146" s="115" t="e">
        <f t="shared" si="252"/>
        <v>#VALUE!</v>
      </c>
      <c r="BL146" s="115" t="e">
        <f t="shared" si="252"/>
        <v>#VALUE!</v>
      </c>
      <c r="BM146" s="115" t="e">
        <f t="shared" si="252"/>
        <v>#VALUE!</v>
      </c>
      <c r="BN146" s="115" t="e">
        <f t="shared" si="253"/>
        <v>#VALUE!</v>
      </c>
      <c r="BO146" s="115" t="e">
        <f t="shared" si="253"/>
        <v>#VALUE!</v>
      </c>
      <c r="BP146" s="115" t="e">
        <f t="shared" si="253"/>
        <v>#VALUE!</v>
      </c>
      <c r="BQ146" s="115" t="e">
        <f t="shared" si="253"/>
        <v>#VALUE!</v>
      </c>
      <c r="BR146" s="115" t="e">
        <f t="shared" si="253"/>
        <v>#VALUE!</v>
      </c>
      <c r="BS146" s="115" t="e">
        <f t="shared" si="253"/>
        <v>#VALUE!</v>
      </c>
      <c r="BT146" s="115" t="e">
        <f t="shared" si="253"/>
        <v>#VALUE!</v>
      </c>
      <c r="BU146" s="115" t="e">
        <f t="shared" si="253"/>
        <v>#VALUE!</v>
      </c>
      <c r="BV146" s="115" t="e">
        <f t="shared" si="253"/>
        <v>#VALUE!</v>
      </c>
      <c r="BW146" s="115" t="e">
        <f t="shared" si="253"/>
        <v>#VALUE!</v>
      </c>
      <c r="BX146" s="115" t="e">
        <f t="shared" si="254"/>
        <v>#VALUE!</v>
      </c>
      <c r="BY146" s="115" t="e">
        <f t="shared" si="254"/>
        <v>#VALUE!</v>
      </c>
      <c r="BZ146" s="115" t="e">
        <f t="shared" si="254"/>
        <v>#VALUE!</v>
      </c>
      <c r="CA146" s="115" t="e">
        <f t="shared" si="254"/>
        <v>#VALUE!</v>
      </c>
      <c r="CB146" s="115" t="e">
        <f t="shared" si="254"/>
        <v>#VALUE!</v>
      </c>
      <c r="CC146" s="115" t="e">
        <f t="shared" si="254"/>
        <v>#VALUE!</v>
      </c>
      <c r="CD146" s="115" t="e">
        <f t="shared" si="254"/>
        <v>#VALUE!</v>
      </c>
      <c r="CE146" s="115" t="e">
        <f t="shared" si="254"/>
        <v>#VALUE!</v>
      </c>
      <c r="CF146" s="115" t="e">
        <f t="shared" si="254"/>
        <v>#VALUE!</v>
      </c>
      <c r="CG146" s="115" t="e">
        <f t="shared" si="254"/>
        <v>#VALUE!</v>
      </c>
      <c r="CH146" s="115" t="e">
        <f t="shared" si="255"/>
        <v>#VALUE!</v>
      </c>
      <c r="CI146" s="115" t="e">
        <f t="shared" si="255"/>
        <v>#VALUE!</v>
      </c>
      <c r="CJ146" s="115" t="e">
        <f t="shared" si="255"/>
        <v>#VALUE!</v>
      </c>
      <c r="CK146" s="115" t="e">
        <f t="shared" si="255"/>
        <v>#VALUE!</v>
      </c>
      <c r="CL146" s="115" t="e">
        <f t="shared" si="255"/>
        <v>#VALUE!</v>
      </c>
      <c r="CM146" s="115" t="e">
        <f t="shared" si="255"/>
        <v>#VALUE!</v>
      </c>
      <c r="CN146" s="115" t="e">
        <f t="shared" si="255"/>
        <v>#VALUE!</v>
      </c>
      <c r="CO146" s="115" t="e">
        <f t="shared" si="255"/>
        <v>#VALUE!</v>
      </c>
      <c r="CP146" s="115" t="e">
        <f t="shared" si="255"/>
        <v>#VALUE!</v>
      </c>
      <c r="CQ146" s="115" t="e">
        <f t="shared" si="255"/>
        <v>#VALUE!</v>
      </c>
      <c r="CR146" s="115" t="e">
        <f t="shared" si="256"/>
        <v>#VALUE!</v>
      </c>
      <c r="CS146" s="115" t="e">
        <f t="shared" si="256"/>
        <v>#VALUE!</v>
      </c>
      <c r="CT146" s="115" t="e">
        <f t="shared" si="256"/>
        <v>#VALUE!</v>
      </c>
      <c r="CU146" s="115" t="e">
        <f t="shared" si="256"/>
        <v>#VALUE!</v>
      </c>
      <c r="CV146" s="115" t="e">
        <f t="shared" si="256"/>
        <v>#VALUE!</v>
      </c>
      <c r="CW146" s="115" t="e">
        <f t="shared" si="256"/>
        <v>#VALUE!</v>
      </c>
      <c r="CX146" s="115" t="e">
        <f t="shared" si="256"/>
        <v>#VALUE!</v>
      </c>
      <c r="CY146" s="115" t="e">
        <f t="shared" si="256"/>
        <v>#VALUE!</v>
      </c>
      <c r="CZ146" s="115" t="e">
        <f t="shared" si="256"/>
        <v>#VALUE!</v>
      </c>
      <c r="DA146" s="115" t="e">
        <f t="shared" si="256"/>
        <v>#VALUE!</v>
      </c>
      <c r="DB146" s="115" t="e">
        <f t="shared" si="257"/>
        <v>#VALUE!</v>
      </c>
      <c r="DC146" s="115" t="e">
        <f t="shared" si="257"/>
        <v>#VALUE!</v>
      </c>
      <c r="DD146" s="115" t="e">
        <f t="shared" si="257"/>
        <v>#VALUE!</v>
      </c>
      <c r="DE146" s="115" t="e">
        <f t="shared" si="257"/>
        <v>#VALUE!</v>
      </c>
      <c r="DF146" s="115" t="e">
        <f t="shared" si="257"/>
        <v>#VALUE!</v>
      </c>
      <c r="DG146" s="115" t="e">
        <f t="shared" si="257"/>
        <v>#VALUE!</v>
      </c>
      <c r="DH146" s="115" t="e">
        <f t="shared" si="257"/>
        <v>#VALUE!</v>
      </c>
      <c r="DI146" s="115" t="e">
        <f t="shared" si="257"/>
        <v>#VALUE!</v>
      </c>
      <c r="DJ146" s="115" t="e">
        <f t="shared" si="257"/>
        <v>#VALUE!</v>
      </c>
      <c r="DK146" s="115" t="e">
        <f t="shared" si="257"/>
        <v>#VALUE!</v>
      </c>
      <c r="DL146" s="115" t="e">
        <f t="shared" si="257"/>
        <v>#VALUE!</v>
      </c>
      <c r="DM146" s="115" t="e">
        <f t="shared" si="257"/>
        <v>#VALUE!</v>
      </c>
    </row>
    <row r="147" spans="1:117" ht="15" customHeight="1" thickBot="1">
      <c r="A147" s="55">
        <v>15000</v>
      </c>
      <c r="B147" s="194" t="s">
        <v>728</v>
      </c>
      <c r="C147" s="194" t="s">
        <v>902</v>
      </c>
      <c r="D147" s="194" t="s">
        <v>221</v>
      </c>
      <c r="E147" s="194" t="s">
        <v>222</v>
      </c>
      <c r="F147" s="194" t="s">
        <v>1115</v>
      </c>
      <c r="G147" s="291" t="e">
        <f t="shared" si="244"/>
        <v>#VALUE!</v>
      </c>
      <c r="H147" s="292" t="e">
        <f>VLOOKUP("E3.G.04",Errichtungskosten,12,0) *VLOOKUP("PFAKT",Instandsetzung,5,0)</f>
        <v>#VALUE!</v>
      </c>
      <c r="I147" s="168"/>
      <c r="J147" s="194" t="s">
        <v>850</v>
      </c>
      <c r="K147" s="385">
        <f t="shared" si="245"/>
        <v>15</v>
      </c>
      <c r="L147" s="379" t="s">
        <v>358</v>
      </c>
      <c r="M147" s="325">
        <f t="shared" si="246"/>
        <v>1.35</v>
      </c>
      <c r="N147" s="380">
        <f t="shared" si="247"/>
        <v>0.99655850540806312</v>
      </c>
      <c r="O147" s="381" t="e">
        <f t="shared" si="248"/>
        <v>#VALUE!</v>
      </c>
      <c r="P147" s="169" t="s">
        <v>103</v>
      </c>
      <c r="Q147" s="114" t="e">
        <f t="shared" si="248"/>
        <v>#VALUE!</v>
      </c>
      <c r="R147" s="115" t="e">
        <f t="shared" si="248"/>
        <v>#VALUE!</v>
      </c>
      <c r="S147" s="115" t="e">
        <f t="shared" si="248"/>
        <v>#VALUE!</v>
      </c>
      <c r="T147" s="115" t="e">
        <f t="shared" si="248"/>
        <v>#VALUE!</v>
      </c>
      <c r="U147" s="115" t="e">
        <f t="shared" si="248"/>
        <v>#VALUE!</v>
      </c>
      <c r="V147" s="115" t="e">
        <f t="shared" si="248"/>
        <v>#VALUE!</v>
      </c>
      <c r="W147" s="115" t="e">
        <f t="shared" si="248"/>
        <v>#VALUE!</v>
      </c>
      <c r="X147" s="115" t="e">
        <f t="shared" si="248"/>
        <v>#VALUE!</v>
      </c>
      <c r="Y147" s="115" t="e">
        <f t="shared" si="248"/>
        <v>#VALUE!</v>
      </c>
      <c r="Z147" s="115" t="e">
        <f t="shared" si="249"/>
        <v>#VALUE!</v>
      </c>
      <c r="AA147" s="115" t="e">
        <f t="shared" si="249"/>
        <v>#VALUE!</v>
      </c>
      <c r="AB147" s="115" t="e">
        <f t="shared" si="249"/>
        <v>#VALUE!</v>
      </c>
      <c r="AC147" s="115" t="e">
        <f t="shared" si="249"/>
        <v>#VALUE!</v>
      </c>
      <c r="AD147" s="115" t="e">
        <f t="shared" si="249"/>
        <v>#VALUE!</v>
      </c>
      <c r="AE147" s="115" t="e">
        <f t="shared" si="249"/>
        <v>#VALUE!</v>
      </c>
      <c r="AF147" s="115" t="e">
        <f t="shared" si="249"/>
        <v>#VALUE!</v>
      </c>
      <c r="AG147" s="115" t="e">
        <f t="shared" si="249"/>
        <v>#VALUE!</v>
      </c>
      <c r="AH147" s="115" t="e">
        <f t="shared" si="249"/>
        <v>#VALUE!</v>
      </c>
      <c r="AI147" s="115" t="e">
        <f t="shared" si="249"/>
        <v>#VALUE!</v>
      </c>
      <c r="AJ147" s="115" t="e">
        <f t="shared" si="250"/>
        <v>#VALUE!</v>
      </c>
      <c r="AK147" s="115" t="e">
        <f t="shared" si="250"/>
        <v>#VALUE!</v>
      </c>
      <c r="AL147" s="115" t="e">
        <f t="shared" si="250"/>
        <v>#VALUE!</v>
      </c>
      <c r="AM147" s="115" t="e">
        <f t="shared" si="250"/>
        <v>#VALUE!</v>
      </c>
      <c r="AN147" s="115" t="e">
        <f t="shared" si="250"/>
        <v>#VALUE!</v>
      </c>
      <c r="AO147" s="115" t="e">
        <f t="shared" si="250"/>
        <v>#VALUE!</v>
      </c>
      <c r="AP147" s="115" t="e">
        <f t="shared" si="250"/>
        <v>#VALUE!</v>
      </c>
      <c r="AQ147" s="115" t="e">
        <f t="shared" si="250"/>
        <v>#VALUE!</v>
      </c>
      <c r="AR147" s="115" t="e">
        <f t="shared" si="250"/>
        <v>#VALUE!</v>
      </c>
      <c r="AS147" s="115" t="e">
        <f t="shared" si="250"/>
        <v>#VALUE!</v>
      </c>
      <c r="AT147" s="115" t="e">
        <f t="shared" si="251"/>
        <v>#VALUE!</v>
      </c>
      <c r="AU147" s="115" t="e">
        <f t="shared" si="251"/>
        <v>#VALUE!</v>
      </c>
      <c r="AV147" s="115" t="e">
        <f t="shared" si="251"/>
        <v>#VALUE!</v>
      </c>
      <c r="AW147" s="115" t="e">
        <f t="shared" si="251"/>
        <v>#VALUE!</v>
      </c>
      <c r="AX147" s="115" t="e">
        <f t="shared" si="251"/>
        <v>#VALUE!</v>
      </c>
      <c r="AY147" s="115" t="e">
        <f t="shared" si="251"/>
        <v>#VALUE!</v>
      </c>
      <c r="AZ147" s="115" t="e">
        <f t="shared" si="251"/>
        <v>#VALUE!</v>
      </c>
      <c r="BA147" s="115" t="e">
        <f t="shared" si="251"/>
        <v>#VALUE!</v>
      </c>
      <c r="BB147" s="115" t="e">
        <f t="shared" si="251"/>
        <v>#VALUE!</v>
      </c>
      <c r="BC147" s="115" t="e">
        <f t="shared" si="251"/>
        <v>#VALUE!</v>
      </c>
      <c r="BD147" s="115" t="e">
        <f t="shared" si="252"/>
        <v>#VALUE!</v>
      </c>
      <c r="BE147" s="115" t="e">
        <f t="shared" si="252"/>
        <v>#VALUE!</v>
      </c>
      <c r="BF147" s="115" t="e">
        <f t="shared" si="252"/>
        <v>#VALUE!</v>
      </c>
      <c r="BG147" s="115" t="e">
        <f t="shared" si="252"/>
        <v>#VALUE!</v>
      </c>
      <c r="BH147" s="115" t="e">
        <f t="shared" si="252"/>
        <v>#VALUE!</v>
      </c>
      <c r="BI147" s="115" t="e">
        <f t="shared" si="252"/>
        <v>#VALUE!</v>
      </c>
      <c r="BJ147" s="115" t="e">
        <f t="shared" si="252"/>
        <v>#VALUE!</v>
      </c>
      <c r="BK147" s="115" t="e">
        <f t="shared" si="252"/>
        <v>#VALUE!</v>
      </c>
      <c r="BL147" s="115" t="e">
        <f t="shared" si="252"/>
        <v>#VALUE!</v>
      </c>
      <c r="BM147" s="115" t="e">
        <f t="shared" si="252"/>
        <v>#VALUE!</v>
      </c>
      <c r="BN147" s="115" t="e">
        <f t="shared" si="253"/>
        <v>#VALUE!</v>
      </c>
      <c r="BO147" s="115" t="e">
        <f t="shared" si="253"/>
        <v>#VALUE!</v>
      </c>
      <c r="BP147" s="115" t="e">
        <f t="shared" si="253"/>
        <v>#VALUE!</v>
      </c>
      <c r="BQ147" s="115" t="e">
        <f t="shared" si="253"/>
        <v>#VALUE!</v>
      </c>
      <c r="BR147" s="115" t="e">
        <f t="shared" si="253"/>
        <v>#VALUE!</v>
      </c>
      <c r="BS147" s="115" t="e">
        <f t="shared" si="253"/>
        <v>#VALUE!</v>
      </c>
      <c r="BT147" s="115" t="e">
        <f t="shared" si="253"/>
        <v>#VALUE!</v>
      </c>
      <c r="BU147" s="115" t="e">
        <f t="shared" si="253"/>
        <v>#VALUE!</v>
      </c>
      <c r="BV147" s="115" t="e">
        <f t="shared" si="253"/>
        <v>#VALUE!</v>
      </c>
      <c r="BW147" s="115" t="e">
        <f t="shared" si="253"/>
        <v>#VALUE!</v>
      </c>
      <c r="BX147" s="115" t="e">
        <f t="shared" si="254"/>
        <v>#VALUE!</v>
      </c>
      <c r="BY147" s="115" t="e">
        <f t="shared" si="254"/>
        <v>#VALUE!</v>
      </c>
      <c r="BZ147" s="115" t="e">
        <f t="shared" si="254"/>
        <v>#VALUE!</v>
      </c>
      <c r="CA147" s="115" t="e">
        <f t="shared" si="254"/>
        <v>#VALUE!</v>
      </c>
      <c r="CB147" s="115" t="e">
        <f t="shared" si="254"/>
        <v>#VALUE!</v>
      </c>
      <c r="CC147" s="115" t="e">
        <f t="shared" si="254"/>
        <v>#VALUE!</v>
      </c>
      <c r="CD147" s="115" t="e">
        <f t="shared" si="254"/>
        <v>#VALUE!</v>
      </c>
      <c r="CE147" s="115" t="e">
        <f t="shared" si="254"/>
        <v>#VALUE!</v>
      </c>
      <c r="CF147" s="115" t="e">
        <f t="shared" si="254"/>
        <v>#VALUE!</v>
      </c>
      <c r="CG147" s="115" t="e">
        <f t="shared" si="254"/>
        <v>#VALUE!</v>
      </c>
      <c r="CH147" s="115" t="e">
        <f t="shared" si="255"/>
        <v>#VALUE!</v>
      </c>
      <c r="CI147" s="115" t="e">
        <f t="shared" si="255"/>
        <v>#VALUE!</v>
      </c>
      <c r="CJ147" s="115" t="e">
        <f t="shared" si="255"/>
        <v>#VALUE!</v>
      </c>
      <c r="CK147" s="115" t="e">
        <f t="shared" si="255"/>
        <v>#VALUE!</v>
      </c>
      <c r="CL147" s="115" t="e">
        <f t="shared" si="255"/>
        <v>#VALUE!</v>
      </c>
      <c r="CM147" s="115" t="e">
        <f t="shared" si="255"/>
        <v>#VALUE!</v>
      </c>
      <c r="CN147" s="115" t="e">
        <f t="shared" si="255"/>
        <v>#VALUE!</v>
      </c>
      <c r="CO147" s="115" t="e">
        <f t="shared" si="255"/>
        <v>#VALUE!</v>
      </c>
      <c r="CP147" s="115" t="e">
        <f t="shared" si="255"/>
        <v>#VALUE!</v>
      </c>
      <c r="CQ147" s="115" t="e">
        <f t="shared" si="255"/>
        <v>#VALUE!</v>
      </c>
      <c r="CR147" s="115" t="e">
        <f t="shared" si="256"/>
        <v>#VALUE!</v>
      </c>
      <c r="CS147" s="115" t="e">
        <f t="shared" si="256"/>
        <v>#VALUE!</v>
      </c>
      <c r="CT147" s="115" t="e">
        <f t="shared" si="256"/>
        <v>#VALUE!</v>
      </c>
      <c r="CU147" s="115" t="e">
        <f t="shared" si="256"/>
        <v>#VALUE!</v>
      </c>
      <c r="CV147" s="115" t="e">
        <f t="shared" si="256"/>
        <v>#VALUE!</v>
      </c>
      <c r="CW147" s="115" t="e">
        <f t="shared" si="256"/>
        <v>#VALUE!</v>
      </c>
      <c r="CX147" s="115" t="e">
        <f t="shared" si="256"/>
        <v>#VALUE!</v>
      </c>
      <c r="CY147" s="115" t="e">
        <f t="shared" si="256"/>
        <v>#VALUE!</v>
      </c>
      <c r="CZ147" s="115" t="e">
        <f t="shared" si="256"/>
        <v>#VALUE!</v>
      </c>
      <c r="DA147" s="115" t="e">
        <f t="shared" si="256"/>
        <v>#VALUE!</v>
      </c>
      <c r="DB147" s="115" t="e">
        <f t="shared" si="257"/>
        <v>#VALUE!</v>
      </c>
      <c r="DC147" s="115" t="e">
        <f t="shared" si="257"/>
        <v>#VALUE!</v>
      </c>
      <c r="DD147" s="115" t="e">
        <f t="shared" si="257"/>
        <v>#VALUE!</v>
      </c>
      <c r="DE147" s="115" t="e">
        <f t="shared" si="257"/>
        <v>#VALUE!</v>
      </c>
      <c r="DF147" s="115" t="e">
        <f t="shared" si="257"/>
        <v>#VALUE!</v>
      </c>
      <c r="DG147" s="115" t="e">
        <f t="shared" si="257"/>
        <v>#VALUE!</v>
      </c>
      <c r="DH147" s="115" t="e">
        <f t="shared" si="257"/>
        <v>#VALUE!</v>
      </c>
      <c r="DI147" s="115" t="e">
        <f t="shared" si="257"/>
        <v>#VALUE!</v>
      </c>
      <c r="DJ147" s="115" t="e">
        <f t="shared" si="257"/>
        <v>#VALUE!</v>
      </c>
      <c r="DK147" s="115" t="e">
        <f t="shared" si="257"/>
        <v>#VALUE!</v>
      </c>
      <c r="DL147" s="115" t="e">
        <f t="shared" si="257"/>
        <v>#VALUE!</v>
      </c>
      <c r="DM147" s="115" t="e">
        <f t="shared" si="257"/>
        <v>#VALUE!</v>
      </c>
    </row>
    <row r="148" spans="1:117" ht="15" customHeight="1" thickBot="1">
      <c r="A148" s="55">
        <v>15100</v>
      </c>
      <c r="B148" s="194" t="s">
        <v>728</v>
      </c>
      <c r="C148" s="194" t="s">
        <v>903</v>
      </c>
      <c r="D148" s="194" t="s">
        <v>219</v>
      </c>
      <c r="E148" s="194" t="s">
        <v>220</v>
      </c>
      <c r="F148" s="194" t="s">
        <v>1116</v>
      </c>
      <c r="G148" s="291" t="e">
        <f t="shared" si="244"/>
        <v>#VALUE!</v>
      </c>
      <c r="H148" s="292" t="e">
        <f>VLOOKUP("E3.G.05",Errichtungskosten,12,0) *VLOOKUP("PFAKT",Instandsetzung,5,0)</f>
        <v>#VALUE!</v>
      </c>
      <c r="I148" s="168"/>
      <c r="J148" s="194" t="s">
        <v>850</v>
      </c>
      <c r="K148" s="385">
        <f t="shared" si="245"/>
        <v>16</v>
      </c>
      <c r="L148" s="379" t="s">
        <v>358</v>
      </c>
      <c r="M148" s="325">
        <f t="shared" si="246"/>
        <v>1.35</v>
      </c>
      <c r="N148" s="380">
        <f t="shared" si="247"/>
        <v>0.99655850540806312</v>
      </c>
      <c r="O148" s="381" t="e">
        <f t="shared" si="248"/>
        <v>#VALUE!</v>
      </c>
      <c r="P148" s="169" t="s">
        <v>103</v>
      </c>
      <c r="Q148" s="114" t="e">
        <f t="shared" si="248"/>
        <v>#VALUE!</v>
      </c>
      <c r="R148" s="115" t="e">
        <f t="shared" si="248"/>
        <v>#VALUE!</v>
      </c>
      <c r="S148" s="115" t="e">
        <f t="shared" si="248"/>
        <v>#VALUE!</v>
      </c>
      <c r="T148" s="115" t="e">
        <f t="shared" si="248"/>
        <v>#VALUE!</v>
      </c>
      <c r="U148" s="115" t="e">
        <f t="shared" si="248"/>
        <v>#VALUE!</v>
      </c>
      <c r="V148" s="115" t="e">
        <f t="shared" si="248"/>
        <v>#VALUE!</v>
      </c>
      <c r="W148" s="115" t="e">
        <f t="shared" si="248"/>
        <v>#VALUE!</v>
      </c>
      <c r="X148" s="115" t="e">
        <f t="shared" si="248"/>
        <v>#VALUE!</v>
      </c>
      <c r="Y148" s="115" t="e">
        <f t="shared" si="248"/>
        <v>#VALUE!</v>
      </c>
      <c r="Z148" s="115" t="e">
        <f t="shared" si="249"/>
        <v>#VALUE!</v>
      </c>
      <c r="AA148" s="115" t="e">
        <f t="shared" si="249"/>
        <v>#VALUE!</v>
      </c>
      <c r="AB148" s="115" t="e">
        <f t="shared" si="249"/>
        <v>#VALUE!</v>
      </c>
      <c r="AC148" s="115" t="e">
        <f t="shared" si="249"/>
        <v>#VALUE!</v>
      </c>
      <c r="AD148" s="115" t="e">
        <f t="shared" si="249"/>
        <v>#VALUE!</v>
      </c>
      <c r="AE148" s="115" t="e">
        <f t="shared" si="249"/>
        <v>#VALUE!</v>
      </c>
      <c r="AF148" s="115" t="e">
        <f t="shared" si="249"/>
        <v>#VALUE!</v>
      </c>
      <c r="AG148" s="115" t="e">
        <f t="shared" si="249"/>
        <v>#VALUE!</v>
      </c>
      <c r="AH148" s="115" t="e">
        <f t="shared" si="249"/>
        <v>#VALUE!</v>
      </c>
      <c r="AI148" s="115" t="e">
        <f t="shared" si="249"/>
        <v>#VALUE!</v>
      </c>
      <c r="AJ148" s="115" t="e">
        <f t="shared" si="250"/>
        <v>#VALUE!</v>
      </c>
      <c r="AK148" s="115" t="e">
        <f t="shared" si="250"/>
        <v>#VALUE!</v>
      </c>
      <c r="AL148" s="115" t="e">
        <f t="shared" si="250"/>
        <v>#VALUE!</v>
      </c>
      <c r="AM148" s="115" t="e">
        <f t="shared" si="250"/>
        <v>#VALUE!</v>
      </c>
      <c r="AN148" s="115" t="e">
        <f t="shared" si="250"/>
        <v>#VALUE!</v>
      </c>
      <c r="AO148" s="115" t="e">
        <f t="shared" si="250"/>
        <v>#VALUE!</v>
      </c>
      <c r="AP148" s="115" t="e">
        <f t="shared" si="250"/>
        <v>#VALUE!</v>
      </c>
      <c r="AQ148" s="115" t="e">
        <f t="shared" si="250"/>
        <v>#VALUE!</v>
      </c>
      <c r="AR148" s="115" t="e">
        <f t="shared" si="250"/>
        <v>#VALUE!</v>
      </c>
      <c r="AS148" s="115" t="e">
        <f t="shared" si="250"/>
        <v>#VALUE!</v>
      </c>
      <c r="AT148" s="115" t="e">
        <f t="shared" si="251"/>
        <v>#VALUE!</v>
      </c>
      <c r="AU148" s="115" t="e">
        <f t="shared" si="251"/>
        <v>#VALUE!</v>
      </c>
      <c r="AV148" s="115" t="e">
        <f t="shared" si="251"/>
        <v>#VALUE!</v>
      </c>
      <c r="AW148" s="115" t="e">
        <f t="shared" si="251"/>
        <v>#VALUE!</v>
      </c>
      <c r="AX148" s="115" t="e">
        <f t="shared" si="251"/>
        <v>#VALUE!</v>
      </c>
      <c r="AY148" s="115" t="e">
        <f t="shared" si="251"/>
        <v>#VALUE!</v>
      </c>
      <c r="AZ148" s="115" t="e">
        <f t="shared" si="251"/>
        <v>#VALUE!</v>
      </c>
      <c r="BA148" s="115" t="e">
        <f t="shared" si="251"/>
        <v>#VALUE!</v>
      </c>
      <c r="BB148" s="115" t="e">
        <f t="shared" si="251"/>
        <v>#VALUE!</v>
      </c>
      <c r="BC148" s="115" t="e">
        <f t="shared" si="251"/>
        <v>#VALUE!</v>
      </c>
      <c r="BD148" s="115" t="e">
        <f t="shared" si="252"/>
        <v>#VALUE!</v>
      </c>
      <c r="BE148" s="115" t="e">
        <f t="shared" si="252"/>
        <v>#VALUE!</v>
      </c>
      <c r="BF148" s="115" t="e">
        <f t="shared" si="252"/>
        <v>#VALUE!</v>
      </c>
      <c r="BG148" s="115" t="e">
        <f t="shared" si="252"/>
        <v>#VALUE!</v>
      </c>
      <c r="BH148" s="115" t="e">
        <f t="shared" si="252"/>
        <v>#VALUE!</v>
      </c>
      <c r="BI148" s="115" t="e">
        <f t="shared" si="252"/>
        <v>#VALUE!</v>
      </c>
      <c r="BJ148" s="115" t="e">
        <f t="shared" si="252"/>
        <v>#VALUE!</v>
      </c>
      <c r="BK148" s="115" t="e">
        <f t="shared" si="252"/>
        <v>#VALUE!</v>
      </c>
      <c r="BL148" s="115" t="e">
        <f t="shared" si="252"/>
        <v>#VALUE!</v>
      </c>
      <c r="BM148" s="115" t="e">
        <f t="shared" si="252"/>
        <v>#VALUE!</v>
      </c>
      <c r="BN148" s="115" t="e">
        <f t="shared" si="253"/>
        <v>#VALUE!</v>
      </c>
      <c r="BO148" s="115" t="e">
        <f t="shared" si="253"/>
        <v>#VALUE!</v>
      </c>
      <c r="BP148" s="115" t="e">
        <f t="shared" si="253"/>
        <v>#VALUE!</v>
      </c>
      <c r="BQ148" s="115" t="e">
        <f t="shared" si="253"/>
        <v>#VALUE!</v>
      </c>
      <c r="BR148" s="115" t="e">
        <f t="shared" si="253"/>
        <v>#VALUE!</v>
      </c>
      <c r="BS148" s="115" t="e">
        <f t="shared" si="253"/>
        <v>#VALUE!</v>
      </c>
      <c r="BT148" s="115" t="e">
        <f t="shared" si="253"/>
        <v>#VALUE!</v>
      </c>
      <c r="BU148" s="115" t="e">
        <f t="shared" si="253"/>
        <v>#VALUE!</v>
      </c>
      <c r="BV148" s="115" t="e">
        <f t="shared" si="253"/>
        <v>#VALUE!</v>
      </c>
      <c r="BW148" s="115" t="e">
        <f t="shared" si="253"/>
        <v>#VALUE!</v>
      </c>
      <c r="BX148" s="115" t="e">
        <f t="shared" si="254"/>
        <v>#VALUE!</v>
      </c>
      <c r="BY148" s="115" t="e">
        <f t="shared" si="254"/>
        <v>#VALUE!</v>
      </c>
      <c r="BZ148" s="115" t="e">
        <f t="shared" si="254"/>
        <v>#VALUE!</v>
      </c>
      <c r="CA148" s="115" t="e">
        <f t="shared" si="254"/>
        <v>#VALUE!</v>
      </c>
      <c r="CB148" s="115" t="e">
        <f t="shared" si="254"/>
        <v>#VALUE!</v>
      </c>
      <c r="CC148" s="115" t="e">
        <f t="shared" si="254"/>
        <v>#VALUE!</v>
      </c>
      <c r="CD148" s="115" t="e">
        <f t="shared" si="254"/>
        <v>#VALUE!</v>
      </c>
      <c r="CE148" s="115" t="e">
        <f t="shared" si="254"/>
        <v>#VALUE!</v>
      </c>
      <c r="CF148" s="115" t="e">
        <f t="shared" si="254"/>
        <v>#VALUE!</v>
      </c>
      <c r="CG148" s="115" t="e">
        <f t="shared" si="254"/>
        <v>#VALUE!</v>
      </c>
      <c r="CH148" s="115" t="e">
        <f t="shared" si="255"/>
        <v>#VALUE!</v>
      </c>
      <c r="CI148" s="115" t="e">
        <f t="shared" si="255"/>
        <v>#VALUE!</v>
      </c>
      <c r="CJ148" s="115" t="e">
        <f t="shared" si="255"/>
        <v>#VALUE!</v>
      </c>
      <c r="CK148" s="115" t="e">
        <f t="shared" si="255"/>
        <v>#VALUE!</v>
      </c>
      <c r="CL148" s="115" t="e">
        <f t="shared" si="255"/>
        <v>#VALUE!</v>
      </c>
      <c r="CM148" s="115" t="e">
        <f t="shared" si="255"/>
        <v>#VALUE!</v>
      </c>
      <c r="CN148" s="115" t="e">
        <f t="shared" si="255"/>
        <v>#VALUE!</v>
      </c>
      <c r="CO148" s="115" t="e">
        <f t="shared" si="255"/>
        <v>#VALUE!</v>
      </c>
      <c r="CP148" s="115" t="e">
        <f t="shared" si="255"/>
        <v>#VALUE!</v>
      </c>
      <c r="CQ148" s="115" t="e">
        <f t="shared" si="255"/>
        <v>#VALUE!</v>
      </c>
      <c r="CR148" s="115" t="e">
        <f t="shared" si="256"/>
        <v>#VALUE!</v>
      </c>
      <c r="CS148" s="115" t="e">
        <f t="shared" si="256"/>
        <v>#VALUE!</v>
      </c>
      <c r="CT148" s="115" t="e">
        <f t="shared" si="256"/>
        <v>#VALUE!</v>
      </c>
      <c r="CU148" s="115" t="e">
        <f t="shared" si="256"/>
        <v>#VALUE!</v>
      </c>
      <c r="CV148" s="115" t="e">
        <f t="shared" si="256"/>
        <v>#VALUE!</v>
      </c>
      <c r="CW148" s="115" t="e">
        <f t="shared" si="256"/>
        <v>#VALUE!</v>
      </c>
      <c r="CX148" s="115" t="e">
        <f t="shared" si="256"/>
        <v>#VALUE!</v>
      </c>
      <c r="CY148" s="115" t="e">
        <f t="shared" si="256"/>
        <v>#VALUE!</v>
      </c>
      <c r="CZ148" s="115" t="e">
        <f t="shared" si="256"/>
        <v>#VALUE!</v>
      </c>
      <c r="DA148" s="115" t="e">
        <f t="shared" si="256"/>
        <v>#VALUE!</v>
      </c>
      <c r="DB148" s="115" t="e">
        <f t="shared" si="257"/>
        <v>#VALUE!</v>
      </c>
      <c r="DC148" s="115" t="e">
        <f t="shared" si="257"/>
        <v>#VALUE!</v>
      </c>
      <c r="DD148" s="115" t="e">
        <f t="shared" si="257"/>
        <v>#VALUE!</v>
      </c>
      <c r="DE148" s="115" t="e">
        <f t="shared" si="257"/>
        <v>#VALUE!</v>
      </c>
      <c r="DF148" s="115" t="e">
        <f t="shared" si="257"/>
        <v>#VALUE!</v>
      </c>
      <c r="DG148" s="115" t="e">
        <f t="shared" si="257"/>
        <v>#VALUE!</v>
      </c>
      <c r="DH148" s="115" t="e">
        <f t="shared" si="257"/>
        <v>#VALUE!</v>
      </c>
      <c r="DI148" s="115" t="e">
        <f t="shared" si="257"/>
        <v>#VALUE!</v>
      </c>
      <c r="DJ148" s="115" t="e">
        <f t="shared" si="257"/>
        <v>#VALUE!</v>
      </c>
      <c r="DK148" s="115" t="e">
        <f t="shared" si="257"/>
        <v>#VALUE!</v>
      </c>
      <c r="DL148" s="115" t="e">
        <f t="shared" si="257"/>
        <v>#VALUE!</v>
      </c>
      <c r="DM148" s="115" t="e">
        <f t="shared" si="257"/>
        <v>#VALUE!</v>
      </c>
    </row>
    <row r="149" spans="1:117" ht="15" customHeight="1" thickBot="1">
      <c r="A149" s="55">
        <v>15200</v>
      </c>
      <c r="B149" s="194" t="s">
        <v>728</v>
      </c>
      <c r="C149" s="194" t="s">
        <v>904</v>
      </c>
      <c r="D149" s="194" t="s">
        <v>217</v>
      </c>
      <c r="E149" s="194" t="s">
        <v>218</v>
      </c>
      <c r="F149" s="194" t="s">
        <v>1117</v>
      </c>
      <c r="G149" s="291" t="e">
        <f t="shared" si="244"/>
        <v>#VALUE!</v>
      </c>
      <c r="H149" s="292" t="e">
        <f>VLOOKUP("E3.G.06",Errichtungskosten,12,0) *VLOOKUP("PFAKT",Instandsetzung,5,0)</f>
        <v>#VALUE!</v>
      </c>
      <c r="I149" s="168"/>
      <c r="J149" s="194" t="s">
        <v>850</v>
      </c>
      <c r="K149" s="385">
        <f t="shared" si="245"/>
        <v>10</v>
      </c>
      <c r="L149" s="379" t="s">
        <v>358</v>
      </c>
      <c r="M149" s="325">
        <f t="shared" si="246"/>
        <v>1.35</v>
      </c>
      <c r="N149" s="380">
        <f t="shared" si="247"/>
        <v>0.99655850540806312</v>
      </c>
      <c r="O149" s="381" t="e">
        <f t="shared" si="248"/>
        <v>#VALUE!</v>
      </c>
      <c r="P149" s="169" t="s">
        <v>103</v>
      </c>
      <c r="Q149" s="114" t="e">
        <f t="shared" si="248"/>
        <v>#VALUE!</v>
      </c>
      <c r="R149" s="115" t="e">
        <f t="shared" si="248"/>
        <v>#VALUE!</v>
      </c>
      <c r="S149" s="115" t="e">
        <f t="shared" si="248"/>
        <v>#VALUE!</v>
      </c>
      <c r="T149" s="115" t="e">
        <f t="shared" si="248"/>
        <v>#VALUE!</v>
      </c>
      <c r="U149" s="115" t="e">
        <f t="shared" si="248"/>
        <v>#VALUE!</v>
      </c>
      <c r="V149" s="115" t="e">
        <f t="shared" si="248"/>
        <v>#VALUE!</v>
      </c>
      <c r="W149" s="115" t="e">
        <f t="shared" si="248"/>
        <v>#VALUE!</v>
      </c>
      <c r="X149" s="115" t="e">
        <f t="shared" si="248"/>
        <v>#VALUE!</v>
      </c>
      <c r="Y149" s="115" t="e">
        <f t="shared" si="248"/>
        <v>#VALUE!</v>
      </c>
      <c r="Z149" s="115" t="e">
        <f t="shared" si="249"/>
        <v>#VALUE!</v>
      </c>
      <c r="AA149" s="115" t="e">
        <f t="shared" si="249"/>
        <v>#VALUE!</v>
      </c>
      <c r="AB149" s="115" t="e">
        <f t="shared" si="249"/>
        <v>#VALUE!</v>
      </c>
      <c r="AC149" s="115" t="e">
        <f t="shared" si="249"/>
        <v>#VALUE!</v>
      </c>
      <c r="AD149" s="115" t="e">
        <f t="shared" si="249"/>
        <v>#VALUE!</v>
      </c>
      <c r="AE149" s="115" t="e">
        <f t="shared" si="249"/>
        <v>#VALUE!</v>
      </c>
      <c r="AF149" s="115" t="e">
        <f t="shared" si="249"/>
        <v>#VALUE!</v>
      </c>
      <c r="AG149" s="115" t="e">
        <f t="shared" si="249"/>
        <v>#VALUE!</v>
      </c>
      <c r="AH149" s="115" t="e">
        <f t="shared" si="249"/>
        <v>#VALUE!</v>
      </c>
      <c r="AI149" s="115" t="e">
        <f t="shared" si="249"/>
        <v>#VALUE!</v>
      </c>
      <c r="AJ149" s="115" t="e">
        <f t="shared" si="250"/>
        <v>#VALUE!</v>
      </c>
      <c r="AK149" s="115" t="e">
        <f t="shared" si="250"/>
        <v>#VALUE!</v>
      </c>
      <c r="AL149" s="115" t="e">
        <f t="shared" si="250"/>
        <v>#VALUE!</v>
      </c>
      <c r="AM149" s="115" t="e">
        <f t="shared" si="250"/>
        <v>#VALUE!</v>
      </c>
      <c r="AN149" s="115" t="e">
        <f t="shared" si="250"/>
        <v>#VALUE!</v>
      </c>
      <c r="AO149" s="115" t="e">
        <f t="shared" si="250"/>
        <v>#VALUE!</v>
      </c>
      <c r="AP149" s="115" t="e">
        <f t="shared" si="250"/>
        <v>#VALUE!</v>
      </c>
      <c r="AQ149" s="115" t="e">
        <f t="shared" si="250"/>
        <v>#VALUE!</v>
      </c>
      <c r="AR149" s="115" t="e">
        <f t="shared" si="250"/>
        <v>#VALUE!</v>
      </c>
      <c r="AS149" s="115" t="e">
        <f t="shared" si="250"/>
        <v>#VALUE!</v>
      </c>
      <c r="AT149" s="115" t="e">
        <f t="shared" si="251"/>
        <v>#VALUE!</v>
      </c>
      <c r="AU149" s="115" t="e">
        <f t="shared" si="251"/>
        <v>#VALUE!</v>
      </c>
      <c r="AV149" s="115" t="e">
        <f t="shared" si="251"/>
        <v>#VALUE!</v>
      </c>
      <c r="AW149" s="115" t="e">
        <f t="shared" si="251"/>
        <v>#VALUE!</v>
      </c>
      <c r="AX149" s="115" t="e">
        <f t="shared" si="251"/>
        <v>#VALUE!</v>
      </c>
      <c r="AY149" s="115" t="e">
        <f t="shared" si="251"/>
        <v>#VALUE!</v>
      </c>
      <c r="AZ149" s="115" t="e">
        <f t="shared" si="251"/>
        <v>#VALUE!</v>
      </c>
      <c r="BA149" s="115" t="e">
        <f t="shared" si="251"/>
        <v>#VALUE!</v>
      </c>
      <c r="BB149" s="115" t="e">
        <f t="shared" si="251"/>
        <v>#VALUE!</v>
      </c>
      <c r="BC149" s="115" t="e">
        <f t="shared" si="251"/>
        <v>#VALUE!</v>
      </c>
      <c r="BD149" s="115" t="e">
        <f t="shared" si="252"/>
        <v>#VALUE!</v>
      </c>
      <c r="BE149" s="115" t="e">
        <f t="shared" si="252"/>
        <v>#VALUE!</v>
      </c>
      <c r="BF149" s="115" t="e">
        <f t="shared" si="252"/>
        <v>#VALUE!</v>
      </c>
      <c r="BG149" s="115" t="e">
        <f t="shared" si="252"/>
        <v>#VALUE!</v>
      </c>
      <c r="BH149" s="115" t="e">
        <f t="shared" si="252"/>
        <v>#VALUE!</v>
      </c>
      <c r="BI149" s="115" t="e">
        <f t="shared" si="252"/>
        <v>#VALUE!</v>
      </c>
      <c r="BJ149" s="115" t="e">
        <f t="shared" si="252"/>
        <v>#VALUE!</v>
      </c>
      <c r="BK149" s="115" t="e">
        <f t="shared" si="252"/>
        <v>#VALUE!</v>
      </c>
      <c r="BL149" s="115" t="e">
        <f t="shared" si="252"/>
        <v>#VALUE!</v>
      </c>
      <c r="BM149" s="115" t="e">
        <f t="shared" si="252"/>
        <v>#VALUE!</v>
      </c>
      <c r="BN149" s="115" t="e">
        <f t="shared" si="253"/>
        <v>#VALUE!</v>
      </c>
      <c r="BO149" s="115" t="e">
        <f t="shared" si="253"/>
        <v>#VALUE!</v>
      </c>
      <c r="BP149" s="115" t="e">
        <f t="shared" si="253"/>
        <v>#VALUE!</v>
      </c>
      <c r="BQ149" s="115" t="e">
        <f t="shared" si="253"/>
        <v>#VALUE!</v>
      </c>
      <c r="BR149" s="115" t="e">
        <f t="shared" si="253"/>
        <v>#VALUE!</v>
      </c>
      <c r="BS149" s="115" t="e">
        <f t="shared" si="253"/>
        <v>#VALUE!</v>
      </c>
      <c r="BT149" s="115" t="e">
        <f t="shared" si="253"/>
        <v>#VALUE!</v>
      </c>
      <c r="BU149" s="115" t="e">
        <f t="shared" si="253"/>
        <v>#VALUE!</v>
      </c>
      <c r="BV149" s="115" t="e">
        <f t="shared" si="253"/>
        <v>#VALUE!</v>
      </c>
      <c r="BW149" s="115" t="e">
        <f t="shared" si="253"/>
        <v>#VALUE!</v>
      </c>
      <c r="BX149" s="115" t="e">
        <f t="shared" si="254"/>
        <v>#VALUE!</v>
      </c>
      <c r="BY149" s="115" t="e">
        <f t="shared" si="254"/>
        <v>#VALUE!</v>
      </c>
      <c r="BZ149" s="115" t="e">
        <f t="shared" si="254"/>
        <v>#VALUE!</v>
      </c>
      <c r="CA149" s="115" t="e">
        <f t="shared" si="254"/>
        <v>#VALUE!</v>
      </c>
      <c r="CB149" s="115" t="e">
        <f t="shared" si="254"/>
        <v>#VALUE!</v>
      </c>
      <c r="CC149" s="115" t="e">
        <f t="shared" si="254"/>
        <v>#VALUE!</v>
      </c>
      <c r="CD149" s="115" t="e">
        <f t="shared" si="254"/>
        <v>#VALUE!</v>
      </c>
      <c r="CE149" s="115" t="e">
        <f t="shared" si="254"/>
        <v>#VALUE!</v>
      </c>
      <c r="CF149" s="115" t="e">
        <f t="shared" si="254"/>
        <v>#VALUE!</v>
      </c>
      <c r="CG149" s="115" t="e">
        <f t="shared" si="254"/>
        <v>#VALUE!</v>
      </c>
      <c r="CH149" s="115" t="e">
        <f t="shared" si="255"/>
        <v>#VALUE!</v>
      </c>
      <c r="CI149" s="115" t="e">
        <f t="shared" si="255"/>
        <v>#VALUE!</v>
      </c>
      <c r="CJ149" s="115" t="e">
        <f t="shared" si="255"/>
        <v>#VALUE!</v>
      </c>
      <c r="CK149" s="115" t="e">
        <f t="shared" si="255"/>
        <v>#VALUE!</v>
      </c>
      <c r="CL149" s="115" t="e">
        <f t="shared" si="255"/>
        <v>#VALUE!</v>
      </c>
      <c r="CM149" s="115" t="e">
        <f t="shared" si="255"/>
        <v>#VALUE!</v>
      </c>
      <c r="CN149" s="115" t="e">
        <f t="shared" si="255"/>
        <v>#VALUE!</v>
      </c>
      <c r="CO149" s="115" t="e">
        <f t="shared" si="255"/>
        <v>#VALUE!</v>
      </c>
      <c r="CP149" s="115" t="e">
        <f t="shared" si="255"/>
        <v>#VALUE!</v>
      </c>
      <c r="CQ149" s="115" t="e">
        <f t="shared" si="255"/>
        <v>#VALUE!</v>
      </c>
      <c r="CR149" s="115" t="e">
        <f t="shared" si="256"/>
        <v>#VALUE!</v>
      </c>
      <c r="CS149" s="115" t="e">
        <f t="shared" si="256"/>
        <v>#VALUE!</v>
      </c>
      <c r="CT149" s="115" t="e">
        <f t="shared" si="256"/>
        <v>#VALUE!</v>
      </c>
      <c r="CU149" s="115" t="e">
        <f t="shared" si="256"/>
        <v>#VALUE!</v>
      </c>
      <c r="CV149" s="115" t="e">
        <f t="shared" si="256"/>
        <v>#VALUE!</v>
      </c>
      <c r="CW149" s="115" t="e">
        <f t="shared" si="256"/>
        <v>#VALUE!</v>
      </c>
      <c r="CX149" s="115" t="e">
        <f t="shared" si="256"/>
        <v>#VALUE!</v>
      </c>
      <c r="CY149" s="115" t="e">
        <f t="shared" si="256"/>
        <v>#VALUE!</v>
      </c>
      <c r="CZ149" s="115" t="e">
        <f t="shared" si="256"/>
        <v>#VALUE!</v>
      </c>
      <c r="DA149" s="115" t="e">
        <f t="shared" si="256"/>
        <v>#VALUE!</v>
      </c>
      <c r="DB149" s="115" t="e">
        <f t="shared" si="257"/>
        <v>#VALUE!</v>
      </c>
      <c r="DC149" s="115" t="e">
        <f t="shared" si="257"/>
        <v>#VALUE!</v>
      </c>
      <c r="DD149" s="115" t="e">
        <f t="shared" si="257"/>
        <v>#VALUE!</v>
      </c>
      <c r="DE149" s="115" t="e">
        <f t="shared" si="257"/>
        <v>#VALUE!</v>
      </c>
      <c r="DF149" s="115" t="e">
        <f t="shared" si="257"/>
        <v>#VALUE!</v>
      </c>
      <c r="DG149" s="115" t="e">
        <f t="shared" si="257"/>
        <v>#VALUE!</v>
      </c>
      <c r="DH149" s="115" t="e">
        <f t="shared" si="257"/>
        <v>#VALUE!</v>
      </c>
      <c r="DI149" s="115" t="e">
        <f t="shared" si="257"/>
        <v>#VALUE!</v>
      </c>
      <c r="DJ149" s="115" t="e">
        <f t="shared" si="257"/>
        <v>#VALUE!</v>
      </c>
      <c r="DK149" s="115" t="e">
        <f t="shared" si="257"/>
        <v>#VALUE!</v>
      </c>
      <c r="DL149" s="115" t="e">
        <f t="shared" si="257"/>
        <v>#VALUE!</v>
      </c>
      <c r="DM149" s="115" t="e">
        <f t="shared" si="257"/>
        <v>#VALUE!</v>
      </c>
    </row>
    <row r="150" spans="1:117" ht="15" customHeight="1" thickBot="1">
      <c r="A150" s="55">
        <v>15300</v>
      </c>
      <c r="B150" s="194" t="s">
        <v>728</v>
      </c>
      <c r="C150" s="194" t="s">
        <v>905</v>
      </c>
      <c r="D150" s="194" t="s">
        <v>215</v>
      </c>
      <c r="E150" s="194" t="s">
        <v>216</v>
      </c>
      <c r="F150" s="194" t="s">
        <v>1118</v>
      </c>
      <c r="G150" s="291" t="e">
        <f t="shared" si="244"/>
        <v>#VALUE!</v>
      </c>
      <c r="H150" s="292" t="e">
        <f>VLOOKUP("E3.G.07",Errichtungskosten,12,0) *VLOOKUP("PFAKT",Instandsetzung,5,0)</f>
        <v>#VALUE!</v>
      </c>
      <c r="I150" s="168"/>
      <c r="J150" s="194" t="s">
        <v>850</v>
      </c>
      <c r="K150" s="385">
        <f t="shared" si="245"/>
        <v>10</v>
      </c>
      <c r="L150" s="379" t="s">
        <v>358</v>
      </c>
      <c r="M150" s="325">
        <f t="shared" si="246"/>
        <v>1.35</v>
      </c>
      <c r="N150" s="380">
        <f t="shared" si="247"/>
        <v>0.99655850540806312</v>
      </c>
      <c r="O150" s="381" t="e">
        <f t="shared" si="248"/>
        <v>#VALUE!</v>
      </c>
      <c r="P150" s="169" t="s">
        <v>103</v>
      </c>
      <c r="Q150" s="114" t="e">
        <f t="shared" si="248"/>
        <v>#VALUE!</v>
      </c>
      <c r="R150" s="115" t="e">
        <f t="shared" si="248"/>
        <v>#VALUE!</v>
      </c>
      <c r="S150" s="115" t="e">
        <f t="shared" si="248"/>
        <v>#VALUE!</v>
      </c>
      <c r="T150" s="115" t="e">
        <f t="shared" si="248"/>
        <v>#VALUE!</v>
      </c>
      <c r="U150" s="115" t="e">
        <f t="shared" si="248"/>
        <v>#VALUE!</v>
      </c>
      <c r="V150" s="115" t="e">
        <f t="shared" si="248"/>
        <v>#VALUE!</v>
      </c>
      <c r="W150" s="115" t="e">
        <f t="shared" si="248"/>
        <v>#VALUE!</v>
      </c>
      <c r="X150" s="115" t="e">
        <f t="shared" si="248"/>
        <v>#VALUE!</v>
      </c>
      <c r="Y150" s="115" t="e">
        <f t="shared" si="248"/>
        <v>#VALUE!</v>
      </c>
      <c r="Z150" s="115" t="e">
        <f t="shared" si="249"/>
        <v>#VALUE!</v>
      </c>
      <c r="AA150" s="115" t="e">
        <f t="shared" si="249"/>
        <v>#VALUE!</v>
      </c>
      <c r="AB150" s="115" t="e">
        <f t="shared" si="249"/>
        <v>#VALUE!</v>
      </c>
      <c r="AC150" s="115" t="e">
        <f t="shared" si="249"/>
        <v>#VALUE!</v>
      </c>
      <c r="AD150" s="115" t="e">
        <f t="shared" si="249"/>
        <v>#VALUE!</v>
      </c>
      <c r="AE150" s="115" t="e">
        <f t="shared" si="249"/>
        <v>#VALUE!</v>
      </c>
      <c r="AF150" s="115" t="e">
        <f t="shared" si="249"/>
        <v>#VALUE!</v>
      </c>
      <c r="AG150" s="115" t="e">
        <f t="shared" si="249"/>
        <v>#VALUE!</v>
      </c>
      <c r="AH150" s="115" t="e">
        <f t="shared" si="249"/>
        <v>#VALUE!</v>
      </c>
      <c r="AI150" s="115" t="e">
        <f t="shared" si="249"/>
        <v>#VALUE!</v>
      </c>
      <c r="AJ150" s="115" t="e">
        <f t="shared" si="250"/>
        <v>#VALUE!</v>
      </c>
      <c r="AK150" s="115" t="e">
        <f t="shared" si="250"/>
        <v>#VALUE!</v>
      </c>
      <c r="AL150" s="115" t="e">
        <f t="shared" si="250"/>
        <v>#VALUE!</v>
      </c>
      <c r="AM150" s="115" t="e">
        <f t="shared" si="250"/>
        <v>#VALUE!</v>
      </c>
      <c r="AN150" s="115" t="e">
        <f t="shared" si="250"/>
        <v>#VALUE!</v>
      </c>
      <c r="AO150" s="115" t="e">
        <f t="shared" si="250"/>
        <v>#VALUE!</v>
      </c>
      <c r="AP150" s="115" t="e">
        <f t="shared" si="250"/>
        <v>#VALUE!</v>
      </c>
      <c r="AQ150" s="115" t="e">
        <f t="shared" si="250"/>
        <v>#VALUE!</v>
      </c>
      <c r="AR150" s="115" t="e">
        <f t="shared" si="250"/>
        <v>#VALUE!</v>
      </c>
      <c r="AS150" s="115" t="e">
        <f t="shared" si="250"/>
        <v>#VALUE!</v>
      </c>
      <c r="AT150" s="115" t="e">
        <f t="shared" si="251"/>
        <v>#VALUE!</v>
      </c>
      <c r="AU150" s="115" t="e">
        <f t="shared" si="251"/>
        <v>#VALUE!</v>
      </c>
      <c r="AV150" s="115" t="e">
        <f t="shared" si="251"/>
        <v>#VALUE!</v>
      </c>
      <c r="AW150" s="115" t="e">
        <f t="shared" si="251"/>
        <v>#VALUE!</v>
      </c>
      <c r="AX150" s="115" t="e">
        <f t="shared" si="251"/>
        <v>#VALUE!</v>
      </c>
      <c r="AY150" s="115" t="e">
        <f t="shared" si="251"/>
        <v>#VALUE!</v>
      </c>
      <c r="AZ150" s="115" t="e">
        <f t="shared" si="251"/>
        <v>#VALUE!</v>
      </c>
      <c r="BA150" s="115" t="e">
        <f t="shared" si="251"/>
        <v>#VALUE!</v>
      </c>
      <c r="BB150" s="115" t="e">
        <f t="shared" si="251"/>
        <v>#VALUE!</v>
      </c>
      <c r="BC150" s="115" t="e">
        <f t="shared" si="251"/>
        <v>#VALUE!</v>
      </c>
      <c r="BD150" s="115" t="e">
        <f t="shared" si="252"/>
        <v>#VALUE!</v>
      </c>
      <c r="BE150" s="115" t="e">
        <f t="shared" si="252"/>
        <v>#VALUE!</v>
      </c>
      <c r="BF150" s="115" t="e">
        <f t="shared" si="252"/>
        <v>#VALUE!</v>
      </c>
      <c r="BG150" s="115" t="e">
        <f t="shared" si="252"/>
        <v>#VALUE!</v>
      </c>
      <c r="BH150" s="115" t="e">
        <f t="shared" si="252"/>
        <v>#VALUE!</v>
      </c>
      <c r="BI150" s="115" t="e">
        <f t="shared" si="252"/>
        <v>#VALUE!</v>
      </c>
      <c r="BJ150" s="115" t="e">
        <f t="shared" si="252"/>
        <v>#VALUE!</v>
      </c>
      <c r="BK150" s="115" t="e">
        <f t="shared" si="252"/>
        <v>#VALUE!</v>
      </c>
      <c r="BL150" s="115" t="e">
        <f t="shared" si="252"/>
        <v>#VALUE!</v>
      </c>
      <c r="BM150" s="115" t="e">
        <f t="shared" si="252"/>
        <v>#VALUE!</v>
      </c>
      <c r="BN150" s="115" t="e">
        <f t="shared" si="253"/>
        <v>#VALUE!</v>
      </c>
      <c r="BO150" s="115" t="e">
        <f t="shared" si="253"/>
        <v>#VALUE!</v>
      </c>
      <c r="BP150" s="115" t="e">
        <f t="shared" si="253"/>
        <v>#VALUE!</v>
      </c>
      <c r="BQ150" s="115" t="e">
        <f t="shared" si="253"/>
        <v>#VALUE!</v>
      </c>
      <c r="BR150" s="115" t="e">
        <f t="shared" si="253"/>
        <v>#VALUE!</v>
      </c>
      <c r="BS150" s="115" t="e">
        <f t="shared" si="253"/>
        <v>#VALUE!</v>
      </c>
      <c r="BT150" s="115" t="e">
        <f t="shared" si="253"/>
        <v>#VALUE!</v>
      </c>
      <c r="BU150" s="115" t="e">
        <f t="shared" si="253"/>
        <v>#VALUE!</v>
      </c>
      <c r="BV150" s="115" t="e">
        <f t="shared" si="253"/>
        <v>#VALUE!</v>
      </c>
      <c r="BW150" s="115" t="e">
        <f t="shared" si="253"/>
        <v>#VALUE!</v>
      </c>
      <c r="BX150" s="115" t="e">
        <f t="shared" si="254"/>
        <v>#VALUE!</v>
      </c>
      <c r="BY150" s="115" t="e">
        <f t="shared" si="254"/>
        <v>#VALUE!</v>
      </c>
      <c r="BZ150" s="115" t="e">
        <f t="shared" si="254"/>
        <v>#VALUE!</v>
      </c>
      <c r="CA150" s="115" t="e">
        <f t="shared" si="254"/>
        <v>#VALUE!</v>
      </c>
      <c r="CB150" s="115" t="e">
        <f t="shared" si="254"/>
        <v>#VALUE!</v>
      </c>
      <c r="CC150" s="115" t="e">
        <f t="shared" si="254"/>
        <v>#VALUE!</v>
      </c>
      <c r="CD150" s="115" t="e">
        <f t="shared" si="254"/>
        <v>#VALUE!</v>
      </c>
      <c r="CE150" s="115" t="e">
        <f t="shared" si="254"/>
        <v>#VALUE!</v>
      </c>
      <c r="CF150" s="115" t="e">
        <f t="shared" si="254"/>
        <v>#VALUE!</v>
      </c>
      <c r="CG150" s="115" t="e">
        <f t="shared" si="254"/>
        <v>#VALUE!</v>
      </c>
      <c r="CH150" s="115" t="e">
        <f t="shared" si="255"/>
        <v>#VALUE!</v>
      </c>
      <c r="CI150" s="115" t="e">
        <f t="shared" si="255"/>
        <v>#VALUE!</v>
      </c>
      <c r="CJ150" s="115" t="e">
        <f t="shared" si="255"/>
        <v>#VALUE!</v>
      </c>
      <c r="CK150" s="115" t="e">
        <f t="shared" si="255"/>
        <v>#VALUE!</v>
      </c>
      <c r="CL150" s="115" t="e">
        <f t="shared" si="255"/>
        <v>#VALUE!</v>
      </c>
      <c r="CM150" s="115" t="e">
        <f t="shared" si="255"/>
        <v>#VALUE!</v>
      </c>
      <c r="CN150" s="115" t="e">
        <f t="shared" si="255"/>
        <v>#VALUE!</v>
      </c>
      <c r="CO150" s="115" t="e">
        <f t="shared" si="255"/>
        <v>#VALUE!</v>
      </c>
      <c r="CP150" s="115" t="e">
        <f t="shared" si="255"/>
        <v>#VALUE!</v>
      </c>
      <c r="CQ150" s="115" t="e">
        <f t="shared" si="255"/>
        <v>#VALUE!</v>
      </c>
      <c r="CR150" s="115" t="e">
        <f t="shared" si="256"/>
        <v>#VALUE!</v>
      </c>
      <c r="CS150" s="115" t="e">
        <f t="shared" si="256"/>
        <v>#VALUE!</v>
      </c>
      <c r="CT150" s="115" t="e">
        <f t="shared" si="256"/>
        <v>#VALUE!</v>
      </c>
      <c r="CU150" s="115" t="e">
        <f t="shared" si="256"/>
        <v>#VALUE!</v>
      </c>
      <c r="CV150" s="115" t="e">
        <f t="shared" si="256"/>
        <v>#VALUE!</v>
      </c>
      <c r="CW150" s="115" t="e">
        <f t="shared" si="256"/>
        <v>#VALUE!</v>
      </c>
      <c r="CX150" s="115" t="e">
        <f t="shared" si="256"/>
        <v>#VALUE!</v>
      </c>
      <c r="CY150" s="115" t="e">
        <f t="shared" si="256"/>
        <v>#VALUE!</v>
      </c>
      <c r="CZ150" s="115" t="e">
        <f t="shared" si="256"/>
        <v>#VALUE!</v>
      </c>
      <c r="DA150" s="115" t="e">
        <f t="shared" si="256"/>
        <v>#VALUE!</v>
      </c>
      <c r="DB150" s="115" t="e">
        <f t="shared" si="257"/>
        <v>#VALUE!</v>
      </c>
      <c r="DC150" s="115" t="e">
        <f t="shared" si="257"/>
        <v>#VALUE!</v>
      </c>
      <c r="DD150" s="115" t="e">
        <f t="shared" si="257"/>
        <v>#VALUE!</v>
      </c>
      <c r="DE150" s="115" t="e">
        <f t="shared" si="257"/>
        <v>#VALUE!</v>
      </c>
      <c r="DF150" s="115" t="e">
        <f t="shared" si="257"/>
        <v>#VALUE!</v>
      </c>
      <c r="DG150" s="115" t="e">
        <f t="shared" si="257"/>
        <v>#VALUE!</v>
      </c>
      <c r="DH150" s="115" t="e">
        <f t="shared" si="257"/>
        <v>#VALUE!</v>
      </c>
      <c r="DI150" s="115" t="e">
        <f t="shared" si="257"/>
        <v>#VALUE!</v>
      </c>
      <c r="DJ150" s="115" t="e">
        <f t="shared" si="257"/>
        <v>#VALUE!</v>
      </c>
      <c r="DK150" s="115" t="e">
        <f t="shared" si="257"/>
        <v>#VALUE!</v>
      </c>
      <c r="DL150" s="115" t="e">
        <f t="shared" si="257"/>
        <v>#VALUE!</v>
      </c>
      <c r="DM150" s="115" t="e">
        <f t="shared" si="257"/>
        <v>#VALUE!</v>
      </c>
    </row>
    <row r="151" spans="1:117" ht="15" customHeight="1" thickBot="1">
      <c r="A151" s="55">
        <v>15400</v>
      </c>
      <c r="B151" s="194" t="s">
        <v>728</v>
      </c>
      <c r="C151" s="194" t="s">
        <v>906</v>
      </c>
      <c r="D151" s="194" t="s">
        <v>213</v>
      </c>
      <c r="E151" s="194" t="s">
        <v>214</v>
      </c>
      <c r="F151" s="194" t="s">
        <v>1119</v>
      </c>
      <c r="G151" s="291" t="e">
        <f t="shared" si="244"/>
        <v>#VALUE!</v>
      </c>
      <c r="H151" s="292" t="e">
        <f>VLOOKUP("E3.G.S",Errichtungskosten,12,0) *VLOOKUP("PFAKT",Instandsetzung,5,0)</f>
        <v>#VALUE!</v>
      </c>
      <c r="I151" s="168"/>
      <c r="J151" s="194" t="s">
        <v>850</v>
      </c>
      <c r="K151" s="385">
        <f t="shared" si="245"/>
        <v>17</v>
      </c>
      <c r="L151" s="379" t="s">
        <v>358</v>
      </c>
      <c r="M151" s="325">
        <f t="shared" si="246"/>
        <v>1.35</v>
      </c>
      <c r="N151" s="380">
        <f t="shared" si="247"/>
        <v>0.99655850540806312</v>
      </c>
      <c r="O151" s="381" t="e">
        <f t="shared" si="248"/>
        <v>#VALUE!</v>
      </c>
      <c r="P151" s="169" t="s">
        <v>103</v>
      </c>
      <c r="Q151" s="114" t="e">
        <f t="shared" si="248"/>
        <v>#VALUE!</v>
      </c>
      <c r="R151" s="115" t="e">
        <f t="shared" si="248"/>
        <v>#VALUE!</v>
      </c>
      <c r="S151" s="115" t="e">
        <f t="shared" si="248"/>
        <v>#VALUE!</v>
      </c>
      <c r="T151" s="115" t="e">
        <f t="shared" si="248"/>
        <v>#VALUE!</v>
      </c>
      <c r="U151" s="115" t="e">
        <f t="shared" si="248"/>
        <v>#VALUE!</v>
      </c>
      <c r="V151" s="115" t="e">
        <f t="shared" si="248"/>
        <v>#VALUE!</v>
      </c>
      <c r="W151" s="115" t="e">
        <f t="shared" si="248"/>
        <v>#VALUE!</v>
      </c>
      <c r="X151" s="115" t="e">
        <f t="shared" si="248"/>
        <v>#VALUE!</v>
      </c>
      <c r="Y151" s="115" t="e">
        <f t="shared" si="248"/>
        <v>#VALUE!</v>
      </c>
      <c r="Z151" s="115" t="e">
        <f t="shared" si="249"/>
        <v>#VALUE!</v>
      </c>
      <c r="AA151" s="115" t="e">
        <f t="shared" si="249"/>
        <v>#VALUE!</v>
      </c>
      <c r="AB151" s="115" t="e">
        <f t="shared" si="249"/>
        <v>#VALUE!</v>
      </c>
      <c r="AC151" s="115" t="e">
        <f t="shared" si="249"/>
        <v>#VALUE!</v>
      </c>
      <c r="AD151" s="115" t="e">
        <f t="shared" si="249"/>
        <v>#VALUE!</v>
      </c>
      <c r="AE151" s="115" t="e">
        <f t="shared" si="249"/>
        <v>#VALUE!</v>
      </c>
      <c r="AF151" s="115" t="e">
        <f t="shared" si="249"/>
        <v>#VALUE!</v>
      </c>
      <c r="AG151" s="115" t="e">
        <f t="shared" si="249"/>
        <v>#VALUE!</v>
      </c>
      <c r="AH151" s="115" t="e">
        <f t="shared" si="249"/>
        <v>#VALUE!</v>
      </c>
      <c r="AI151" s="115" t="e">
        <f t="shared" si="249"/>
        <v>#VALUE!</v>
      </c>
      <c r="AJ151" s="115" t="e">
        <f t="shared" si="250"/>
        <v>#VALUE!</v>
      </c>
      <c r="AK151" s="115" t="e">
        <f t="shared" si="250"/>
        <v>#VALUE!</v>
      </c>
      <c r="AL151" s="115" t="e">
        <f t="shared" si="250"/>
        <v>#VALUE!</v>
      </c>
      <c r="AM151" s="115" t="e">
        <f t="shared" si="250"/>
        <v>#VALUE!</v>
      </c>
      <c r="AN151" s="115" t="e">
        <f t="shared" si="250"/>
        <v>#VALUE!</v>
      </c>
      <c r="AO151" s="115" t="e">
        <f t="shared" si="250"/>
        <v>#VALUE!</v>
      </c>
      <c r="AP151" s="115" t="e">
        <f t="shared" si="250"/>
        <v>#VALUE!</v>
      </c>
      <c r="AQ151" s="115" t="e">
        <f t="shared" si="250"/>
        <v>#VALUE!</v>
      </c>
      <c r="AR151" s="115" t="e">
        <f t="shared" si="250"/>
        <v>#VALUE!</v>
      </c>
      <c r="AS151" s="115" t="e">
        <f t="shared" si="250"/>
        <v>#VALUE!</v>
      </c>
      <c r="AT151" s="115" t="e">
        <f t="shared" si="251"/>
        <v>#VALUE!</v>
      </c>
      <c r="AU151" s="115" t="e">
        <f t="shared" si="251"/>
        <v>#VALUE!</v>
      </c>
      <c r="AV151" s="115" t="e">
        <f t="shared" si="251"/>
        <v>#VALUE!</v>
      </c>
      <c r="AW151" s="115" t="e">
        <f t="shared" si="251"/>
        <v>#VALUE!</v>
      </c>
      <c r="AX151" s="115" t="e">
        <f t="shared" si="251"/>
        <v>#VALUE!</v>
      </c>
      <c r="AY151" s="115" t="e">
        <f t="shared" si="251"/>
        <v>#VALUE!</v>
      </c>
      <c r="AZ151" s="115" t="e">
        <f t="shared" si="251"/>
        <v>#VALUE!</v>
      </c>
      <c r="BA151" s="115" t="e">
        <f t="shared" si="251"/>
        <v>#VALUE!</v>
      </c>
      <c r="BB151" s="115" t="e">
        <f t="shared" si="251"/>
        <v>#VALUE!</v>
      </c>
      <c r="BC151" s="115" t="e">
        <f t="shared" si="251"/>
        <v>#VALUE!</v>
      </c>
      <c r="BD151" s="115" t="e">
        <f t="shared" si="252"/>
        <v>#VALUE!</v>
      </c>
      <c r="BE151" s="115" t="e">
        <f t="shared" si="252"/>
        <v>#VALUE!</v>
      </c>
      <c r="BF151" s="115" t="e">
        <f t="shared" si="252"/>
        <v>#VALUE!</v>
      </c>
      <c r="BG151" s="115" t="e">
        <f t="shared" si="252"/>
        <v>#VALUE!</v>
      </c>
      <c r="BH151" s="115" t="e">
        <f t="shared" si="252"/>
        <v>#VALUE!</v>
      </c>
      <c r="BI151" s="115" t="e">
        <f t="shared" si="252"/>
        <v>#VALUE!</v>
      </c>
      <c r="BJ151" s="115" t="e">
        <f t="shared" si="252"/>
        <v>#VALUE!</v>
      </c>
      <c r="BK151" s="115" t="e">
        <f t="shared" si="252"/>
        <v>#VALUE!</v>
      </c>
      <c r="BL151" s="115" t="e">
        <f t="shared" si="252"/>
        <v>#VALUE!</v>
      </c>
      <c r="BM151" s="115" t="e">
        <f t="shared" si="252"/>
        <v>#VALUE!</v>
      </c>
      <c r="BN151" s="115" t="e">
        <f t="shared" si="253"/>
        <v>#VALUE!</v>
      </c>
      <c r="BO151" s="115" t="e">
        <f t="shared" si="253"/>
        <v>#VALUE!</v>
      </c>
      <c r="BP151" s="115" t="e">
        <f t="shared" si="253"/>
        <v>#VALUE!</v>
      </c>
      <c r="BQ151" s="115" t="e">
        <f t="shared" si="253"/>
        <v>#VALUE!</v>
      </c>
      <c r="BR151" s="115" t="e">
        <f t="shared" si="253"/>
        <v>#VALUE!</v>
      </c>
      <c r="BS151" s="115" t="e">
        <f t="shared" si="253"/>
        <v>#VALUE!</v>
      </c>
      <c r="BT151" s="115" t="e">
        <f t="shared" si="253"/>
        <v>#VALUE!</v>
      </c>
      <c r="BU151" s="115" t="e">
        <f t="shared" si="253"/>
        <v>#VALUE!</v>
      </c>
      <c r="BV151" s="115" t="e">
        <f t="shared" si="253"/>
        <v>#VALUE!</v>
      </c>
      <c r="BW151" s="115" t="e">
        <f t="shared" si="253"/>
        <v>#VALUE!</v>
      </c>
      <c r="BX151" s="115" t="e">
        <f t="shared" si="254"/>
        <v>#VALUE!</v>
      </c>
      <c r="BY151" s="115" t="e">
        <f t="shared" si="254"/>
        <v>#VALUE!</v>
      </c>
      <c r="BZ151" s="115" t="e">
        <f t="shared" si="254"/>
        <v>#VALUE!</v>
      </c>
      <c r="CA151" s="115" t="e">
        <f t="shared" si="254"/>
        <v>#VALUE!</v>
      </c>
      <c r="CB151" s="115" t="e">
        <f t="shared" si="254"/>
        <v>#VALUE!</v>
      </c>
      <c r="CC151" s="115" t="e">
        <f t="shared" si="254"/>
        <v>#VALUE!</v>
      </c>
      <c r="CD151" s="115" t="e">
        <f t="shared" si="254"/>
        <v>#VALUE!</v>
      </c>
      <c r="CE151" s="115" t="e">
        <f t="shared" si="254"/>
        <v>#VALUE!</v>
      </c>
      <c r="CF151" s="115" t="e">
        <f t="shared" si="254"/>
        <v>#VALUE!</v>
      </c>
      <c r="CG151" s="115" t="e">
        <f t="shared" si="254"/>
        <v>#VALUE!</v>
      </c>
      <c r="CH151" s="115" t="e">
        <f t="shared" si="255"/>
        <v>#VALUE!</v>
      </c>
      <c r="CI151" s="115" t="e">
        <f t="shared" si="255"/>
        <v>#VALUE!</v>
      </c>
      <c r="CJ151" s="115" t="e">
        <f t="shared" si="255"/>
        <v>#VALUE!</v>
      </c>
      <c r="CK151" s="115" t="e">
        <f t="shared" si="255"/>
        <v>#VALUE!</v>
      </c>
      <c r="CL151" s="115" t="e">
        <f t="shared" si="255"/>
        <v>#VALUE!</v>
      </c>
      <c r="CM151" s="115" t="e">
        <f t="shared" si="255"/>
        <v>#VALUE!</v>
      </c>
      <c r="CN151" s="115" t="e">
        <f t="shared" si="255"/>
        <v>#VALUE!</v>
      </c>
      <c r="CO151" s="115" t="e">
        <f t="shared" si="255"/>
        <v>#VALUE!</v>
      </c>
      <c r="CP151" s="115" t="e">
        <f t="shared" si="255"/>
        <v>#VALUE!</v>
      </c>
      <c r="CQ151" s="115" t="e">
        <f t="shared" si="255"/>
        <v>#VALUE!</v>
      </c>
      <c r="CR151" s="115" t="e">
        <f t="shared" si="256"/>
        <v>#VALUE!</v>
      </c>
      <c r="CS151" s="115" t="e">
        <f t="shared" si="256"/>
        <v>#VALUE!</v>
      </c>
      <c r="CT151" s="115" t="e">
        <f t="shared" si="256"/>
        <v>#VALUE!</v>
      </c>
      <c r="CU151" s="115" t="e">
        <f t="shared" si="256"/>
        <v>#VALUE!</v>
      </c>
      <c r="CV151" s="115" t="e">
        <f t="shared" si="256"/>
        <v>#VALUE!</v>
      </c>
      <c r="CW151" s="115" t="e">
        <f t="shared" si="256"/>
        <v>#VALUE!</v>
      </c>
      <c r="CX151" s="115" t="e">
        <f t="shared" si="256"/>
        <v>#VALUE!</v>
      </c>
      <c r="CY151" s="115" t="e">
        <f t="shared" si="256"/>
        <v>#VALUE!</v>
      </c>
      <c r="CZ151" s="115" t="e">
        <f t="shared" si="256"/>
        <v>#VALUE!</v>
      </c>
      <c r="DA151" s="115" t="e">
        <f t="shared" si="256"/>
        <v>#VALUE!</v>
      </c>
      <c r="DB151" s="115" t="e">
        <f t="shared" si="257"/>
        <v>#VALUE!</v>
      </c>
      <c r="DC151" s="115" t="e">
        <f t="shared" si="257"/>
        <v>#VALUE!</v>
      </c>
      <c r="DD151" s="115" t="e">
        <f t="shared" si="257"/>
        <v>#VALUE!</v>
      </c>
      <c r="DE151" s="115" t="e">
        <f t="shared" si="257"/>
        <v>#VALUE!</v>
      </c>
      <c r="DF151" s="115" t="e">
        <f t="shared" si="257"/>
        <v>#VALUE!</v>
      </c>
      <c r="DG151" s="115" t="e">
        <f t="shared" si="257"/>
        <v>#VALUE!</v>
      </c>
      <c r="DH151" s="115" t="e">
        <f t="shared" si="257"/>
        <v>#VALUE!</v>
      </c>
      <c r="DI151" s="115" t="e">
        <f t="shared" si="257"/>
        <v>#VALUE!</v>
      </c>
      <c r="DJ151" s="115" t="e">
        <f t="shared" si="257"/>
        <v>#VALUE!</v>
      </c>
      <c r="DK151" s="115" t="e">
        <f t="shared" si="257"/>
        <v>#VALUE!</v>
      </c>
      <c r="DL151" s="115" t="e">
        <f t="shared" si="257"/>
        <v>#VALUE!</v>
      </c>
      <c r="DM151" s="115" t="e">
        <f t="shared" si="257"/>
        <v>#VALUE!</v>
      </c>
    </row>
    <row r="152" spans="1:117" ht="15" customHeight="1" thickBot="1">
      <c r="A152" s="55">
        <v>15500</v>
      </c>
      <c r="B152" s="194" t="s">
        <v>728</v>
      </c>
      <c r="C152" s="194" t="s">
        <v>907</v>
      </c>
      <c r="D152" s="194" t="s">
        <v>210</v>
      </c>
      <c r="E152" s="194" t="s">
        <v>211</v>
      </c>
      <c r="F152" s="194" t="s">
        <v>1120</v>
      </c>
      <c r="G152" s="291" t="e">
        <f t="shared" si="244"/>
        <v>#VALUE!</v>
      </c>
      <c r="H152" s="292" t="e">
        <f>VLOOKUP("E3.H",Errichtungskosten,12,0) *VLOOKUP("PFAKT",Instandsetzung,5,0)</f>
        <v>#VALUE!</v>
      </c>
      <c r="I152" s="168"/>
      <c r="J152" s="194" t="s">
        <v>850</v>
      </c>
      <c r="K152" s="385">
        <f t="shared" si="245"/>
        <v>18</v>
      </c>
      <c r="L152" s="379" t="s">
        <v>358</v>
      </c>
      <c r="M152" s="325">
        <f t="shared" si="246"/>
        <v>1.35</v>
      </c>
      <c r="N152" s="380">
        <f t="shared" si="247"/>
        <v>0.99655850540806312</v>
      </c>
      <c r="O152" s="381" t="e">
        <f t="shared" si="248"/>
        <v>#VALUE!</v>
      </c>
      <c r="P152" s="169" t="s">
        <v>103</v>
      </c>
      <c r="Q152" s="114" t="e">
        <f t="shared" si="248"/>
        <v>#VALUE!</v>
      </c>
      <c r="R152" s="115" t="e">
        <f t="shared" si="248"/>
        <v>#VALUE!</v>
      </c>
      <c r="S152" s="115" t="e">
        <f t="shared" si="248"/>
        <v>#VALUE!</v>
      </c>
      <c r="T152" s="115" t="e">
        <f t="shared" si="248"/>
        <v>#VALUE!</v>
      </c>
      <c r="U152" s="115" t="e">
        <f t="shared" si="248"/>
        <v>#VALUE!</v>
      </c>
      <c r="V152" s="115" t="e">
        <f t="shared" si="248"/>
        <v>#VALUE!</v>
      </c>
      <c r="W152" s="115" t="e">
        <f t="shared" si="248"/>
        <v>#VALUE!</v>
      </c>
      <c r="X152" s="115" t="e">
        <f t="shared" si="248"/>
        <v>#VALUE!</v>
      </c>
      <c r="Y152" s="115" t="e">
        <f t="shared" si="248"/>
        <v>#VALUE!</v>
      </c>
      <c r="Z152" s="115" t="e">
        <f t="shared" si="249"/>
        <v>#VALUE!</v>
      </c>
      <c r="AA152" s="115" t="e">
        <f t="shared" si="249"/>
        <v>#VALUE!</v>
      </c>
      <c r="AB152" s="115" t="e">
        <f t="shared" si="249"/>
        <v>#VALUE!</v>
      </c>
      <c r="AC152" s="115" t="e">
        <f t="shared" si="249"/>
        <v>#VALUE!</v>
      </c>
      <c r="AD152" s="115" t="e">
        <f t="shared" si="249"/>
        <v>#VALUE!</v>
      </c>
      <c r="AE152" s="115" t="e">
        <f t="shared" si="249"/>
        <v>#VALUE!</v>
      </c>
      <c r="AF152" s="115" t="e">
        <f t="shared" si="249"/>
        <v>#VALUE!</v>
      </c>
      <c r="AG152" s="115" t="e">
        <f t="shared" si="249"/>
        <v>#VALUE!</v>
      </c>
      <c r="AH152" s="115" t="e">
        <f t="shared" si="249"/>
        <v>#VALUE!</v>
      </c>
      <c r="AI152" s="115" t="e">
        <f t="shared" si="249"/>
        <v>#VALUE!</v>
      </c>
      <c r="AJ152" s="115" t="e">
        <f t="shared" si="250"/>
        <v>#VALUE!</v>
      </c>
      <c r="AK152" s="115" t="e">
        <f t="shared" si="250"/>
        <v>#VALUE!</v>
      </c>
      <c r="AL152" s="115" t="e">
        <f t="shared" si="250"/>
        <v>#VALUE!</v>
      </c>
      <c r="AM152" s="115" t="e">
        <f t="shared" si="250"/>
        <v>#VALUE!</v>
      </c>
      <c r="AN152" s="115" t="e">
        <f t="shared" si="250"/>
        <v>#VALUE!</v>
      </c>
      <c r="AO152" s="115" t="e">
        <f t="shared" si="250"/>
        <v>#VALUE!</v>
      </c>
      <c r="AP152" s="115" t="e">
        <f t="shared" si="250"/>
        <v>#VALUE!</v>
      </c>
      <c r="AQ152" s="115" t="e">
        <f t="shared" si="250"/>
        <v>#VALUE!</v>
      </c>
      <c r="AR152" s="115" t="e">
        <f t="shared" si="250"/>
        <v>#VALUE!</v>
      </c>
      <c r="AS152" s="115" t="e">
        <f t="shared" si="250"/>
        <v>#VALUE!</v>
      </c>
      <c r="AT152" s="115" t="e">
        <f t="shared" si="251"/>
        <v>#VALUE!</v>
      </c>
      <c r="AU152" s="115" t="e">
        <f t="shared" si="251"/>
        <v>#VALUE!</v>
      </c>
      <c r="AV152" s="115" t="e">
        <f t="shared" si="251"/>
        <v>#VALUE!</v>
      </c>
      <c r="AW152" s="115" t="e">
        <f t="shared" si="251"/>
        <v>#VALUE!</v>
      </c>
      <c r="AX152" s="115" t="e">
        <f t="shared" si="251"/>
        <v>#VALUE!</v>
      </c>
      <c r="AY152" s="115" t="e">
        <f t="shared" si="251"/>
        <v>#VALUE!</v>
      </c>
      <c r="AZ152" s="115" t="e">
        <f t="shared" si="251"/>
        <v>#VALUE!</v>
      </c>
      <c r="BA152" s="115" t="e">
        <f t="shared" si="251"/>
        <v>#VALUE!</v>
      </c>
      <c r="BB152" s="115" t="e">
        <f t="shared" si="251"/>
        <v>#VALUE!</v>
      </c>
      <c r="BC152" s="115" t="e">
        <f t="shared" si="251"/>
        <v>#VALUE!</v>
      </c>
      <c r="BD152" s="115" t="e">
        <f t="shared" si="252"/>
        <v>#VALUE!</v>
      </c>
      <c r="BE152" s="115" t="e">
        <f t="shared" si="252"/>
        <v>#VALUE!</v>
      </c>
      <c r="BF152" s="115" t="e">
        <f t="shared" si="252"/>
        <v>#VALUE!</v>
      </c>
      <c r="BG152" s="115" t="e">
        <f t="shared" si="252"/>
        <v>#VALUE!</v>
      </c>
      <c r="BH152" s="115" t="e">
        <f t="shared" si="252"/>
        <v>#VALUE!</v>
      </c>
      <c r="BI152" s="115" t="e">
        <f t="shared" si="252"/>
        <v>#VALUE!</v>
      </c>
      <c r="BJ152" s="115" t="e">
        <f t="shared" si="252"/>
        <v>#VALUE!</v>
      </c>
      <c r="BK152" s="115" t="e">
        <f t="shared" si="252"/>
        <v>#VALUE!</v>
      </c>
      <c r="BL152" s="115" t="e">
        <f t="shared" si="252"/>
        <v>#VALUE!</v>
      </c>
      <c r="BM152" s="115" t="e">
        <f t="shared" si="252"/>
        <v>#VALUE!</v>
      </c>
      <c r="BN152" s="115" t="e">
        <f t="shared" si="253"/>
        <v>#VALUE!</v>
      </c>
      <c r="BO152" s="115" t="e">
        <f t="shared" si="253"/>
        <v>#VALUE!</v>
      </c>
      <c r="BP152" s="115" t="e">
        <f t="shared" si="253"/>
        <v>#VALUE!</v>
      </c>
      <c r="BQ152" s="115" t="e">
        <f t="shared" si="253"/>
        <v>#VALUE!</v>
      </c>
      <c r="BR152" s="115" t="e">
        <f t="shared" si="253"/>
        <v>#VALUE!</v>
      </c>
      <c r="BS152" s="115" t="e">
        <f t="shared" si="253"/>
        <v>#VALUE!</v>
      </c>
      <c r="BT152" s="115" t="e">
        <f t="shared" si="253"/>
        <v>#VALUE!</v>
      </c>
      <c r="BU152" s="115" t="e">
        <f t="shared" si="253"/>
        <v>#VALUE!</v>
      </c>
      <c r="BV152" s="115" t="e">
        <f t="shared" si="253"/>
        <v>#VALUE!</v>
      </c>
      <c r="BW152" s="115" t="e">
        <f t="shared" si="253"/>
        <v>#VALUE!</v>
      </c>
      <c r="BX152" s="115" t="e">
        <f t="shared" si="254"/>
        <v>#VALUE!</v>
      </c>
      <c r="BY152" s="115" t="e">
        <f t="shared" si="254"/>
        <v>#VALUE!</v>
      </c>
      <c r="BZ152" s="115" t="e">
        <f t="shared" si="254"/>
        <v>#VALUE!</v>
      </c>
      <c r="CA152" s="115" t="e">
        <f t="shared" si="254"/>
        <v>#VALUE!</v>
      </c>
      <c r="CB152" s="115" t="e">
        <f t="shared" si="254"/>
        <v>#VALUE!</v>
      </c>
      <c r="CC152" s="115" t="e">
        <f t="shared" si="254"/>
        <v>#VALUE!</v>
      </c>
      <c r="CD152" s="115" t="e">
        <f t="shared" si="254"/>
        <v>#VALUE!</v>
      </c>
      <c r="CE152" s="115" t="e">
        <f t="shared" si="254"/>
        <v>#VALUE!</v>
      </c>
      <c r="CF152" s="115" t="e">
        <f t="shared" si="254"/>
        <v>#VALUE!</v>
      </c>
      <c r="CG152" s="115" t="e">
        <f t="shared" si="254"/>
        <v>#VALUE!</v>
      </c>
      <c r="CH152" s="115" t="e">
        <f t="shared" si="255"/>
        <v>#VALUE!</v>
      </c>
      <c r="CI152" s="115" t="e">
        <f t="shared" si="255"/>
        <v>#VALUE!</v>
      </c>
      <c r="CJ152" s="115" t="e">
        <f t="shared" si="255"/>
        <v>#VALUE!</v>
      </c>
      <c r="CK152" s="115" t="e">
        <f t="shared" si="255"/>
        <v>#VALUE!</v>
      </c>
      <c r="CL152" s="115" t="e">
        <f t="shared" si="255"/>
        <v>#VALUE!</v>
      </c>
      <c r="CM152" s="115" t="e">
        <f t="shared" si="255"/>
        <v>#VALUE!</v>
      </c>
      <c r="CN152" s="115" t="e">
        <f t="shared" si="255"/>
        <v>#VALUE!</v>
      </c>
      <c r="CO152" s="115" t="e">
        <f t="shared" si="255"/>
        <v>#VALUE!</v>
      </c>
      <c r="CP152" s="115" t="e">
        <f t="shared" si="255"/>
        <v>#VALUE!</v>
      </c>
      <c r="CQ152" s="115" t="e">
        <f t="shared" si="255"/>
        <v>#VALUE!</v>
      </c>
      <c r="CR152" s="115" t="e">
        <f t="shared" si="256"/>
        <v>#VALUE!</v>
      </c>
      <c r="CS152" s="115" t="e">
        <f t="shared" si="256"/>
        <v>#VALUE!</v>
      </c>
      <c r="CT152" s="115" t="e">
        <f t="shared" si="256"/>
        <v>#VALUE!</v>
      </c>
      <c r="CU152" s="115" t="e">
        <f t="shared" si="256"/>
        <v>#VALUE!</v>
      </c>
      <c r="CV152" s="115" t="e">
        <f t="shared" si="256"/>
        <v>#VALUE!</v>
      </c>
      <c r="CW152" s="115" t="e">
        <f t="shared" si="256"/>
        <v>#VALUE!</v>
      </c>
      <c r="CX152" s="115" t="e">
        <f t="shared" si="256"/>
        <v>#VALUE!</v>
      </c>
      <c r="CY152" s="115" t="e">
        <f t="shared" si="256"/>
        <v>#VALUE!</v>
      </c>
      <c r="CZ152" s="115" t="e">
        <f t="shared" si="256"/>
        <v>#VALUE!</v>
      </c>
      <c r="DA152" s="115" t="e">
        <f t="shared" si="256"/>
        <v>#VALUE!</v>
      </c>
      <c r="DB152" s="115" t="e">
        <f t="shared" si="257"/>
        <v>#VALUE!</v>
      </c>
      <c r="DC152" s="115" t="e">
        <f t="shared" si="257"/>
        <v>#VALUE!</v>
      </c>
      <c r="DD152" s="115" t="e">
        <f t="shared" si="257"/>
        <v>#VALUE!</v>
      </c>
      <c r="DE152" s="115" t="e">
        <f t="shared" si="257"/>
        <v>#VALUE!</v>
      </c>
      <c r="DF152" s="115" t="e">
        <f t="shared" si="257"/>
        <v>#VALUE!</v>
      </c>
      <c r="DG152" s="115" t="e">
        <f t="shared" si="257"/>
        <v>#VALUE!</v>
      </c>
      <c r="DH152" s="115" t="e">
        <f t="shared" si="257"/>
        <v>#VALUE!</v>
      </c>
      <c r="DI152" s="115" t="e">
        <f t="shared" si="257"/>
        <v>#VALUE!</v>
      </c>
      <c r="DJ152" s="115" t="e">
        <f t="shared" si="257"/>
        <v>#VALUE!</v>
      </c>
      <c r="DK152" s="115" t="e">
        <f t="shared" si="257"/>
        <v>#VALUE!</v>
      </c>
      <c r="DL152" s="115" t="e">
        <f t="shared" si="257"/>
        <v>#VALUE!</v>
      </c>
      <c r="DM152" s="115" t="e">
        <f t="shared" si="257"/>
        <v>#VALUE!</v>
      </c>
    </row>
    <row r="153" spans="1:117" ht="15" customHeight="1" thickBot="1">
      <c r="A153" s="55">
        <v>15600</v>
      </c>
      <c r="B153" s="194" t="s">
        <v>728</v>
      </c>
      <c r="C153" s="194" t="s">
        <v>908</v>
      </c>
      <c r="D153" s="194" t="s">
        <v>909</v>
      </c>
      <c r="E153" s="194" t="s">
        <v>197</v>
      </c>
      <c r="F153" s="194" t="s">
        <v>1121</v>
      </c>
      <c r="G153" s="291" t="e">
        <f t="shared" si="244"/>
        <v>#VALUE!</v>
      </c>
      <c r="H153" s="292" t="e">
        <f>VLOOKUP("E3.S",Errichtungskosten,12,0) *VLOOKUP("PFAKT",Instandsetzung,5,0)</f>
        <v>#VALUE!</v>
      </c>
      <c r="I153" s="168"/>
      <c r="J153" s="194" t="s">
        <v>850</v>
      </c>
      <c r="K153" s="385">
        <f t="shared" si="245"/>
        <v>20</v>
      </c>
      <c r="L153" s="379" t="s">
        <v>358</v>
      </c>
      <c r="M153" s="325">
        <f t="shared" si="246"/>
        <v>1.35</v>
      </c>
      <c r="N153" s="380">
        <f t="shared" si="247"/>
        <v>0.99655850540806312</v>
      </c>
      <c r="O153" s="381" t="e">
        <f t="shared" si="248"/>
        <v>#VALUE!</v>
      </c>
      <c r="P153" s="169" t="s">
        <v>103</v>
      </c>
      <c r="Q153" s="114" t="e">
        <f t="shared" si="248"/>
        <v>#VALUE!</v>
      </c>
      <c r="R153" s="115" t="e">
        <f t="shared" si="248"/>
        <v>#VALUE!</v>
      </c>
      <c r="S153" s="115" t="e">
        <f t="shared" si="248"/>
        <v>#VALUE!</v>
      </c>
      <c r="T153" s="115" t="e">
        <f t="shared" si="248"/>
        <v>#VALUE!</v>
      </c>
      <c r="U153" s="115" t="e">
        <f t="shared" si="248"/>
        <v>#VALUE!</v>
      </c>
      <c r="V153" s="115" t="e">
        <f t="shared" si="248"/>
        <v>#VALUE!</v>
      </c>
      <c r="W153" s="115" t="e">
        <f t="shared" si="248"/>
        <v>#VALUE!</v>
      </c>
      <c r="X153" s="115" t="e">
        <f t="shared" si="248"/>
        <v>#VALUE!</v>
      </c>
      <c r="Y153" s="115" t="e">
        <f t="shared" si="248"/>
        <v>#VALUE!</v>
      </c>
      <c r="Z153" s="115" t="e">
        <f t="shared" si="249"/>
        <v>#VALUE!</v>
      </c>
      <c r="AA153" s="115" t="e">
        <f t="shared" si="249"/>
        <v>#VALUE!</v>
      </c>
      <c r="AB153" s="115" t="e">
        <f t="shared" si="249"/>
        <v>#VALUE!</v>
      </c>
      <c r="AC153" s="115" t="e">
        <f t="shared" si="249"/>
        <v>#VALUE!</v>
      </c>
      <c r="AD153" s="115" t="e">
        <f t="shared" si="249"/>
        <v>#VALUE!</v>
      </c>
      <c r="AE153" s="115" t="e">
        <f t="shared" si="249"/>
        <v>#VALUE!</v>
      </c>
      <c r="AF153" s="115" t="e">
        <f t="shared" si="249"/>
        <v>#VALUE!</v>
      </c>
      <c r="AG153" s="115" t="e">
        <f t="shared" si="249"/>
        <v>#VALUE!</v>
      </c>
      <c r="AH153" s="115" t="e">
        <f t="shared" si="249"/>
        <v>#VALUE!</v>
      </c>
      <c r="AI153" s="115" t="e">
        <f t="shared" si="249"/>
        <v>#VALUE!</v>
      </c>
      <c r="AJ153" s="115" t="e">
        <f t="shared" si="250"/>
        <v>#VALUE!</v>
      </c>
      <c r="AK153" s="115" t="e">
        <f t="shared" si="250"/>
        <v>#VALUE!</v>
      </c>
      <c r="AL153" s="115" t="e">
        <f t="shared" si="250"/>
        <v>#VALUE!</v>
      </c>
      <c r="AM153" s="115" t="e">
        <f t="shared" si="250"/>
        <v>#VALUE!</v>
      </c>
      <c r="AN153" s="115" t="e">
        <f t="shared" si="250"/>
        <v>#VALUE!</v>
      </c>
      <c r="AO153" s="115" t="e">
        <f t="shared" si="250"/>
        <v>#VALUE!</v>
      </c>
      <c r="AP153" s="115" t="e">
        <f t="shared" si="250"/>
        <v>#VALUE!</v>
      </c>
      <c r="AQ153" s="115" t="e">
        <f t="shared" si="250"/>
        <v>#VALUE!</v>
      </c>
      <c r="AR153" s="115" t="e">
        <f t="shared" si="250"/>
        <v>#VALUE!</v>
      </c>
      <c r="AS153" s="115" t="e">
        <f t="shared" si="250"/>
        <v>#VALUE!</v>
      </c>
      <c r="AT153" s="115" t="e">
        <f t="shared" si="251"/>
        <v>#VALUE!</v>
      </c>
      <c r="AU153" s="115" t="e">
        <f t="shared" si="251"/>
        <v>#VALUE!</v>
      </c>
      <c r="AV153" s="115" t="e">
        <f t="shared" si="251"/>
        <v>#VALUE!</v>
      </c>
      <c r="AW153" s="115" t="e">
        <f t="shared" si="251"/>
        <v>#VALUE!</v>
      </c>
      <c r="AX153" s="115" t="e">
        <f t="shared" si="251"/>
        <v>#VALUE!</v>
      </c>
      <c r="AY153" s="115" t="e">
        <f t="shared" si="251"/>
        <v>#VALUE!</v>
      </c>
      <c r="AZ153" s="115" t="e">
        <f t="shared" si="251"/>
        <v>#VALUE!</v>
      </c>
      <c r="BA153" s="115" t="e">
        <f t="shared" si="251"/>
        <v>#VALUE!</v>
      </c>
      <c r="BB153" s="115" t="e">
        <f t="shared" si="251"/>
        <v>#VALUE!</v>
      </c>
      <c r="BC153" s="115" t="e">
        <f t="shared" si="251"/>
        <v>#VALUE!</v>
      </c>
      <c r="BD153" s="115" t="e">
        <f t="shared" si="252"/>
        <v>#VALUE!</v>
      </c>
      <c r="BE153" s="115" t="e">
        <f t="shared" si="252"/>
        <v>#VALUE!</v>
      </c>
      <c r="BF153" s="115" t="e">
        <f t="shared" si="252"/>
        <v>#VALUE!</v>
      </c>
      <c r="BG153" s="115" t="e">
        <f t="shared" si="252"/>
        <v>#VALUE!</v>
      </c>
      <c r="BH153" s="115" t="e">
        <f t="shared" si="252"/>
        <v>#VALUE!</v>
      </c>
      <c r="BI153" s="115" t="e">
        <f t="shared" si="252"/>
        <v>#VALUE!</v>
      </c>
      <c r="BJ153" s="115" t="e">
        <f t="shared" si="252"/>
        <v>#VALUE!</v>
      </c>
      <c r="BK153" s="115" t="e">
        <f t="shared" si="252"/>
        <v>#VALUE!</v>
      </c>
      <c r="BL153" s="115" t="e">
        <f t="shared" si="252"/>
        <v>#VALUE!</v>
      </c>
      <c r="BM153" s="115" t="e">
        <f t="shared" si="252"/>
        <v>#VALUE!</v>
      </c>
      <c r="BN153" s="115" t="e">
        <f t="shared" si="253"/>
        <v>#VALUE!</v>
      </c>
      <c r="BO153" s="115" t="e">
        <f t="shared" si="253"/>
        <v>#VALUE!</v>
      </c>
      <c r="BP153" s="115" t="e">
        <f t="shared" si="253"/>
        <v>#VALUE!</v>
      </c>
      <c r="BQ153" s="115" t="e">
        <f t="shared" si="253"/>
        <v>#VALUE!</v>
      </c>
      <c r="BR153" s="115" t="e">
        <f t="shared" si="253"/>
        <v>#VALUE!</v>
      </c>
      <c r="BS153" s="115" t="e">
        <f t="shared" si="253"/>
        <v>#VALUE!</v>
      </c>
      <c r="BT153" s="115" t="e">
        <f t="shared" si="253"/>
        <v>#VALUE!</v>
      </c>
      <c r="BU153" s="115" t="e">
        <f t="shared" si="253"/>
        <v>#VALUE!</v>
      </c>
      <c r="BV153" s="115" t="e">
        <f t="shared" si="253"/>
        <v>#VALUE!</v>
      </c>
      <c r="BW153" s="115" t="e">
        <f t="shared" si="253"/>
        <v>#VALUE!</v>
      </c>
      <c r="BX153" s="115" t="e">
        <f t="shared" si="254"/>
        <v>#VALUE!</v>
      </c>
      <c r="BY153" s="115" t="e">
        <f t="shared" si="254"/>
        <v>#VALUE!</v>
      </c>
      <c r="BZ153" s="115" t="e">
        <f t="shared" si="254"/>
        <v>#VALUE!</v>
      </c>
      <c r="CA153" s="115" t="e">
        <f t="shared" si="254"/>
        <v>#VALUE!</v>
      </c>
      <c r="CB153" s="115" t="e">
        <f t="shared" si="254"/>
        <v>#VALUE!</v>
      </c>
      <c r="CC153" s="115" t="e">
        <f t="shared" si="254"/>
        <v>#VALUE!</v>
      </c>
      <c r="CD153" s="115" t="e">
        <f t="shared" si="254"/>
        <v>#VALUE!</v>
      </c>
      <c r="CE153" s="115" t="e">
        <f t="shared" si="254"/>
        <v>#VALUE!</v>
      </c>
      <c r="CF153" s="115" t="e">
        <f t="shared" si="254"/>
        <v>#VALUE!</v>
      </c>
      <c r="CG153" s="115" t="e">
        <f t="shared" si="254"/>
        <v>#VALUE!</v>
      </c>
      <c r="CH153" s="115" t="e">
        <f t="shared" si="255"/>
        <v>#VALUE!</v>
      </c>
      <c r="CI153" s="115" t="e">
        <f t="shared" si="255"/>
        <v>#VALUE!</v>
      </c>
      <c r="CJ153" s="115" t="e">
        <f t="shared" si="255"/>
        <v>#VALUE!</v>
      </c>
      <c r="CK153" s="115" t="e">
        <f t="shared" si="255"/>
        <v>#VALUE!</v>
      </c>
      <c r="CL153" s="115" t="e">
        <f t="shared" si="255"/>
        <v>#VALUE!</v>
      </c>
      <c r="CM153" s="115" t="e">
        <f t="shared" si="255"/>
        <v>#VALUE!</v>
      </c>
      <c r="CN153" s="115" t="e">
        <f t="shared" si="255"/>
        <v>#VALUE!</v>
      </c>
      <c r="CO153" s="115" t="e">
        <f t="shared" si="255"/>
        <v>#VALUE!</v>
      </c>
      <c r="CP153" s="115" t="e">
        <f t="shared" si="255"/>
        <v>#VALUE!</v>
      </c>
      <c r="CQ153" s="115" t="e">
        <f t="shared" si="255"/>
        <v>#VALUE!</v>
      </c>
      <c r="CR153" s="115" t="e">
        <f t="shared" si="256"/>
        <v>#VALUE!</v>
      </c>
      <c r="CS153" s="115" t="e">
        <f t="shared" si="256"/>
        <v>#VALUE!</v>
      </c>
      <c r="CT153" s="115" t="e">
        <f t="shared" si="256"/>
        <v>#VALUE!</v>
      </c>
      <c r="CU153" s="115" t="e">
        <f t="shared" si="256"/>
        <v>#VALUE!</v>
      </c>
      <c r="CV153" s="115" t="e">
        <f t="shared" si="256"/>
        <v>#VALUE!</v>
      </c>
      <c r="CW153" s="115" t="e">
        <f t="shared" si="256"/>
        <v>#VALUE!</v>
      </c>
      <c r="CX153" s="115" t="e">
        <f t="shared" si="256"/>
        <v>#VALUE!</v>
      </c>
      <c r="CY153" s="115" t="e">
        <f t="shared" si="256"/>
        <v>#VALUE!</v>
      </c>
      <c r="CZ153" s="115" t="e">
        <f t="shared" si="256"/>
        <v>#VALUE!</v>
      </c>
      <c r="DA153" s="115" t="e">
        <f t="shared" si="256"/>
        <v>#VALUE!</v>
      </c>
      <c r="DB153" s="115" t="e">
        <f t="shared" si="257"/>
        <v>#VALUE!</v>
      </c>
      <c r="DC153" s="115" t="e">
        <f t="shared" si="257"/>
        <v>#VALUE!</v>
      </c>
      <c r="DD153" s="115" t="e">
        <f t="shared" si="257"/>
        <v>#VALUE!</v>
      </c>
      <c r="DE153" s="115" t="e">
        <f t="shared" si="257"/>
        <v>#VALUE!</v>
      </c>
      <c r="DF153" s="115" t="e">
        <f t="shared" si="257"/>
        <v>#VALUE!</v>
      </c>
      <c r="DG153" s="115" t="e">
        <f t="shared" si="257"/>
        <v>#VALUE!</v>
      </c>
      <c r="DH153" s="115" t="e">
        <f t="shared" si="257"/>
        <v>#VALUE!</v>
      </c>
      <c r="DI153" s="115" t="e">
        <f t="shared" si="257"/>
        <v>#VALUE!</v>
      </c>
      <c r="DJ153" s="115" t="e">
        <f t="shared" si="257"/>
        <v>#VALUE!</v>
      </c>
      <c r="DK153" s="115" t="e">
        <f t="shared" si="257"/>
        <v>#VALUE!</v>
      </c>
      <c r="DL153" s="115" t="e">
        <f t="shared" si="257"/>
        <v>#VALUE!</v>
      </c>
      <c r="DM153" s="115" t="e">
        <f t="shared" si="257"/>
        <v>#VALUE!</v>
      </c>
    </row>
    <row r="154" spans="1:117" ht="15" customHeight="1" thickBot="1">
      <c r="A154" s="293">
        <v>15800</v>
      </c>
      <c r="B154" s="172" t="s">
        <v>743</v>
      </c>
      <c r="C154" s="172" t="s">
        <v>910</v>
      </c>
      <c r="D154" s="172" t="s">
        <v>911</v>
      </c>
      <c r="E154" s="172"/>
      <c r="F154" s="172"/>
      <c r="G154" s="172"/>
      <c r="H154" s="172"/>
      <c r="I154" s="172"/>
      <c r="J154" s="172"/>
      <c r="K154" s="386"/>
      <c r="L154" s="172"/>
      <c r="M154" s="293"/>
      <c r="N154" s="293"/>
      <c r="O154" s="376" t="e">
        <f>SUM(O155,O158:O163,O165,O167:O168,O170:O174)</f>
        <v>#VALUE!</v>
      </c>
      <c r="P154" s="377" t="s">
        <v>103</v>
      </c>
      <c r="Q154" s="116"/>
      <c r="R154" s="116"/>
      <c r="S154" s="116"/>
      <c r="T154" s="116"/>
      <c r="U154" s="116"/>
      <c r="V154" s="116"/>
      <c r="W154" s="116"/>
      <c r="X154" s="116"/>
      <c r="Y154" s="116"/>
      <c r="Z154" s="116"/>
      <c r="AA154" s="116"/>
      <c r="AB154" s="116"/>
      <c r="AC154" s="116"/>
      <c r="AD154" s="116"/>
      <c r="AE154" s="116"/>
      <c r="AF154" s="116"/>
      <c r="AG154" s="116"/>
      <c r="AH154" s="116"/>
      <c r="AI154" s="116"/>
      <c r="AJ154" s="116"/>
      <c r="AK154" s="116"/>
      <c r="AL154" s="116"/>
      <c r="AM154" s="116"/>
      <c r="AN154" s="116"/>
      <c r="AO154" s="116"/>
      <c r="AP154" s="116"/>
      <c r="AQ154" s="116"/>
      <c r="AR154" s="116"/>
      <c r="AS154" s="116"/>
      <c r="AT154" s="116"/>
      <c r="AU154" s="116"/>
      <c r="AV154" s="116"/>
      <c r="AW154" s="116"/>
      <c r="AX154" s="116"/>
      <c r="AY154" s="116"/>
      <c r="AZ154" s="116"/>
      <c r="BA154" s="116"/>
      <c r="BB154" s="116"/>
      <c r="BC154" s="116"/>
      <c r="BD154" s="116"/>
      <c r="BE154" s="116"/>
      <c r="BF154" s="116"/>
      <c r="BG154" s="116"/>
      <c r="BH154" s="116"/>
      <c r="BI154" s="116"/>
      <c r="BJ154" s="116"/>
      <c r="BK154" s="116"/>
      <c r="BL154" s="116"/>
      <c r="BM154" s="116"/>
      <c r="BN154" s="116"/>
      <c r="BO154" s="116"/>
      <c r="BP154" s="116"/>
      <c r="BQ154" s="116"/>
      <c r="BR154" s="116"/>
      <c r="BS154" s="116"/>
      <c r="BT154" s="116"/>
      <c r="BU154" s="116"/>
      <c r="BV154" s="116"/>
      <c r="BW154" s="116"/>
      <c r="BX154" s="116"/>
      <c r="BY154" s="116"/>
      <c r="BZ154" s="116"/>
      <c r="CA154" s="116"/>
      <c r="CB154" s="116"/>
      <c r="CC154" s="116"/>
      <c r="CD154" s="116"/>
      <c r="CE154" s="116"/>
      <c r="CF154" s="116"/>
      <c r="CG154" s="116"/>
      <c r="CH154" s="116"/>
      <c r="CI154" s="116"/>
      <c r="CJ154" s="116"/>
      <c r="CK154" s="116"/>
      <c r="CL154" s="116"/>
      <c r="CM154" s="116"/>
      <c r="CN154" s="116"/>
      <c r="CO154" s="116"/>
      <c r="CP154" s="116"/>
      <c r="CQ154" s="116"/>
      <c r="CR154" s="116"/>
      <c r="CS154" s="116"/>
      <c r="CT154" s="116"/>
      <c r="CU154" s="116"/>
      <c r="CV154" s="116"/>
      <c r="CW154" s="116"/>
      <c r="CX154" s="116"/>
      <c r="CY154" s="116"/>
      <c r="CZ154" s="116"/>
      <c r="DA154" s="116"/>
      <c r="DB154" s="116"/>
      <c r="DC154" s="116"/>
      <c r="DD154" s="116"/>
      <c r="DE154" s="116"/>
      <c r="DF154" s="116"/>
      <c r="DG154" s="116"/>
      <c r="DH154" s="116"/>
      <c r="DI154" s="116"/>
      <c r="DJ154" s="116"/>
      <c r="DK154" s="116"/>
      <c r="DL154" s="116"/>
      <c r="DM154" s="116"/>
    </row>
    <row r="155" spans="1:117" ht="15" customHeight="1" thickBot="1">
      <c r="A155" s="55">
        <v>15900</v>
      </c>
      <c r="B155" s="194" t="s">
        <v>728</v>
      </c>
      <c r="C155" s="194" t="s">
        <v>912</v>
      </c>
      <c r="D155" s="194" t="s">
        <v>913</v>
      </c>
      <c r="E155" s="194" t="s">
        <v>192</v>
      </c>
      <c r="F155" s="194" t="s">
        <v>1122</v>
      </c>
      <c r="G155" s="291" t="e">
        <f t="shared" ref="G155" si="258">IF(I155="",H155,I155)</f>
        <v>#VALUE!</v>
      </c>
      <c r="H155" s="292" t="e">
        <f>VLOOKUP("E4.A",Errichtungskosten,12,0) *VLOOKUP("PFAKT",Instandsetzung,5,0)</f>
        <v>#VALUE!</v>
      </c>
      <c r="I155" s="168"/>
      <c r="J155" s="194" t="s">
        <v>850</v>
      </c>
      <c r="K155" s="385">
        <f>IF(ISNUMBER(VLOOKUP(E155,Nutzungsdauern,5,0)),VLOOKUP(E155,Nutzungsdauern,5,0),1000)</f>
        <v>30</v>
      </c>
      <c r="L155" s="379" t="s">
        <v>356</v>
      </c>
      <c r="M155" s="325">
        <f>VLOOKUP(L155,Finanzielle_Parameter,5,0)</f>
        <v>2.77</v>
      </c>
      <c r="N155" s="380">
        <f>(1+VLOOKUP(L155,Finanzielle_Parameter,5,0)/100)/(1+VLOOKUP("R",Finanzielle_Parameter,5,0)/100)</f>
        <v>1.0105211406096364</v>
      </c>
      <c r="O155" s="381" t="e">
        <f t="shared" ref="O155:AU155" si="259">IF($N155&lt;&gt;1,$G155*($N155^$K155)*(($N155^($K155*INT(O$2/$K155))-1)/($N155^$K155-1)),$G155*INT(O$2/$K155))</f>
        <v>#VALUE!</v>
      </c>
      <c r="P155" s="169" t="s">
        <v>103</v>
      </c>
      <c r="Q155" s="114" t="e">
        <f t="shared" si="259"/>
        <v>#VALUE!</v>
      </c>
      <c r="R155" s="115" t="e">
        <f t="shared" si="259"/>
        <v>#VALUE!</v>
      </c>
      <c r="S155" s="115" t="e">
        <f t="shared" si="259"/>
        <v>#VALUE!</v>
      </c>
      <c r="T155" s="115" t="e">
        <f t="shared" si="259"/>
        <v>#VALUE!</v>
      </c>
      <c r="U155" s="115" t="e">
        <f t="shared" si="259"/>
        <v>#VALUE!</v>
      </c>
      <c r="V155" s="115" t="e">
        <f t="shared" si="259"/>
        <v>#VALUE!</v>
      </c>
      <c r="W155" s="115" t="e">
        <f t="shared" si="259"/>
        <v>#VALUE!</v>
      </c>
      <c r="X155" s="115" t="e">
        <f t="shared" si="259"/>
        <v>#VALUE!</v>
      </c>
      <c r="Y155" s="115" t="e">
        <f t="shared" si="259"/>
        <v>#VALUE!</v>
      </c>
      <c r="Z155" s="115" t="e">
        <f t="shared" si="259"/>
        <v>#VALUE!</v>
      </c>
      <c r="AA155" s="115" t="e">
        <f t="shared" si="259"/>
        <v>#VALUE!</v>
      </c>
      <c r="AB155" s="115" t="e">
        <f t="shared" si="259"/>
        <v>#VALUE!</v>
      </c>
      <c r="AC155" s="115" t="e">
        <f t="shared" si="259"/>
        <v>#VALUE!</v>
      </c>
      <c r="AD155" s="115" t="e">
        <f t="shared" si="259"/>
        <v>#VALUE!</v>
      </c>
      <c r="AE155" s="115" t="e">
        <f t="shared" si="259"/>
        <v>#VALUE!</v>
      </c>
      <c r="AF155" s="115" t="e">
        <f t="shared" si="259"/>
        <v>#VALUE!</v>
      </c>
      <c r="AG155" s="115" t="e">
        <f t="shared" si="259"/>
        <v>#VALUE!</v>
      </c>
      <c r="AH155" s="115" t="e">
        <f t="shared" si="259"/>
        <v>#VALUE!</v>
      </c>
      <c r="AI155" s="115" t="e">
        <f t="shared" si="259"/>
        <v>#VALUE!</v>
      </c>
      <c r="AJ155" s="115" t="e">
        <f t="shared" si="259"/>
        <v>#VALUE!</v>
      </c>
      <c r="AK155" s="115" t="e">
        <f t="shared" si="259"/>
        <v>#VALUE!</v>
      </c>
      <c r="AL155" s="115" t="e">
        <f t="shared" si="259"/>
        <v>#VALUE!</v>
      </c>
      <c r="AM155" s="115" t="e">
        <f t="shared" si="259"/>
        <v>#VALUE!</v>
      </c>
      <c r="AN155" s="115" t="e">
        <f t="shared" si="259"/>
        <v>#VALUE!</v>
      </c>
      <c r="AO155" s="115" t="e">
        <f t="shared" si="259"/>
        <v>#VALUE!</v>
      </c>
      <c r="AP155" s="115" t="e">
        <f t="shared" si="259"/>
        <v>#VALUE!</v>
      </c>
      <c r="AQ155" s="115" t="e">
        <f t="shared" si="259"/>
        <v>#VALUE!</v>
      </c>
      <c r="AR155" s="115" t="e">
        <f t="shared" si="259"/>
        <v>#VALUE!</v>
      </c>
      <c r="AS155" s="115" t="e">
        <f t="shared" si="259"/>
        <v>#VALUE!</v>
      </c>
      <c r="AT155" s="115" t="e">
        <f t="shared" si="259"/>
        <v>#VALUE!</v>
      </c>
      <c r="AU155" s="115" t="e">
        <f t="shared" si="259"/>
        <v>#VALUE!</v>
      </c>
      <c r="AV155" s="115" t="e">
        <f t="shared" ref="AV155:CA155" si="260">IF($N155&lt;&gt;1,$G155*($N155^$K155)*(($N155^($K155*INT(AV$2/$K155))-1)/($N155^$K155-1)),$G155*INT(AV$2/$K155))</f>
        <v>#VALUE!</v>
      </c>
      <c r="AW155" s="115" t="e">
        <f t="shared" si="260"/>
        <v>#VALUE!</v>
      </c>
      <c r="AX155" s="115" t="e">
        <f t="shared" si="260"/>
        <v>#VALUE!</v>
      </c>
      <c r="AY155" s="115" t="e">
        <f t="shared" si="260"/>
        <v>#VALUE!</v>
      </c>
      <c r="AZ155" s="115" t="e">
        <f t="shared" si="260"/>
        <v>#VALUE!</v>
      </c>
      <c r="BA155" s="115" t="e">
        <f t="shared" si="260"/>
        <v>#VALUE!</v>
      </c>
      <c r="BB155" s="115" t="e">
        <f t="shared" si="260"/>
        <v>#VALUE!</v>
      </c>
      <c r="BC155" s="115" t="e">
        <f t="shared" si="260"/>
        <v>#VALUE!</v>
      </c>
      <c r="BD155" s="115" t="e">
        <f t="shared" si="260"/>
        <v>#VALUE!</v>
      </c>
      <c r="BE155" s="115" t="e">
        <f t="shared" si="260"/>
        <v>#VALUE!</v>
      </c>
      <c r="BF155" s="115" t="e">
        <f t="shared" si="260"/>
        <v>#VALUE!</v>
      </c>
      <c r="BG155" s="115" t="e">
        <f t="shared" si="260"/>
        <v>#VALUE!</v>
      </c>
      <c r="BH155" s="115" t="e">
        <f t="shared" si="260"/>
        <v>#VALUE!</v>
      </c>
      <c r="BI155" s="115" t="e">
        <f t="shared" si="260"/>
        <v>#VALUE!</v>
      </c>
      <c r="BJ155" s="115" t="e">
        <f t="shared" si="260"/>
        <v>#VALUE!</v>
      </c>
      <c r="BK155" s="115" t="e">
        <f t="shared" si="260"/>
        <v>#VALUE!</v>
      </c>
      <c r="BL155" s="115" t="e">
        <f t="shared" si="260"/>
        <v>#VALUE!</v>
      </c>
      <c r="BM155" s="115" t="e">
        <f t="shared" si="260"/>
        <v>#VALUE!</v>
      </c>
      <c r="BN155" s="115" t="e">
        <f t="shared" si="260"/>
        <v>#VALUE!</v>
      </c>
      <c r="BO155" s="115" t="e">
        <f t="shared" si="260"/>
        <v>#VALUE!</v>
      </c>
      <c r="BP155" s="115" t="e">
        <f t="shared" si="260"/>
        <v>#VALUE!</v>
      </c>
      <c r="BQ155" s="115" t="e">
        <f t="shared" si="260"/>
        <v>#VALUE!</v>
      </c>
      <c r="BR155" s="115" t="e">
        <f t="shared" si="260"/>
        <v>#VALUE!</v>
      </c>
      <c r="BS155" s="115" t="e">
        <f t="shared" si="260"/>
        <v>#VALUE!</v>
      </c>
      <c r="BT155" s="115" t="e">
        <f t="shared" si="260"/>
        <v>#VALUE!</v>
      </c>
      <c r="BU155" s="115" t="e">
        <f t="shared" si="260"/>
        <v>#VALUE!</v>
      </c>
      <c r="BV155" s="115" t="e">
        <f t="shared" si="260"/>
        <v>#VALUE!</v>
      </c>
      <c r="BW155" s="115" t="e">
        <f t="shared" si="260"/>
        <v>#VALUE!</v>
      </c>
      <c r="BX155" s="115" t="e">
        <f t="shared" si="260"/>
        <v>#VALUE!</v>
      </c>
      <c r="BY155" s="115" t="e">
        <f t="shared" si="260"/>
        <v>#VALUE!</v>
      </c>
      <c r="BZ155" s="115" t="e">
        <f t="shared" si="260"/>
        <v>#VALUE!</v>
      </c>
      <c r="CA155" s="115" t="e">
        <f t="shared" si="260"/>
        <v>#VALUE!</v>
      </c>
      <c r="CB155" s="115" t="e">
        <f t="shared" ref="CB155:DG155" si="261">IF($N155&lt;&gt;1,$G155*($N155^$K155)*(($N155^($K155*INT(CB$2/$K155))-1)/($N155^$K155-1)),$G155*INT(CB$2/$K155))</f>
        <v>#VALUE!</v>
      </c>
      <c r="CC155" s="115" t="e">
        <f t="shared" si="261"/>
        <v>#VALUE!</v>
      </c>
      <c r="CD155" s="115" t="e">
        <f t="shared" si="261"/>
        <v>#VALUE!</v>
      </c>
      <c r="CE155" s="115" t="e">
        <f t="shared" si="261"/>
        <v>#VALUE!</v>
      </c>
      <c r="CF155" s="115" t="e">
        <f t="shared" si="261"/>
        <v>#VALUE!</v>
      </c>
      <c r="CG155" s="115" t="e">
        <f t="shared" si="261"/>
        <v>#VALUE!</v>
      </c>
      <c r="CH155" s="115" t="e">
        <f t="shared" si="261"/>
        <v>#VALUE!</v>
      </c>
      <c r="CI155" s="115" t="e">
        <f t="shared" si="261"/>
        <v>#VALUE!</v>
      </c>
      <c r="CJ155" s="115" t="e">
        <f t="shared" si="261"/>
        <v>#VALUE!</v>
      </c>
      <c r="CK155" s="115" t="e">
        <f t="shared" si="261"/>
        <v>#VALUE!</v>
      </c>
      <c r="CL155" s="115" t="e">
        <f t="shared" si="261"/>
        <v>#VALUE!</v>
      </c>
      <c r="CM155" s="115" t="e">
        <f t="shared" si="261"/>
        <v>#VALUE!</v>
      </c>
      <c r="CN155" s="115" t="e">
        <f t="shared" si="261"/>
        <v>#VALUE!</v>
      </c>
      <c r="CO155" s="115" t="e">
        <f t="shared" si="261"/>
        <v>#VALUE!</v>
      </c>
      <c r="CP155" s="115" t="e">
        <f t="shared" si="261"/>
        <v>#VALUE!</v>
      </c>
      <c r="CQ155" s="115" t="e">
        <f t="shared" si="261"/>
        <v>#VALUE!</v>
      </c>
      <c r="CR155" s="115" t="e">
        <f t="shared" si="261"/>
        <v>#VALUE!</v>
      </c>
      <c r="CS155" s="115" t="e">
        <f t="shared" si="261"/>
        <v>#VALUE!</v>
      </c>
      <c r="CT155" s="115" t="e">
        <f t="shared" si="261"/>
        <v>#VALUE!</v>
      </c>
      <c r="CU155" s="115" t="e">
        <f t="shared" si="261"/>
        <v>#VALUE!</v>
      </c>
      <c r="CV155" s="115" t="e">
        <f t="shared" si="261"/>
        <v>#VALUE!</v>
      </c>
      <c r="CW155" s="115" t="e">
        <f t="shared" si="261"/>
        <v>#VALUE!</v>
      </c>
      <c r="CX155" s="115" t="e">
        <f t="shared" si="261"/>
        <v>#VALUE!</v>
      </c>
      <c r="CY155" s="115" t="e">
        <f t="shared" si="261"/>
        <v>#VALUE!</v>
      </c>
      <c r="CZ155" s="115" t="e">
        <f t="shared" si="261"/>
        <v>#VALUE!</v>
      </c>
      <c r="DA155" s="115" t="e">
        <f t="shared" si="261"/>
        <v>#VALUE!</v>
      </c>
      <c r="DB155" s="115" t="e">
        <f t="shared" si="261"/>
        <v>#VALUE!</v>
      </c>
      <c r="DC155" s="115" t="e">
        <f t="shared" si="261"/>
        <v>#VALUE!</v>
      </c>
      <c r="DD155" s="115" t="e">
        <f t="shared" si="261"/>
        <v>#VALUE!</v>
      </c>
      <c r="DE155" s="115" t="e">
        <f t="shared" si="261"/>
        <v>#VALUE!</v>
      </c>
      <c r="DF155" s="115" t="e">
        <f t="shared" si="261"/>
        <v>#VALUE!</v>
      </c>
      <c r="DG155" s="115" t="e">
        <f t="shared" si="261"/>
        <v>#VALUE!</v>
      </c>
      <c r="DH155" s="115" t="e">
        <f t="shared" ref="DH155:DM155" si="262">IF($N155&lt;&gt;1,$G155*($N155^$K155)*(($N155^($K155*INT(DH$2/$K155))-1)/($N155^$K155-1)),$G155*INT(DH$2/$K155))</f>
        <v>#VALUE!</v>
      </c>
      <c r="DI155" s="115" t="e">
        <f t="shared" si="262"/>
        <v>#VALUE!</v>
      </c>
      <c r="DJ155" s="115" t="e">
        <f t="shared" si="262"/>
        <v>#VALUE!</v>
      </c>
      <c r="DK155" s="115" t="e">
        <f t="shared" si="262"/>
        <v>#VALUE!</v>
      </c>
      <c r="DL155" s="115" t="e">
        <f t="shared" si="262"/>
        <v>#VALUE!</v>
      </c>
      <c r="DM155" s="115" t="e">
        <f t="shared" si="262"/>
        <v>#VALUE!</v>
      </c>
    </row>
    <row r="156" spans="1:117" ht="15" customHeight="1">
      <c r="A156" s="293">
        <v>16000</v>
      </c>
      <c r="B156" s="172" t="s">
        <v>743</v>
      </c>
      <c r="C156" s="172" t="s">
        <v>914</v>
      </c>
      <c r="D156" s="172" t="s">
        <v>190</v>
      </c>
      <c r="E156" s="172"/>
      <c r="F156" s="172"/>
      <c r="G156" s="172"/>
      <c r="H156" s="172"/>
      <c r="I156" s="172"/>
      <c r="J156" s="172"/>
      <c r="K156" s="386"/>
      <c r="L156" s="172"/>
      <c r="M156" s="293"/>
      <c r="N156" s="293"/>
      <c r="O156" s="376" t="e">
        <f>SUM(O158:O162)</f>
        <v>#VALUE!</v>
      </c>
      <c r="P156" s="377" t="s">
        <v>103</v>
      </c>
      <c r="Q156" s="116"/>
      <c r="R156" s="116"/>
      <c r="S156" s="116"/>
      <c r="T156" s="116"/>
      <c r="U156" s="116"/>
      <c r="V156" s="116"/>
      <c r="W156" s="116"/>
      <c r="X156" s="116"/>
      <c r="Y156" s="116"/>
      <c r="Z156" s="116"/>
      <c r="AA156" s="116"/>
      <c r="AB156" s="116"/>
      <c r="AC156" s="116"/>
      <c r="AD156" s="116"/>
      <c r="AE156" s="116"/>
      <c r="AF156" s="116"/>
      <c r="AG156" s="116"/>
      <c r="AH156" s="116"/>
      <c r="AI156" s="116"/>
      <c r="AJ156" s="116"/>
      <c r="AK156" s="116"/>
      <c r="AL156" s="116"/>
      <c r="AM156" s="116"/>
      <c r="AN156" s="116"/>
      <c r="AO156" s="116"/>
      <c r="AP156" s="116"/>
      <c r="AQ156" s="116"/>
      <c r="AR156" s="116"/>
      <c r="AS156" s="116"/>
      <c r="AT156" s="116"/>
      <c r="AU156" s="116"/>
      <c r="AV156" s="116"/>
      <c r="AW156" s="116"/>
      <c r="AX156" s="116"/>
      <c r="AY156" s="116"/>
      <c r="AZ156" s="116"/>
      <c r="BA156" s="116"/>
      <c r="BB156" s="116"/>
      <c r="BC156" s="116"/>
      <c r="BD156" s="116"/>
      <c r="BE156" s="116"/>
      <c r="BF156" s="116"/>
      <c r="BG156" s="116"/>
      <c r="BH156" s="116"/>
      <c r="BI156" s="116"/>
      <c r="BJ156" s="116"/>
      <c r="BK156" s="116"/>
      <c r="BL156" s="116"/>
      <c r="BM156" s="116"/>
      <c r="BN156" s="116"/>
      <c r="BO156" s="116"/>
      <c r="BP156" s="116"/>
      <c r="BQ156" s="116"/>
      <c r="BR156" s="116"/>
      <c r="BS156" s="116"/>
      <c r="BT156" s="116"/>
      <c r="BU156" s="116"/>
      <c r="BV156" s="116"/>
      <c r="BW156" s="116"/>
      <c r="BX156" s="116"/>
      <c r="BY156" s="116"/>
      <c r="BZ156" s="116"/>
      <c r="CA156" s="116"/>
      <c r="CB156" s="116"/>
      <c r="CC156" s="116"/>
      <c r="CD156" s="116"/>
      <c r="CE156" s="116"/>
      <c r="CF156" s="116"/>
      <c r="CG156" s="116"/>
      <c r="CH156" s="116"/>
      <c r="CI156" s="116"/>
      <c r="CJ156" s="116"/>
      <c r="CK156" s="116"/>
      <c r="CL156" s="116"/>
      <c r="CM156" s="116"/>
      <c r="CN156" s="116"/>
      <c r="CO156" s="116"/>
      <c r="CP156" s="116"/>
      <c r="CQ156" s="116"/>
      <c r="CR156" s="116"/>
      <c r="CS156" s="116"/>
      <c r="CT156" s="116"/>
      <c r="CU156" s="116"/>
      <c r="CV156" s="116"/>
      <c r="CW156" s="116"/>
      <c r="CX156" s="116"/>
      <c r="CY156" s="116"/>
      <c r="CZ156" s="116"/>
      <c r="DA156" s="116"/>
      <c r="DB156" s="116"/>
      <c r="DC156" s="116"/>
      <c r="DD156" s="116"/>
      <c r="DE156" s="116"/>
      <c r="DF156" s="116"/>
      <c r="DG156" s="116"/>
      <c r="DH156" s="116"/>
      <c r="DI156" s="116"/>
      <c r="DJ156" s="116"/>
      <c r="DK156" s="116"/>
      <c r="DL156" s="116"/>
      <c r="DM156" s="116"/>
    </row>
    <row r="157" spans="1:117" ht="15" customHeight="1" thickBot="1">
      <c r="A157" s="293">
        <v>16100</v>
      </c>
      <c r="B157" s="172" t="s">
        <v>743</v>
      </c>
      <c r="C157" s="172" t="s">
        <v>915</v>
      </c>
      <c r="D157" s="172" t="s">
        <v>188</v>
      </c>
      <c r="E157" s="172"/>
      <c r="F157" s="172"/>
      <c r="G157" s="172"/>
      <c r="H157" s="172"/>
      <c r="I157" s="172"/>
      <c r="J157" s="172"/>
      <c r="K157" s="386"/>
      <c r="L157" s="172"/>
      <c r="M157" s="293"/>
      <c r="N157" s="293"/>
      <c r="O157" s="376" t="e">
        <f>SUM(O158:O159)</f>
        <v>#VALUE!</v>
      </c>
      <c r="P157" s="377" t="s">
        <v>103</v>
      </c>
      <c r="Q157" s="116"/>
      <c r="R157" s="116"/>
      <c r="S157" s="116"/>
      <c r="T157" s="116"/>
      <c r="U157" s="116"/>
      <c r="V157" s="116"/>
      <c r="W157" s="116"/>
      <c r="X157" s="116"/>
      <c r="Y157" s="116"/>
      <c r="Z157" s="116"/>
      <c r="AA157" s="116"/>
      <c r="AB157" s="116"/>
      <c r="AC157" s="116"/>
      <c r="AD157" s="116"/>
      <c r="AE157" s="116"/>
      <c r="AF157" s="116"/>
      <c r="AG157" s="116"/>
      <c r="AH157" s="116"/>
      <c r="AI157" s="116"/>
      <c r="AJ157" s="116"/>
      <c r="AK157" s="116"/>
      <c r="AL157" s="116"/>
      <c r="AM157" s="116"/>
      <c r="AN157" s="116"/>
      <c r="AO157" s="116"/>
      <c r="AP157" s="116"/>
      <c r="AQ157" s="116"/>
      <c r="AR157" s="116"/>
      <c r="AS157" s="116"/>
      <c r="AT157" s="116"/>
      <c r="AU157" s="116"/>
      <c r="AV157" s="116"/>
      <c r="AW157" s="116"/>
      <c r="AX157" s="116"/>
      <c r="AY157" s="116"/>
      <c r="AZ157" s="116"/>
      <c r="BA157" s="116"/>
      <c r="BB157" s="116"/>
      <c r="BC157" s="116"/>
      <c r="BD157" s="116"/>
      <c r="BE157" s="116"/>
      <c r="BF157" s="116"/>
      <c r="BG157" s="116"/>
      <c r="BH157" s="116"/>
      <c r="BI157" s="116"/>
      <c r="BJ157" s="116"/>
      <c r="BK157" s="116"/>
      <c r="BL157" s="116"/>
      <c r="BM157" s="116"/>
      <c r="BN157" s="116"/>
      <c r="BO157" s="116"/>
      <c r="BP157" s="116"/>
      <c r="BQ157" s="116"/>
      <c r="BR157" s="116"/>
      <c r="BS157" s="116"/>
      <c r="BT157" s="116"/>
      <c r="BU157" s="116"/>
      <c r="BV157" s="116"/>
      <c r="BW157" s="116"/>
      <c r="BX157" s="116"/>
      <c r="BY157" s="116"/>
      <c r="BZ157" s="116"/>
      <c r="CA157" s="116"/>
      <c r="CB157" s="116"/>
      <c r="CC157" s="116"/>
      <c r="CD157" s="116"/>
      <c r="CE157" s="116"/>
      <c r="CF157" s="116"/>
      <c r="CG157" s="116"/>
      <c r="CH157" s="116"/>
      <c r="CI157" s="116"/>
      <c r="CJ157" s="116"/>
      <c r="CK157" s="116"/>
      <c r="CL157" s="116"/>
      <c r="CM157" s="116"/>
      <c r="CN157" s="116"/>
      <c r="CO157" s="116"/>
      <c r="CP157" s="116"/>
      <c r="CQ157" s="116"/>
      <c r="CR157" s="116"/>
      <c r="CS157" s="116"/>
      <c r="CT157" s="116"/>
      <c r="CU157" s="116"/>
      <c r="CV157" s="116"/>
      <c r="CW157" s="116"/>
      <c r="CX157" s="116"/>
      <c r="CY157" s="116"/>
      <c r="CZ157" s="116"/>
      <c r="DA157" s="116"/>
      <c r="DB157" s="116"/>
      <c r="DC157" s="116"/>
      <c r="DD157" s="116"/>
      <c r="DE157" s="116"/>
      <c r="DF157" s="116"/>
      <c r="DG157" s="116"/>
      <c r="DH157" s="116"/>
      <c r="DI157" s="116"/>
      <c r="DJ157" s="116"/>
      <c r="DK157" s="116"/>
      <c r="DL157" s="116"/>
      <c r="DM157" s="116"/>
    </row>
    <row r="158" spans="1:117" ht="15" customHeight="1" thickBot="1">
      <c r="A158" s="55">
        <v>16200</v>
      </c>
      <c r="B158" s="194" t="s">
        <v>728</v>
      </c>
      <c r="C158" s="194" t="s">
        <v>916</v>
      </c>
      <c r="D158" s="194" t="s">
        <v>2301</v>
      </c>
      <c r="E158" s="194" t="s">
        <v>187</v>
      </c>
      <c r="F158" s="194" t="s">
        <v>1123</v>
      </c>
      <c r="G158" s="291" t="e">
        <f t="shared" ref="G158:G163" si="263">IF(I158="",H158,I158)</f>
        <v>#VALUE!</v>
      </c>
      <c r="H158" s="292" t="e">
        <f>VLOOKUP("E4.B.01.a",Errichtungskosten,12,0) *VLOOKUP("PFAKT",Instandsetzung,5,0)</f>
        <v>#VALUE!</v>
      </c>
      <c r="I158" s="168"/>
      <c r="J158" s="194" t="s">
        <v>850</v>
      </c>
      <c r="K158" s="385">
        <f t="shared" ref="K158:K163" si="264">IF(ISNUMBER(VLOOKUP(E158,Nutzungsdauern,5,0)),VLOOKUP(E158,Nutzungsdauern,5,0),1000)</f>
        <v>1000</v>
      </c>
      <c r="L158" s="379" t="s">
        <v>356</v>
      </c>
      <c r="M158" s="325">
        <f t="shared" ref="M158:M163" si="265">VLOOKUP(L158,Finanzielle_Parameter,5,0)</f>
        <v>2.77</v>
      </c>
      <c r="N158" s="380">
        <f t="shared" ref="N158:N163" si="266">(1+VLOOKUP(L158,Finanzielle_Parameter,5,0)/100)/(1+VLOOKUP("R",Finanzielle_Parameter,5,0)/100)</f>
        <v>1.0105211406096364</v>
      </c>
      <c r="O158" s="381" t="e">
        <f t="shared" ref="O158:Y163" si="267">IF($N158&lt;&gt;1,$G158*($N158^$K158)*(($N158^($K158*INT(O$2/$K158))-1)/($N158^$K158-1)),$G158*INT(O$2/$K158))</f>
        <v>#VALUE!</v>
      </c>
      <c r="P158" s="169" t="s">
        <v>103</v>
      </c>
      <c r="Q158" s="114" t="e">
        <f t="shared" si="267"/>
        <v>#VALUE!</v>
      </c>
      <c r="R158" s="115" t="e">
        <f t="shared" si="267"/>
        <v>#VALUE!</v>
      </c>
      <c r="S158" s="115" t="e">
        <f t="shared" si="267"/>
        <v>#VALUE!</v>
      </c>
      <c r="T158" s="115" t="e">
        <f t="shared" si="267"/>
        <v>#VALUE!</v>
      </c>
      <c r="U158" s="115" t="e">
        <f t="shared" si="267"/>
        <v>#VALUE!</v>
      </c>
      <c r="V158" s="115" t="e">
        <f t="shared" si="267"/>
        <v>#VALUE!</v>
      </c>
      <c r="W158" s="115" t="e">
        <f t="shared" si="267"/>
        <v>#VALUE!</v>
      </c>
      <c r="X158" s="115" t="e">
        <f t="shared" si="267"/>
        <v>#VALUE!</v>
      </c>
      <c r="Y158" s="115" t="e">
        <f t="shared" si="267"/>
        <v>#VALUE!</v>
      </c>
      <c r="Z158" s="115" t="e">
        <f t="shared" ref="Z158:AI163" si="268">IF($N158&lt;&gt;1,$G158*($N158^$K158)*(($N158^($K158*INT(Z$2/$K158))-1)/($N158^$K158-1)),$G158*INT(Z$2/$K158))</f>
        <v>#VALUE!</v>
      </c>
      <c r="AA158" s="115" t="e">
        <f t="shared" si="268"/>
        <v>#VALUE!</v>
      </c>
      <c r="AB158" s="115" t="e">
        <f t="shared" si="268"/>
        <v>#VALUE!</v>
      </c>
      <c r="AC158" s="115" t="e">
        <f t="shared" si="268"/>
        <v>#VALUE!</v>
      </c>
      <c r="AD158" s="115" t="e">
        <f t="shared" si="268"/>
        <v>#VALUE!</v>
      </c>
      <c r="AE158" s="115" t="e">
        <f t="shared" si="268"/>
        <v>#VALUE!</v>
      </c>
      <c r="AF158" s="115" t="e">
        <f t="shared" si="268"/>
        <v>#VALUE!</v>
      </c>
      <c r="AG158" s="115" t="e">
        <f t="shared" si="268"/>
        <v>#VALUE!</v>
      </c>
      <c r="AH158" s="115" t="e">
        <f t="shared" si="268"/>
        <v>#VALUE!</v>
      </c>
      <c r="AI158" s="115" t="e">
        <f t="shared" si="268"/>
        <v>#VALUE!</v>
      </c>
      <c r="AJ158" s="115" t="e">
        <f t="shared" ref="AJ158:AS163" si="269">IF($N158&lt;&gt;1,$G158*($N158^$K158)*(($N158^($K158*INT(AJ$2/$K158))-1)/($N158^$K158-1)),$G158*INT(AJ$2/$K158))</f>
        <v>#VALUE!</v>
      </c>
      <c r="AK158" s="115" t="e">
        <f t="shared" si="269"/>
        <v>#VALUE!</v>
      </c>
      <c r="AL158" s="115" t="e">
        <f t="shared" si="269"/>
        <v>#VALUE!</v>
      </c>
      <c r="AM158" s="115" t="e">
        <f t="shared" si="269"/>
        <v>#VALUE!</v>
      </c>
      <c r="AN158" s="115" t="e">
        <f t="shared" si="269"/>
        <v>#VALUE!</v>
      </c>
      <c r="AO158" s="115" t="e">
        <f t="shared" si="269"/>
        <v>#VALUE!</v>
      </c>
      <c r="AP158" s="115" t="e">
        <f t="shared" si="269"/>
        <v>#VALUE!</v>
      </c>
      <c r="AQ158" s="115" t="e">
        <f t="shared" si="269"/>
        <v>#VALUE!</v>
      </c>
      <c r="AR158" s="115" t="e">
        <f t="shared" si="269"/>
        <v>#VALUE!</v>
      </c>
      <c r="AS158" s="115" t="e">
        <f t="shared" si="269"/>
        <v>#VALUE!</v>
      </c>
      <c r="AT158" s="115" t="e">
        <f t="shared" ref="AT158:BC163" si="270">IF($N158&lt;&gt;1,$G158*($N158^$K158)*(($N158^($K158*INT(AT$2/$K158))-1)/($N158^$K158-1)),$G158*INT(AT$2/$K158))</f>
        <v>#VALUE!</v>
      </c>
      <c r="AU158" s="115" t="e">
        <f t="shared" si="270"/>
        <v>#VALUE!</v>
      </c>
      <c r="AV158" s="115" t="e">
        <f t="shared" si="270"/>
        <v>#VALUE!</v>
      </c>
      <c r="AW158" s="115" t="e">
        <f t="shared" si="270"/>
        <v>#VALUE!</v>
      </c>
      <c r="AX158" s="115" t="e">
        <f t="shared" si="270"/>
        <v>#VALUE!</v>
      </c>
      <c r="AY158" s="115" t="e">
        <f t="shared" si="270"/>
        <v>#VALUE!</v>
      </c>
      <c r="AZ158" s="115" t="e">
        <f t="shared" si="270"/>
        <v>#VALUE!</v>
      </c>
      <c r="BA158" s="115" t="e">
        <f t="shared" si="270"/>
        <v>#VALUE!</v>
      </c>
      <c r="BB158" s="115" t="e">
        <f t="shared" si="270"/>
        <v>#VALUE!</v>
      </c>
      <c r="BC158" s="115" t="e">
        <f t="shared" si="270"/>
        <v>#VALUE!</v>
      </c>
      <c r="BD158" s="115" t="e">
        <f t="shared" ref="BD158:BM163" si="271">IF($N158&lt;&gt;1,$G158*($N158^$K158)*(($N158^($K158*INT(BD$2/$K158))-1)/($N158^$K158-1)),$G158*INT(BD$2/$K158))</f>
        <v>#VALUE!</v>
      </c>
      <c r="BE158" s="115" t="e">
        <f t="shared" si="271"/>
        <v>#VALUE!</v>
      </c>
      <c r="BF158" s="115" t="e">
        <f t="shared" si="271"/>
        <v>#VALUE!</v>
      </c>
      <c r="BG158" s="115" t="e">
        <f t="shared" si="271"/>
        <v>#VALUE!</v>
      </c>
      <c r="BH158" s="115" t="e">
        <f t="shared" si="271"/>
        <v>#VALUE!</v>
      </c>
      <c r="BI158" s="115" t="e">
        <f t="shared" si="271"/>
        <v>#VALUE!</v>
      </c>
      <c r="BJ158" s="115" t="e">
        <f t="shared" si="271"/>
        <v>#VALUE!</v>
      </c>
      <c r="BK158" s="115" t="e">
        <f t="shared" si="271"/>
        <v>#VALUE!</v>
      </c>
      <c r="BL158" s="115" t="e">
        <f t="shared" si="271"/>
        <v>#VALUE!</v>
      </c>
      <c r="BM158" s="115" t="e">
        <f t="shared" si="271"/>
        <v>#VALUE!</v>
      </c>
      <c r="BN158" s="115" t="e">
        <f t="shared" ref="BN158:BW163" si="272">IF($N158&lt;&gt;1,$G158*($N158^$K158)*(($N158^($K158*INT(BN$2/$K158))-1)/($N158^$K158-1)),$G158*INT(BN$2/$K158))</f>
        <v>#VALUE!</v>
      </c>
      <c r="BO158" s="115" t="e">
        <f t="shared" si="272"/>
        <v>#VALUE!</v>
      </c>
      <c r="BP158" s="115" t="e">
        <f t="shared" si="272"/>
        <v>#VALUE!</v>
      </c>
      <c r="BQ158" s="115" t="e">
        <f t="shared" si="272"/>
        <v>#VALUE!</v>
      </c>
      <c r="BR158" s="115" t="e">
        <f t="shared" si="272"/>
        <v>#VALUE!</v>
      </c>
      <c r="BS158" s="115" t="e">
        <f t="shared" si="272"/>
        <v>#VALUE!</v>
      </c>
      <c r="BT158" s="115" t="e">
        <f t="shared" si="272"/>
        <v>#VALUE!</v>
      </c>
      <c r="BU158" s="115" t="e">
        <f t="shared" si="272"/>
        <v>#VALUE!</v>
      </c>
      <c r="BV158" s="115" t="e">
        <f t="shared" si="272"/>
        <v>#VALUE!</v>
      </c>
      <c r="BW158" s="115" t="e">
        <f t="shared" si="272"/>
        <v>#VALUE!</v>
      </c>
      <c r="BX158" s="115" t="e">
        <f t="shared" ref="BX158:CG163" si="273">IF($N158&lt;&gt;1,$G158*($N158^$K158)*(($N158^($K158*INT(BX$2/$K158))-1)/($N158^$K158-1)),$G158*INT(BX$2/$K158))</f>
        <v>#VALUE!</v>
      </c>
      <c r="BY158" s="115" t="e">
        <f t="shared" si="273"/>
        <v>#VALUE!</v>
      </c>
      <c r="BZ158" s="115" t="e">
        <f t="shared" si="273"/>
        <v>#VALUE!</v>
      </c>
      <c r="CA158" s="115" t="e">
        <f t="shared" si="273"/>
        <v>#VALUE!</v>
      </c>
      <c r="CB158" s="115" t="e">
        <f t="shared" si="273"/>
        <v>#VALUE!</v>
      </c>
      <c r="CC158" s="115" t="e">
        <f t="shared" si="273"/>
        <v>#VALUE!</v>
      </c>
      <c r="CD158" s="115" t="e">
        <f t="shared" si="273"/>
        <v>#VALUE!</v>
      </c>
      <c r="CE158" s="115" t="e">
        <f t="shared" si="273"/>
        <v>#VALUE!</v>
      </c>
      <c r="CF158" s="115" t="e">
        <f t="shared" si="273"/>
        <v>#VALUE!</v>
      </c>
      <c r="CG158" s="115" t="e">
        <f t="shared" si="273"/>
        <v>#VALUE!</v>
      </c>
      <c r="CH158" s="115" t="e">
        <f t="shared" ref="CH158:CQ163" si="274">IF($N158&lt;&gt;1,$G158*($N158^$K158)*(($N158^($K158*INT(CH$2/$K158))-1)/($N158^$K158-1)),$G158*INT(CH$2/$K158))</f>
        <v>#VALUE!</v>
      </c>
      <c r="CI158" s="115" t="e">
        <f t="shared" si="274"/>
        <v>#VALUE!</v>
      </c>
      <c r="CJ158" s="115" t="e">
        <f t="shared" si="274"/>
        <v>#VALUE!</v>
      </c>
      <c r="CK158" s="115" t="e">
        <f t="shared" si="274"/>
        <v>#VALUE!</v>
      </c>
      <c r="CL158" s="115" t="e">
        <f t="shared" si="274"/>
        <v>#VALUE!</v>
      </c>
      <c r="CM158" s="115" t="e">
        <f t="shared" si="274"/>
        <v>#VALUE!</v>
      </c>
      <c r="CN158" s="115" t="e">
        <f t="shared" si="274"/>
        <v>#VALUE!</v>
      </c>
      <c r="CO158" s="115" t="e">
        <f t="shared" si="274"/>
        <v>#VALUE!</v>
      </c>
      <c r="CP158" s="115" t="e">
        <f t="shared" si="274"/>
        <v>#VALUE!</v>
      </c>
      <c r="CQ158" s="115" t="e">
        <f t="shared" si="274"/>
        <v>#VALUE!</v>
      </c>
      <c r="CR158" s="115" t="e">
        <f t="shared" ref="CR158:DA163" si="275">IF($N158&lt;&gt;1,$G158*($N158^$K158)*(($N158^($K158*INT(CR$2/$K158))-1)/($N158^$K158-1)),$G158*INT(CR$2/$K158))</f>
        <v>#VALUE!</v>
      </c>
      <c r="CS158" s="115" t="e">
        <f t="shared" si="275"/>
        <v>#VALUE!</v>
      </c>
      <c r="CT158" s="115" t="e">
        <f t="shared" si="275"/>
        <v>#VALUE!</v>
      </c>
      <c r="CU158" s="115" t="e">
        <f t="shared" si="275"/>
        <v>#VALUE!</v>
      </c>
      <c r="CV158" s="115" t="e">
        <f t="shared" si="275"/>
        <v>#VALUE!</v>
      </c>
      <c r="CW158" s="115" t="e">
        <f t="shared" si="275"/>
        <v>#VALUE!</v>
      </c>
      <c r="CX158" s="115" t="e">
        <f t="shared" si="275"/>
        <v>#VALUE!</v>
      </c>
      <c r="CY158" s="115" t="e">
        <f t="shared" si="275"/>
        <v>#VALUE!</v>
      </c>
      <c r="CZ158" s="115" t="e">
        <f t="shared" si="275"/>
        <v>#VALUE!</v>
      </c>
      <c r="DA158" s="115" t="e">
        <f t="shared" si="275"/>
        <v>#VALUE!</v>
      </c>
      <c r="DB158" s="115" t="e">
        <f t="shared" ref="DB158:DM163" si="276">IF($N158&lt;&gt;1,$G158*($N158^$K158)*(($N158^($K158*INT(DB$2/$K158))-1)/($N158^$K158-1)),$G158*INT(DB$2/$K158))</f>
        <v>#VALUE!</v>
      </c>
      <c r="DC158" s="115" t="e">
        <f t="shared" si="276"/>
        <v>#VALUE!</v>
      </c>
      <c r="DD158" s="115" t="e">
        <f t="shared" si="276"/>
        <v>#VALUE!</v>
      </c>
      <c r="DE158" s="115" t="e">
        <f t="shared" si="276"/>
        <v>#VALUE!</v>
      </c>
      <c r="DF158" s="115" t="e">
        <f t="shared" si="276"/>
        <v>#VALUE!</v>
      </c>
      <c r="DG158" s="115" t="e">
        <f t="shared" si="276"/>
        <v>#VALUE!</v>
      </c>
      <c r="DH158" s="115" t="e">
        <f t="shared" si="276"/>
        <v>#VALUE!</v>
      </c>
      <c r="DI158" s="115" t="e">
        <f t="shared" si="276"/>
        <v>#VALUE!</v>
      </c>
      <c r="DJ158" s="115" t="e">
        <f t="shared" si="276"/>
        <v>#VALUE!</v>
      </c>
      <c r="DK158" s="115" t="e">
        <f t="shared" si="276"/>
        <v>#VALUE!</v>
      </c>
      <c r="DL158" s="115" t="e">
        <f t="shared" si="276"/>
        <v>#VALUE!</v>
      </c>
      <c r="DM158" s="115" t="e">
        <f t="shared" si="276"/>
        <v>#VALUE!</v>
      </c>
    </row>
    <row r="159" spans="1:117" ht="15" customHeight="1" thickBot="1">
      <c r="A159" s="55">
        <v>16300</v>
      </c>
      <c r="B159" s="194" t="s">
        <v>728</v>
      </c>
      <c r="C159" s="194" t="s">
        <v>917</v>
      </c>
      <c r="D159" s="194" t="s">
        <v>2302</v>
      </c>
      <c r="E159" s="194" t="s">
        <v>186</v>
      </c>
      <c r="F159" s="194" t="s">
        <v>1124</v>
      </c>
      <c r="G159" s="291" t="e">
        <f t="shared" si="263"/>
        <v>#VALUE!</v>
      </c>
      <c r="H159" s="292" t="e">
        <f>VLOOKUP("E4.B.01.b",Errichtungskosten,12,0) *VLOOKUP("PFAKT",Instandsetzung,5,0)</f>
        <v>#VALUE!</v>
      </c>
      <c r="I159" s="168"/>
      <c r="J159" s="194" t="s">
        <v>850</v>
      </c>
      <c r="K159" s="385">
        <f t="shared" si="264"/>
        <v>1000</v>
      </c>
      <c r="L159" s="379" t="s">
        <v>356</v>
      </c>
      <c r="M159" s="325">
        <f t="shared" si="265"/>
        <v>2.77</v>
      </c>
      <c r="N159" s="380">
        <f t="shared" si="266"/>
        <v>1.0105211406096364</v>
      </c>
      <c r="O159" s="381" t="e">
        <f t="shared" si="267"/>
        <v>#VALUE!</v>
      </c>
      <c r="P159" s="169" t="s">
        <v>103</v>
      </c>
      <c r="Q159" s="114" t="e">
        <f t="shared" si="267"/>
        <v>#VALUE!</v>
      </c>
      <c r="R159" s="115" t="e">
        <f t="shared" si="267"/>
        <v>#VALUE!</v>
      </c>
      <c r="S159" s="115" t="e">
        <f t="shared" si="267"/>
        <v>#VALUE!</v>
      </c>
      <c r="T159" s="115" t="e">
        <f t="shared" si="267"/>
        <v>#VALUE!</v>
      </c>
      <c r="U159" s="115" t="e">
        <f t="shared" si="267"/>
        <v>#VALUE!</v>
      </c>
      <c r="V159" s="115" t="e">
        <f t="shared" si="267"/>
        <v>#VALUE!</v>
      </c>
      <c r="W159" s="115" t="e">
        <f t="shared" si="267"/>
        <v>#VALUE!</v>
      </c>
      <c r="X159" s="115" t="e">
        <f t="shared" si="267"/>
        <v>#VALUE!</v>
      </c>
      <c r="Y159" s="115" t="e">
        <f t="shared" si="267"/>
        <v>#VALUE!</v>
      </c>
      <c r="Z159" s="115" t="e">
        <f t="shared" si="268"/>
        <v>#VALUE!</v>
      </c>
      <c r="AA159" s="115" t="e">
        <f t="shared" si="268"/>
        <v>#VALUE!</v>
      </c>
      <c r="AB159" s="115" t="e">
        <f t="shared" si="268"/>
        <v>#VALUE!</v>
      </c>
      <c r="AC159" s="115" t="e">
        <f t="shared" si="268"/>
        <v>#VALUE!</v>
      </c>
      <c r="AD159" s="115" t="e">
        <f t="shared" si="268"/>
        <v>#VALUE!</v>
      </c>
      <c r="AE159" s="115" t="e">
        <f t="shared" si="268"/>
        <v>#VALUE!</v>
      </c>
      <c r="AF159" s="115" t="e">
        <f t="shared" si="268"/>
        <v>#VALUE!</v>
      </c>
      <c r="AG159" s="115" t="e">
        <f t="shared" si="268"/>
        <v>#VALUE!</v>
      </c>
      <c r="AH159" s="115" t="e">
        <f t="shared" si="268"/>
        <v>#VALUE!</v>
      </c>
      <c r="AI159" s="115" t="e">
        <f t="shared" si="268"/>
        <v>#VALUE!</v>
      </c>
      <c r="AJ159" s="115" t="e">
        <f t="shared" si="269"/>
        <v>#VALUE!</v>
      </c>
      <c r="AK159" s="115" t="e">
        <f t="shared" si="269"/>
        <v>#VALUE!</v>
      </c>
      <c r="AL159" s="115" t="e">
        <f t="shared" si="269"/>
        <v>#VALUE!</v>
      </c>
      <c r="AM159" s="115" t="e">
        <f t="shared" si="269"/>
        <v>#VALUE!</v>
      </c>
      <c r="AN159" s="115" t="e">
        <f t="shared" si="269"/>
        <v>#VALUE!</v>
      </c>
      <c r="AO159" s="115" t="e">
        <f t="shared" si="269"/>
        <v>#VALUE!</v>
      </c>
      <c r="AP159" s="115" t="e">
        <f t="shared" si="269"/>
        <v>#VALUE!</v>
      </c>
      <c r="AQ159" s="115" t="e">
        <f t="shared" si="269"/>
        <v>#VALUE!</v>
      </c>
      <c r="AR159" s="115" t="e">
        <f t="shared" si="269"/>
        <v>#VALUE!</v>
      </c>
      <c r="AS159" s="115" t="e">
        <f t="shared" si="269"/>
        <v>#VALUE!</v>
      </c>
      <c r="AT159" s="115" t="e">
        <f t="shared" si="270"/>
        <v>#VALUE!</v>
      </c>
      <c r="AU159" s="115" t="e">
        <f t="shared" si="270"/>
        <v>#VALUE!</v>
      </c>
      <c r="AV159" s="115" t="e">
        <f t="shared" si="270"/>
        <v>#VALUE!</v>
      </c>
      <c r="AW159" s="115" t="e">
        <f t="shared" si="270"/>
        <v>#VALUE!</v>
      </c>
      <c r="AX159" s="115" t="e">
        <f t="shared" si="270"/>
        <v>#VALUE!</v>
      </c>
      <c r="AY159" s="115" t="e">
        <f t="shared" si="270"/>
        <v>#VALUE!</v>
      </c>
      <c r="AZ159" s="115" t="e">
        <f t="shared" si="270"/>
        <v>#VALUE!</v>
      </c>
      <c r="BA159" s="115" t="e">
        <f t="shared" si="270"/>
        <v>#VALUE!</v>
      </c>
      <c r="BB159" s="115" t="e">
        <f t="shared" si="270"/>
        <v>#VALUE!</v>
      </c>
      <c r="BC159" s="115" t="e">
        <f t="shared" si="270"/>
        <v>#VALUE!</v>
      </c>
      <c r="BD159" s="115" t="e">
        <f t="shared" si="271"/>
        <v>#VALUE!</v>
      </c>
      <c r="BE159" s="115" t="e">
        <f t="shared" si="271"/>
        <v>#VALUE!</v>
      </c>
      <c r="BF159" s="115" t="e">
        <f t="shared" si="271"/>
        <v>#VALUE!</v>
      </c>
      <c r="BG159" s="115" t="e">
        <f t="shared" si="271"/>
        <v>#VALUE!</v>
      </c>
      <c r="BH159" s="115" t="e">
        <f t="shared" si="271"/>
        <v>#VALUE!</v>
      </c>
      <c r="BI159" s="115" t="e">
        <f t="shared" si="271"/>
        <v>#VALUE!</v>
      </c>
      <c r="BJ159" s="115" t="e">
        <f t="shared" si="271"/>
        <v>#VALUE!</v>
      </c>
      <c r="BK159" s="115" t="e">
        <f t="shared" si="271"/>
        <v>#VALUE!</v>
      </c>
      <c r="BL159" s="115" t="e">
        <f t="shared" si="271"/>
        <v>#VALUE!</v>
      </c>
      <c r="BM159" s="115" t="e">
        <f t="shared" si="271"/>
        <v>#VALUE!</v>
      </c>
      <c r="BN159" s="115" t="e">
        <f t="shared" si="272"/>
        <v>#VALUE!</v>
      </c>
      <c r="BO159" s="115" t="e">
        <f t="shared" si="272"/>
        <v>#VALUE!</v>
      </c>
      <c r="BP159" s="115" t="e">
        <f t="shared" si="272"/>
        <v>#VALUE!</v>
      </c>
      <c r="BQ159" s="115" t="e">
        <f t="shared" si="272"/>
        <v>#VALUE!</v>
      </c>
      <c r="BR159" s="115" t="e">
        <f t="shared" si="272"/>
        <v>#VALUE!</v>
      </c>
      <c r="BS159" s="115" t="e">
        <f t="shared" si="272"/>
        <v>#VALUE!</v>
      </c>
      <c r="BT159" s="115" t="e">
        <f t="shared" si="272"/>
        <v>#VALUE!</v>
      </c>
      <c r="BU159" s="115" t="e">
        <f t="shared" si="272"/>
        <v>#VALUE!</v>
      </c>
      <c r="BV159" s="115" t="e">
        <f t="shared" si="272"/>
        <v>#VALUE!</v>
      </c>
      <c r="BW159" s="115" t="e">
        <f t="shared" si="272"/>
        <v>#VALUE!</v>
      </c>
      <c r="BX159" s="115" t="e">
        <f t="shared" si="273"/>
        <v>#VALUE!</v>
      </c>
      <c r="BY159" s="115" t="e">
        <f t="shared" si="273"/>
        <v>#VALUE!</v>
      </c>
      <c r="BZ159" s="115" t="e">
        <f t="shared" si="273"/>
        <v>#VALUE!</v>
      </c>
      <c r="CA159" s="115" t="e">
        <f t="shared" si="273"/>
        <v>#VALUE!</v>
      </c>
      <c r="CB159" s="115" t="e">
        <f t="shared" si="273"/>
        <v>#VALUE!</v>
      </c>
      <c r="CC159" s="115" t="e">
        <f t="shared" si="273"/>
        <v>#VALUE!</v>
      </c>
      <c r="CD159" s="115" t="e">
        <f t="shared" si="273"/>
        <v>#VALUE!</v>
      </c>
      <c r="CE159" s="115" t="e">
        <f t="shared" si="273"/>
        <v>#VALUE!</v>
      </c>
      <c r="CF159" s="115" t="e">
        <f t="shared" si="273"/>
        <v>#VALUE!</v>
      </c>
      <c r="CG159" s="115" t="e">
        <f t="shared" si="273"/>
        <v>#VALUE!</v>
      </c>
      <c r="CH159" s="115" t="e">
        <f t="shared" si="274"/>
        <v>#VALUE!</v>
      </c>
      <c r="CI159" s="115" t="e">
        <f t="shared" si="274"/>
        <v>#VALUE!</v>
      </c>
      <c r="CJ159" s="115" t="e">
        <f t="shared" si="274"/>
        <v>#VALUE!</v>
      </c>
      <c r="CK159" s="115" t="e">
        <f t="shared" si="274"/>
        <v>#VALUE!</v>
      </c>
      <c r="CL159" s="115" t="e">
        <f t="shared" si="274"/>
        <v>#VALUE!</v>
      </c>
      <c r="CM159" s="115" t="e">
        <f t="shared" si="274"/>
        <v>#VALUE!</v>
      </c>
      <c r="CN159" s="115" t="e">
        <f t="shared" si="274"/>
        <v>#VALUE!</v>
      </c>
      <c r="CO159" s="115" t="e">
        <f t="shared" si="274"/>
        <v>#VALUE!</v>
      </c>
      <c r="CP159" s="115" t="e">
        <f t="shared" si="274"/>
        <v>#VALUE!</v>
      </c>
      <c r="CQ159" s="115" t="e">
        <f t="shared" si="274"/>
        <v>#VALUE!</v>
      </c>
      <c r="CR159" s="115" t="e">
        <f t="shared" si="275"/>
        <v>#VALUE!</v>
      </c>
      <c r="CS159" s="115" t="e">
        <f t="shared" si="275"/>
        <v>#VALUE!</v>
      </c>
      <c r="CT159" s="115" t="e">
        <f t="shared" si="275"/>
        <v>#VALUE!</v>
      </c>
      <c r="CU159" s="115" t="e">
        <f t="shared" si="275"/>
        <v>#VALUE!</v>
      </c>
      <c r="CV159" s="115" t="e">
        <f t="shared" si="275"/>
        <v>#VALUE!</v>
      </c>
      <c r="CW159" s="115" t="e">
        <f t="shared" si="275"/>
        <v>#VALUE!</v>
      </c>
      <c r="CX159" s="115" t="e">
        <f t="shared" si="275"/>
        <v>#VALUE!</v>
      </c>
      <c r="CY159" s="115" t="e">
        <f t="shared" si="275"/>
        <v>#VALUE!</v>
      </c>
      <c r="CZ159" s="115" t="e">
        <f t="shared" si="275"/>
        <v>#VALUE!</v>
      </c>
      <c r="DA159" s="115" t="e">
        <f t="shared" si="275"/>
        <v>#VALUE!</v>
      </c>
      <c r="DB159" s="115" t="e">
        <f t="shared" si="276"/>
        <v>#VALUE!</v>
      </c>
      <c r="DC159" s="115" t="e">
        <f t="shared" si="276"/>
        <v>#VALUE!</v>
      </c>
      <c r="DD159" s="115" t="e">
        <f t="shared" si="276"/>
        <v>#VALUE!</v>
      </c>
      <c r="DE159" s="115" t="e">
        <f t="shared" si="276"/>
        <v>#VALUE!</v>
      </c>
      <c r="DF159" s="115" t="e">
        <f t="shared" si="276"/>
        <v>#VALUE!</v>
      </c>
      <c r="DG159" s="115" t="e">
        <f t="shared" si="276"/>
        <v>#VALUE!</v>
      </c>
      <c r="DH159" s="115" t="e">
        <f t="shared" si="276"/>
        <v>#VALUE!</v>
      </c>
      <c r="DI159" s="115" t="e">
        <f t="shared" si="276"/>
        <v>#VALUE!</v>
      </c>
      <c r="DJ159" s="115" t="e">
        <f t="shared" si="276"/>
        <v>#VALUE!</v>
      </c>
      <c r="DK159" s="115" t="e">
        <f t="shared" si="276"/>
        <v>#VALUE!</v>
      </c>
      <c r="DL159" s="115" t="e">
        <f t="shared" si="276"/>
        <v>#VALUE!</v>
      </c>
      <c r="DM159" s="115" t="e">
        <f t="shared" si="276"/>
        <v>#VALUE!</v>
      </c>
    </row>
    <row r="160" spans="1:117" ht="15" customHeight="1" thickBot="1">
      <c r="A160" s="55">
        <v>16700</v>
      </c>
      <c r="B160" s="194" t="s">
        <v>728</v>
      </c>
      <c r="C160" s="194" t="s">
        <v>918</v>
      </c>
      <c r="D160" s="194" t="s">
        <v>183</v>
      </c>
      <c r="E160" s="194" t="s">
        <v>184</v>
      </c>
      <c r="F160" s="194" t="s">
        <v>1125</v>
      </c>
      <c r="G160" s="291" t="e">
        <f t="shared" si="263"/>
        <v>#VALUE!</v>
      </c>
      <c r="H160" s="292" t="e">
        <f>VLOOKUP("E4.B.02",Errichtungskosten,12,0) *VLOOKUP("PFAKT",Instandsetzung,5,0)</f>
        <v>#VALUE!</v>
      </c>
      <c r="I160" s="168"/>
      <c r="J160" s="194" t="s">
        <v>850</v>
      </c>
      <c r="K160" s="385">
        <f t="shared" si="264"/>
        <v>1000</v>
      </c>
      <c r="L160" s="379" t="s">
        <v>356</v>
      </c>
      <c r="M160" s="325">
        <f t="shared" si="265"/>
        <v>2.77</v>
      </c>
      <c r="N160" s="380">
        <f t="shared" si="266"/>
        <v>1.0105211406096364</v>
      </c>
      <c r="O160" s="381" t="e">
        <f t="shared" si="267"/>
        <v>#VALUE!</v>
      </c>
      <c r="P160" s="169" t="s">
        <v>103</v>
      </c>
      <c r="Q160" s="114" t="e">
        <f t="shared" si="267"/>
        <v>#VALUE!</v>
      </c>
      <c r="R160" s="115" t="e">
        <f t="shared" si="267"/>
        <v>#VALUE!</v>
      </c>
      <c r="S160" s="115" t="e">
        <f t="shared" si="267"/>
        <v>#VALUE!</v>
      </c>
      <c r="T160" s="115" t="e">
        <f t="shared" si="267"/>
        <v>#VALUE!</v>
      </c>
      <c r="U160" s="115" t="e">
        <f t="shared" si="267"/>
        <v>#VALUE!</v>
      </c>
      <c r="V160" s="115" t="e">
        <f t="shared" si="267"/>
        <v>#VALUE!</v>
      </c>
      <c r="W160" s="115" t="e">
        <f t="shared" si="267"/>
        <v>#VALUE!</v>
      </c>
      <c r="X160" s="115" t="e">
        <f t="shared" si="267"/>
        <v>#VALUE!</v>
      </c>
      <c r="Y160" s="115" t="e">
        <f t="shared" si="267"/>
        <v>#VALUE!</v>
      </c>
      <c r="Z160" s="115" t="e">
        <f t="shared" si="268"/>
        <v>#VALUE!</v>
      </c>
      <c r="AA160" s="115" t="e">
        <f t="shared" si="268"/>
        <v>#VALUE!</v>
      </c>
      <c r="AB160" s="115" t="e">
        <f t="shared" si="268"/>
        <v>#VALUE!</v>
      </c>
      <c r="AC160" s="115" t="e">
        <f t="shared" si="268"/>
        <v>#VALUE!</v>
      </c>
      <c r="AD160" s="115" t="e">
        <f t="shared" si="268"/>
        <v>#VALUE!</v>
      </c>
      <c r="AE160" s="115" t="e">
        <f t="shared" si="268"/>
        <v>#VALUE!</v>
      </c>
      <c r="AF160" s="115" t="e">
        <f t="shared" si="268"/>
        <v>#VALUE!</v>
      </c>
      <c r="AG160" s="115" t="e">
        <f t="shared" si="268"/>
        <v>#VALUE!</v>
      </c>
      <c r="AH160" s="115" t="e">
        <f t="shared" si="268"/>
        <v>#VALUE!</v>
      </c>
      <c r="AI160" s="115" t="e">
        <f t="shared" si="268"/>
        <v>#VALUE!</v>
      </c>
      <c r="AJ160" s="115" t="e">
        <f t="shared" si="269"/>
        <v>#VALUE!</v>
      </c>
      <c r="AK160" s="115" t="e">
        <f t="shared" si="269"/>
        <v>#VALUE!</v>
      </c>
      <c r="AL160" s="115" t="e">
        <f t="shared" si="269"/>
        <v>#VALUE!</v>
      </c>
      <c r="AM160" s="115" t="e">
        <f t="shared" si="269"/>
        <v>#VALUE!</v>
      </c>
      <c r="AN160" s="115" t="e">
        <f t="shared" si="269"/>
        <v>#VALUE!</v>
      </c>
      <c r="AO160" s="115" t="e">
        <f t="shared" si="269"/>
        <v>#VALUE!</v>
      </c>
      <c r="AP160" s="115" t="e">
        <f t="shared" si="269"/>
        <v>#VALUE!</v>
      </c>
      <c r="AQ160" s="115" t="e">
        <f t="shared" si="269"/>
        <v>#VALUE!</v>
      </c>
      <c r="AR160" s="115" t="e">
        <f t="shared" si="269"/>
        <v>#VALUE!</v>
      </c>
      <c r="AS160" s="115" t="e">
        <f t="shared" si="269"/>
        <v>#VALUE!</v>
      </c>
      <c r="AT160" s="115" t="e">
        <f t="shared" si="270"/>
        <v>#VALUE!</v>
      </c>
      <c r="AU160" s="115" t="e">
        <f t="shared" si="270"/>
        <v>#VALUE!</v>
      </c>
      <c r="AV160" s="115" t="e">
        <f t="shared" si="270"/>
        <v>#VALUE!</v>
      </c>
      <c r="AW160" s="115" t="e">
        <f t="shared" si="270"/>
        <v>#VALUE!</v>
      </c>
      <c r="AX160" s="115" t="e">
        <f t="shared" si="270"/>
        <v>#VALUE!</v>
      </c>
      <c r="AY160" s="115" t="e">
        <f t="shared" si="270"/>
        <v>#VALUE!</v>
      </c>
      <c r="AZ160" s="115" t="e">
        <f t="shared" si="270"/>
        <v>#VALUE!</v>
      </c>
      <c r="BA160" s="115" t="e">
        <f t="shared" si="270"/>
        <v>#VALUE!</v>
      </c>
      <c r="BB160" s="115" t="e">
        <f t="shared" si="270"/>
        <v>#VALUE!</v>
      </c>
      <c r="BC160" s="115" t="e">
        <f t="shared" si="270"/>
        <v>#VALUE!</v>
      </c>
      <c r="BD160" s="115" t="e">
        <f t="shared" si="271"/>
        <v>#VALUE!</v>
      </c>
      <c r="BE160" s="115" t="e">
        <f t="shared" si="271"/>
        <v>#VALUE!</v>
      </c>
      <c r="BF160" s="115" t="e">
        <f t="shared" si="271"/>
        <v>#VALUE!</v>
      </c>
      <c r="BG160" s="115" t="e">
        <f t="shared" si="271"/>
        <v>#VALUE!</v>
      </c>
      <c r="BH160" s="115" t="e">
        <f t="shared" si="271"/>
        <v>#VALUE!</v>
      </c>
      <c r="BI160" s="115" t="e">
        <f t="shared" si="271"/>
        <v>#VALUE!</v>
      </c>
      <c r="BJ160" s="115" t="e">
        <f t="shared" si="271"/>
        <v>#VALUE!</v>
      </c>
      <c r="BK160" s="115" t="e">
        <f t="shared" si="271"/>
        <v>#VALUE!</v>
      </c>
      <c r="BL160" s="115" t="e">
        <f t="shared" si="271"/>
        <v>#VALUE!</v>
      </c>
      <c r="BM160" s="115" t="e">
        <f t="shared" si="271"/>
        <v>#VALUE!</v>
      </c>
      <c r="BN160" s="115" t="e">
        <f t="shared" si="272"/>
        <v>#VALUE!</v>
      </c>
      <c r="BO160" s="115" t="e">
        <f t="shared" si="272"/>
        <v>#VALUE!</v>
      </c>
      <c r="BP160" s="115" t="e">
        <f t="shared" si="272"/>
        <v>#VALUE!</v>
      </c>
      <c r="BQ160" s="115" t="e">
        <f t="shared" si="272"/>
        <v>#VALUE!</v>
      </c>
      <c r="BR160" s="115" t="e">
        <f t="shared" si="272"/>
        <v>#VALUE!</v>
      </c>
      <c r="BS160" s="115" t="e">
        <f t="shared" si="272"/>
        <v>#VALUE!</v>
      </c>
      <c r="BT160" s="115" t="e">
        <f t="shared" si="272"/>
        <v>#VALUE!</v>
      </c>
      <c r="BU160" s="115" t="e">
        <f t="shared" si="272"/>
        <v>#VALUE!</v>
      </c>
      <c r="BV160" s="115" t="e">
        <f t="shared" si="272"/>
        <v>#VALUE!</v>
      </c>
      <c r="BW160" s="115" t="e">
        <f t="shared" si="272"/>
        <v>#VALUE!</v>
      </c>
      <c r="BX160" s="115" t="e">
        <f t="shared" si="273"/>
        <v>#VALUE!</v>
      </c>
      <c r="BY160" s="115" t="e">
        <f t="shared" si="273"/>
        <v>#VALUE!</v>
      </c>
      <c r="BZ160" s="115" t="e">
        <f t="shared" si="273"/>
        <v>#VALUE!</v>
      </c>
      <c r="CA160" s="115" t="e">
        <f t="shared" si="273"/>
        <v>#VALUE!</v>
      </c>
      <c r="CB160" s="115" t="e">
        <f t="shared" si="273"/>
        <v>#VALUE!</v>
      </c>
      <c r="CC160" s="115" t="e">
        <f t="shared" si="273"/>
        <v>#VALUE!</v>
      </c>
      <c r="CD160" s="115" t="e">
        <f t="shared" si="273"/>
        <v>#VALUE!</v>
      </c>
      <c r="CE160" s="115" t="e">
        <f t="shared" si="273"/>
        <v>#VALUE!</v>
      </c>
      <c r="CF160" s="115" t="e">
        <f t="shared" si="273"/>
        <v>#VALUE!</v>
      </c>
      <c r="CG160" s="115" t="e">
        <f t="shared" si="273"/>
        <v>#VALUE!</v>
      </c>
      <c r="CH160" s="115" t="e">
        <f t="shared" si="274"/>
        <v>#VALUE!</v>
      </c>
      <c r="CI160" s="115" t="e">
        <f t="shared" si="274"/>
        <v>#VALUE!</v>
      </c>
      <c r="CJ160" s="115" t="e">
        <f t="shared" si="274"/>
        <v>#VALUE!</v>
      </c>
      <c r="CK160" s="115" t="e">
        <f t="shared" si="274"/>
        <v>#VALUE!</v>
      </c>
      <c r="CL160" s="115" t="e">
        <f t="shared" si="274"/>
        <v>#VALUE!</v>
      </c>
      <c r="CM160" s="115" t="e">
        <f t="shared" si="274"/>
        <v>#VALUE!</v>
      </c>
      <c r="CN160" s="115" t="e">
        <f t="shared" si="274"/>
        <v>#VALUE!</v>
      </c>
      <c r="CO160" s="115" t="e">
        <f t="shared" si="274"/>
        <v>#VALUE!</v>
      </c>
      <c r="CP160" s="115" t="e">
        <f t="shared" si="274"/>
        <v>#VALUE!</v>
      </c>
      <c r="CQ160" s="115" t="e">
        <f t="shared" si="274"/>
        <v>#VALUE!</v>
      </c>
      <c r="CR160" s="115" t="e">
        <f t="shared" si="275"/>
        <v>#VALUE!</v>
      </c>
      <c r="CS160" s="115" t="e">
        <f t="shared" si="275"/>
        <v>#VALUE!</v>
      </c>
      <c r="CT160" s="115" t="e">
        <f t="shared" si="275"/>
        <v>#VALUE!</v>
      </c>
      <c r="CU160" s="115" t="e">
        <f t="shared" si="275"/>
        <v>#VALUE!</v>
      </c>
      <c r="CV160" s="115" t="e">
        <f t="shared" si="275"/>
        <v>#VALUE!</v>
      </c>
      <c r="CW160" s="115" t="e">
        <f t="shared" si="275"/>
        <v>#VALUE!</v>
      </c>
      <c r="CX160" s="115" t="e">
        <f t="shared" si="275"/>
        <v>#VALUE!</v>
      </c>
      <c r="CY160" s="115" t="e">
        <f t="shared" si="275"/>
        <v>#VALUE!</v>
      </c>
      <c r="CZ160" s="115" t="e">
        <f t="shared" si="275"/>
        <v>#VALUE!</v>
      </c>
      <c r="DA160" s="115" t="e">
        <f t="shared" si="275"/>
        <v>#VALUE!</v>
      </c>
      <c r="DB160" s="115" t="e">
        <f t="shared" si="276"/>
        <v>#VALUE!</v>
      </c>
      <c r="DC160" s="115" t="e">
        <f t="shared" si="276"/>
        <v>#VALUE!</v>
      </c>
      <c r="DD160" s="115" t="e">
        <f t="shared" si="276"/>
        <v>#VALUE!</v>
      </c>
      <c r="DE160" s="115" t="e">
        <f t="shared" si="276"/>
        <v>#VALUE!</v>
      </c>
      <c r="DF160" s="115" t="e">
        <f t="shared" si="276"/>
        <v>#VALUE!</v>
      </c>
      <c r="DG160" s="115" t="e">
        <f t="shared" si="276"/>
        <v>#VALUE!</v>
      </c>
      <c r="DH160" s="115" t="e">
        <f t="shared" si="276"/>
        <v>#VALUE!</v>
      </c>
      <c r="DI160" s="115" t="e">
        <f t="shared" si="276"/>
        <v>#VALUE!</v>
      </c>
      <c r="DJ160" s="115" t="e">
        <f t="shared" si="276"/>
        <v>#VALUE!</v>
      </c>
      <c r="DK160" s="115" t="e">
        <f t="shared" si="276"/>
        <v>#VALUE!</v>
      </c>
      <c r="DL160" s="115" t="e">
        <f t="shared" si="276"/>
        <v>#VALUE!</v>
      </c>
      <c r="DM160" s="115" t="e">
        <f t="shared" si="276"/>
        <v>#VALUE!</v>
      </c>
    </row>
    <row r="161" spans="1:117" ht="15" customHeight="1" thickBot="1">
      <c r="A161" s="55">
        <v>16800</v>
      </c>
      <c r="B161" s="194" t="s">
        <v>728</v>
      </c>
      <c r="C161" s="194" t="s">
        <v>919</v>
      </c>
      <c r="D161" s="194" t="s">
        <v>181</v>
      </c>
      <c r="E161" s="194" t="s">
        <v>182</v>
      </c>
      <c r="F161" s="194" t="s">
        <v>1126</v>
      </c>
      <c r="G161" s="291" t="e">
        <f t="shared" si="263"/>
        <v>#VALUE!</v>
      </c>
      <c r="H161" s="292" t="e">
        <f>VLOOKUP("E4.B.03",Errichtungskosten,12,0) *VLOOKUP("PFAKT",Instandsetzung,5,0)</f>
        <v>#VALUE!</v>
      </c>
      <c r="I161" s="168"/>
      <c r="J161" s="194" t="s">
        <v>850</v>
      </c>
      <c r="K161" s="385">
        <f t="shared" si="264"/>
        <v>15</v>
      </c>
      <c r="L161" s="379" t="s">
        <v>356</v>
      </c>
      <c r="M161" s="325">
        <f t="shared" si="265"/>
        <v>2.77</v>
      </c>
      <c r="N161" s="380">
        <f t="shared" si="266"/>
        <v>1.0105211406096364</v>
      </c>
      <c r="O161" s="381" t="e">
        <f t="shared" si="267"/>
        <v>#VALUE!</v>
      </c>
      <c r="P161" s="169" t="s">
        <v>103</v>
      </c>
      <c r="Q161" s="114" t="e">
        <f t="shared" si="267"/>
        <v>#VALUE!</v>
      </c>
      <c r="R161" s="115" t="e">
        <f t="shared" si="267"/>
        <v>#VALUE!</v>
      </c>
      <c r="S161" s="115" t="e">
        <f t="shared" si="267"/>
        <v>#VALUE!</v>
      </c>
      <c r="T161" s="115" t="e">
        <f t="shared" si="267"/>
        <v>#VALUE!</v>
      </c>
      <c r="U161" s="115" t="e">
        <f t="shared" si="267"/>
        <v>#VALUE!</v>
      </c>
      <c r="V161" s="115" t="e">
        <f t="shared" si="267"/>
        <v>#VALUE!</v>
      </c>
      <c r="W161" s="115" t="e">
        <f t="shared" si="267"/>
        <v>#VALUE!</v>
      </c>
      <c r="X161" s="115" t="e">
        <f t="shared" si="267"/>
        <v>#VALUE!</v>
      </c>
      <c r="Y161" s="115" t="e">
        <f t="shared" si="267"/>
        <v>#VALUE!</v>
      </c>
      <c r="Z161" s="115" t="e">
        <f t="shared" si="268"/>
        <v>#VALUE!</v>
      </c>
      <c r="AA161" s="115" t="e">
        <f t="shared" si="268"/>
        <v>#VALUE!</v>
      </c>
      <c r="AB161" s="115" t="e">
        <f t="shared" si="268"/>
        <v>#VALUE!</v>
      </c>
      <c r="AC161" s="115" t="e">
        <f t="shared" si="268"/>
        <v>#VALUE!</v>
      </c>
      <c r="AD161" s="115" t="e">
        <f t="shared" si="268"/>
        <v>#VALUE!</v>
      </c>
      <c r="AE161" s="115" t="e">
        <f t="shared" si="268"/>
        <v>#VALUE!</v>
      </c>
      <c r="AF161" s="115" t="e">
        <f t="shared" si="268"/>
        <v>#VALUE!</v>
      </c>
      <c r="AG161" s="115" t="e">
        <f t="shared" si="268"/>
        <v>#VALUE!</v>
      </c>
      <c r="AH161" s="115" t="e">
        <f t="shared" si="268"/>
        <v>#VALUE!</v>
      </c>
      <c r="AI161" s="115" t="e">
        <f t="shared" si="268"/>
        <v>#VALUE!</v>
      </c>
      <c r="AJ161" s="115" t="e">
        <f t="shared" si="269"/>
        <v>#VALUE!</v>
      </c>
      <c r="AK161" s="115" t="e">
        <f t="shared" si="269"/>
        <v>#VALUE!</v>
      </c>
      <c r="AL161" s="115" t="e">
        <f t="shared" si="269"/>
        <v>#VALUE!</v>
      </c>
      <c r="AM161" s="115" t="e">
        <f t="shared" si="269"/>
        <v>#VALUE!</v>
      </c>
      <c r="AN161" s="115" t="e">
        <f t="shared" si="269"/>
        <v>#VALUE!</v>
      </c>
      <c r="AO161" s="115" t="e">
        <f t="shared" si="269"/>
        <v>#VALUE!</v>
      </c>
      <c r="AP161" s="115" t="e">
        <f t="shared" si="269"/>
        <v>#VALUE!</v>
      </c>
      <c r="AQ161" s="115" t="e">
        <f t="shared" si="269"/>
        <v>#VALUE!</v>
      </c>
      <c r="AR161" s="115" t="e">
        <f t="shared" si="269"/>
        <v>#VALUE!</v>
      </c>
      <c r="AS161" s="115" t="e">
        <f t="shared" si="269"/>
        <v>#VALUE!</v>
      </c>
      <c r="AT161" s="115" t="e">
        <f t="shared" si="270"/>
        <v>#VALUE!</v>
      </c>
      <c r="AU161" s="115" t="e">
        <f t="shared" si="270"/>
        <v>#VALUE!</v>
      </c>
      <c r="AV161" s="115" t="e">
        <f t="shared" si="270"/>
        <v>#VALUE!</v>
      </c>
      <c r="AW161" s="115" t="e">
        <f t="shared" si="270"/>
        <v>#VALUE!</v>
      </c>
      <c r="AX161" s="115" t="e">
        <f t="shared" si="270"/>
        <v>#VALUE!</v>
      </c>
      <c r="AY161" s="115" t="e">
        <f t="shared" si="270"/>
        <v>#VALUE!</v>
      </c>
      <c r="AZ161" s="115" t="e">
        <f t="shared" si="270"/>
        <v>#VALUE!</v>
      </c>
      <c r="BA161" s="115" t="e">
        <f t="shared" si="270"/>
        <v>#VALUE!</v>
      </c>
      <c r="BB161" s="115" t="e">
        <f t="shared" si="270"/>
        <v>#VALUE!</v>
      </c>
      <c r="BC161" s="115" t="e">
        <f t="shared" si="270"/>
        <v>#VALUE!</v>
      </c>
      <c r="BD161" s="115" t="e">
        <f t="shared" si="271"/>
        <v>#VALUE!</v>
      </c>
      <c r="BE161" s="115" t="e">
        <f t="shared" si="271"/>
        <v>#VALUE!</v>
      </c>
      <c r="BF161" s="115" t="e">
        <f t="shared" si="271"/>
        <v>#VALUE!</v>
      </c>
      <c r="BG161" s="115" t="e">
        <f t="shared" si="271"/>
        <v>#VALUE!</v>
      </c>
      <c r="BH161" s="115" t="e">
        <f t="shared" si="271"/>
        <v>#VALUE!</v>
      </c>
      <c r="BI161" s="115" t="e">
        <f t="shared" si="271"/>
        <v>#VALUE!</v>
      </c>
      <c r="BJ161" s="115" t="e">
        <f t="shared" si="271"/>
        <v>#VALUE!</v>
      </c>
      <c r="BK161" s="115" t="e">
        <f t="shared" si="271"/>
        <v>#VALUE!</v>
      </c>
      <c r="BL161" s="115" t="e">
        <f t="shared" si="271"/>
        <v>#VALUE!</v>
      </c>
      <c r="BM161" s="115" t="e">
        <f t="shared" si="271"/>
        <v>#VALUE!</v>
      </c>
      <c r="BN161" s="115" t="e">
        <f t="shared" si="272"/>
        <v>#VALUE!</v>
      </c>
      <c r="BO161" s="115" t="e">
        <f t="shared" si="272"/>
        <v>#VALUE!</v>
      </c>
      <c r="BP161" s="115" t="e">
        <f t="shared" si="272"/>
        <v>#VALUE!</v>
      </c>
      <c r="BQ161" s="115" t="e">
        <f t="shared" si="272"/>
        <v>#VALUE!</v>
      </c>
      <c r="BR161" s="115" t="e">
        <f t="shared" si="272"/>
        <v>#VALUE!</v>
      </c>
      <c r="BS161" s="115" t="e">
        <f t="shared" si="272"/>
        <v>#VALUE!</v>
      </c>
      <c r="BT161" s="115" t="e">
        <f t="shared" si="272"/>
        <v>#VALUE!</v>
      </c>
      <c r="BU161" s="115" t="e">
        <f t="shared" si="272"/>
        <v>#VALUE!</v>
      </c>
      <c r="BV161" s="115" t="e">
        <f t="shared" si="272"/>
        <v>#VALUE!</v>
      </c>
      <c r="BW161" s="115" t="e">
        <f t="shared" si="272"/>
        <v>#VALUE!</v>
      </c>
      <c r="BX161" s="115" t="e">
        <f t="shared" si="273"/>
        <v>#VALUE!</v>
      </c>
      <c r="BY161" s="115" t="e">
        <f t="shared" si="273"/>
        <v>#VALUE!</v>
      </c>
      <c r="BZ161" s="115" t="e">
        <f t="shared" si="273"/>
        <v>#VALUE!</v>
      </c>
      <c r="CA161" s="115" t="e">
        <f t="shared" si="273"/>
        <v>#VALUE!</v>
      </c>
      <c r="CB161" s="115" t="e">
        <f t="shared" si="273"/>
        <v>#VALUE!</v>
      </c>
      <c r="CC161" s="115" t="e">
        <f t="shared" si="273"/>
        <v>#VALUE!</v>
      </c>
      <c r="CD161" s="115" t="e">
        <f t="shared" si="273"/>
        <v>#VALUE!</v>
      </c>
      <c r="CE161" s="115" t="e">
        <f t="shared" si="273"/>
        <v>#VALUE!</v>
      </c>
      <c r="CF161" s="115" t="e">
        <f t="shared" si="273"/>
        <v>#VALUE!</v>
      </c>
      <c r="CG161" s="115" t="e">
        <f t="shared" si="273"/>
        <v>#VALUE!</v>
      </c>
      <c r="CH161" s="115" t="e">
        <f t="shared" si="274"/>
        <v>#VALUE!</v>
      </c>
      <c r="CI161" s="115" t="e">
        <f t="shared" si="274"/>
        <v>#VALUE!</v>
      </c>
      <c r="CJ161" s="115" t="e">
        <f t="shared" si="274"/>
        <v>#VALUE!</v>
      </c>
      <c r="CK161" s="115" t="e">
        <f t="shared" si="274"/>
        <v>#VALUE!</v>
      </c>
      <c r="CL161" s="115" t="e">
        <f t="shared" si="274"/>
        <v>#VALUE!</v>
      </c>
      <c r="CM161" s="115" t="e">
        <f t="shared" si="274"/>
        <v>#VALUE!</v>
      </c>
      <c r="CN161" s="115" t="e">
        <f t="shared" si="274"/>
        <v>#VALUE!</v>
      </c>
      <c r="CO161" s="115" t="e">
        <f t="shared" si="274"/>
        <v>#VALUE!</v>
      </c>
      <c r="CP161" s="115" t="e">
        <f t="shared" si="274"/>
        <v>#VALUE!</v>
      </c>
      <c r="CQ161" s="115" t="e">
        <f t="shared" si="274"/>
        <v>#VALUE!</v>
      </c>
      <c r="CR161" s="115" t="e">
        <f t="shared" si="275"/>
        <v>#VALUE!</v>
      </c>
      <c r="CS161" s="115" t="e">
        <f t="shared" si="275"/>
        <v>#VALUE!</v>
      </c>
      <c r="CT161" s="115" t="e">
        <f t="shared" si="275"/>
        <v>#VALUE!</v>
      </c>
      <c r="CU161" s="115" t="e">
        <f t="shared" si="275"/>
        <v>#VALUE!</v>
      </c>
      <c r="CV161" s="115" t="e">
        <f t="shared" si="275"/>
        <v>#VALUE!</v>
      </c>
      <c r="CW161" s="115" t="e">
        <f t="shared" si="275"/>
        <v>#VALUE!</v>
      </c>
      <c r="CX161" s="115" t="e">
        <f t="shared" si="275"/>
        <v>#VALUE!</v>
      </c>
      <c r="CY161" s="115" t="e">
        <f t="shared" si="275"/>
        <v>#VALUE!</v>
      </c>
      <c r="CZ161" s="115" t="e">
        <f t="shared" si="275"/>
        <v>#VALUE!</v>
      </c>
      <c r="DA161" s="115" t="e">
        <f t="shared" si="275"/>
        <v>#VALUE!</v>
      </c>
      <c r="DB161" s="115" t="e">
        <f t="shared" si="276"/>
        <v>#VALUE!</v>
      </c>
      <c r="DC161" s="115" t="e">
        <f t="shared" si="276"/>
        <v>#VALUE!</v>
      </c>
      <c r="DD161" s="115" t="e">
        <f t="shared" si="276"/>
        <v>#VALUE!</v>
      </c>
      <c r="DE161" s="115" t="e">
        <f t="shared" si="276"/>
        <v>#VALUE!</v>
      </c>
      <c r="DF161" s="115" t="e">
        <f t="shared" si="276"/>
        <v>#VALUE!</v>
      </c>
      <c r="DG161" s="115" t="e">
        <f t="shared" si="276"/>
        <v>#VALUE!</v>
      </c>
      <c r="DH161" s="115" t="e">
        <f t="shared" si="276"/>
        <v>#VALUE!</v>
      </c>
      <c r="DI161" s="115" t="e">
        <f t="shared" si="276"/>
        <v>#VALUE!</v>
      </c>
      <c r="DJ161" s="115" t="e">
        <f t="shared" si="276"/>
        <v>#VALUE!</v>
      </c>
      <c r="DK161" s="115" t="e">
        <f t="shared" si="276"/>
        <v>#VALUE!</v>
      </c>
      <c r="DL161" s="115" t="e">
        <f t="shared" si="276"/>
        <v>#VALUE!</v>
      </c>
      <c r="DM161" s="115" t="e">
        <f t="shared" si="276"/>
        <v>#VALUE!</v>
      </c>
    </row>
    <row r="162" spans="1:117" ht="15" customHeight="1" thickBot="1">
      <c r="A162" s="55">
        <v>16900</v>
      </c>
      <c r="B162" s="194" t="s">
        <v>728</v>
      </c>
      <c r="C162" s="194" t="s">
        <v>920</v>
      </c>
      <c r="D162" s="194" t="s">
        <v>179</v>
      </c>
      <c r="E162" s="194" t="s">
        <v>180</v>
      </c>
      <c r="F162" s="194" t="s">
        <v>1127</v>
      </c>
      <c r="G162" s="291" t="e">
        <f t="shared" si="263"/>
        <v>#VALUE!</v>
      </c>
      <c r="H162" s="292" t="e">
        <f>VLOOKUP("E4.B.S",Errichtungskosten,12,0) *VLOOKUP("PFAKT",Instandsetzung,5,0)</f>
        <v>#VALUE!</v>
      </c>
      <c r="I162" s="168"/>
      <c r="J162" s="194" t="s">
        <v>850</v>
      </c>
      <c r="K162" s="385">
        <f t="shared" si="264"/>
        <v>30</v>
      </c>
      <c r="L162" s="379" t="s">
        <v>356</v>
      </c>
      <c r="M162" s="325">
        <f t="shared" si="265"/>
        <v>2.77</v>
      </c>
      <c r="N162" s="380">
        <f t="shared" si="266"/>
        <v>1.0105211406096364</v>
      </c>
      <c r="O162" s="381" t="e">
        <f t="shared" si="267"/>
        <v>#VALUE!</v>
      </c>
      <c r="P162" s="169" t="s">
        <v>103</v>
      </c>
      <c r="Q162" s="114" t="e">
        <f t="shared" si="267"/>
        <v>#VALUE!</v>
      </c>
      <c r="R162" s="115" t="e">
        <f t="shared" si="267"/>
        <v>#VALUE!</v>
      </c>
      <c r="S162" s="115" t="e">
        <f t="shared" si="267"/>
        <v>#VALUE!</v>
      </c>
      <c r="T162" s="115" t="e">
        <f t="shared" si="267"/>
        <v>#VALUE!</v>
      </c>
      <c r="U162" s="115" t="e">
        <f t="shared" si="267"/>
        <v>#VALUE!</v>
      </c>
      <c r="V162" s="115" t="e">
        <f t="shared" si="267"/>
        <v>#VALUE!</v>
      </c>
      <c r="W162" s="115" t="e">
        <f t="shared" si="267"/>
        <v>#VALUE!</v>
      </c>
      <c r="X162" s="115" t="e">
        <f t="shared" si="267"/>
        <v>#VALUE!</v>
      </c>
      <c r="Y162" s="115" t="e">
        <f t="shared" si="267"/>
        <v>#VALUE!</v>
      </c>
      <c r="Z162" s="115" t="e">
        <f t="shared" si="268"/>
        <v>#VALUE!</v>
      </c>
      <c r="AA162" s="115" t="e">
        <f t="shared" si="268"/>
        <v>#VALUE!</v>
      </c>
      <c r="AB162" s="115" t="e">
        <f t="shared" si="268"/>
        <v>#VALUE!</v>
      </c>
      <c r="AC162" s="115" t="e">
        <f t="shared" si="268"/>
        <v>#VALUE!</v>
      </c>
      <c r="AD162" s="115" t="e">
        <f t="shared" si="268"/>
        <v>#VALUE!</v>
      </c>
      <c r="AE162" s="115" t="e">
        <f t="shared" si="268"/>
        <v>#VALUE!</v>
      </c>
      <c r="AF162" s="115" t="e">
        <f t="shared" si="268"/>
        <v>#VALUE!</v>
      </c>
      <c r="AG162" s="115" t="e">
        <f t="shared" si="268"/>
        <v>#VALUE!</v>
      </c>
      <c r="AH162" s="115" t="e">
        <f t="shared" si="268"/>
        <v>#VALUE!</v>
      </c>
      <c r="AI162" s="115" t="e">
        <f t="shared" si="268"/>
        <v>#VALUE!</v>
      </c>
      <c r="AJ162" s="115" t="e">
        <f t="shared" si="269"/>
        <v>#VALUE!</v>
      </c>
      <c r="AK162" s="115" t="e">
        <f t="shared" si="269"/>
        <v>#VALUE!</v>
      </c>
      <c r="AL162" s="115" t="e">
        <f t="shared" si="269"/>
        <v>#VALUE!</v>
      </c>
      <c r="AM162" s="115" t="e">
        <f t="shared" si="269"/>
        <v>#VALUE!</v>
      </c>
      <c r="AN162" s="115" t="e">
        <f t="shared" si="269"/>
        <v>#VALUE!</v>
      </c>
      <c r="AO162" s="115" t="e">
        <f t="shared" si="269"/>
        <v>#VALUE!</v>
      </c>
      <c r="AP162" s="115" t="e">
        <f t="shared" si="269"/>
        <v>#VALUE!</v>
      </c>
      <c r="AQ162" s="115" t="e">
        <f t="shared" si="269"/>
        <v>#VALUE!</v>
      </c>
      <c r="AR162" s="115" t="e">
        <f t="shared" si="269"/>
        <v>#VALUE!</v>
      </c>
      <c r="AS162" s="115" t="e">
        <f t="shared" si="269"/>
        <v>#VALUE!</v>
      </c>
      <c r="AT162" s="115" t="e">
        <f t="shared" si="270"/>
        <v>#VALUE!</v>
      </c>
      <c r="AU162" s="115" t="e">
        <f t="shared" si="270"/>
        <v>#VALUE!</v>
      </c>
      <c r="AV162" s="115" t="e">
        <f t="shared" si="270"/>
        <v>#VALUE!</v>
      </c>
      <c r="AW162" s="115" t="e">
        <f t="shared" si="270"/>
        <v>#VALUE!</v>
      </c>
      <c r="AX162" s="115" t="e">
        <f t="shared" si="270"/>
        <v>#VALUE!</v>
      </c>
      <c r="AY162" s="115" t="e">
        <f t="shared" si="270"/>
        <v>#VALUE!</v>
      </c>
      <c r="AZ162" s="115" t="e">
        <f t="shared" si="270"/>
        <v>#VALUE!</v>
      </c>
      <c r="BA162" s="115" t="e">
        <f t="shared" si="270"/>
        <v>#VALUE!</v>
      </c>
      <c r="BB162" s="115" t="e">
        <f t="shared" si="270"/>
        <v>#VALUE!</v>
      </c>
      <c r="BC162" s="115" t="e">
        <f t="shared" si="270"/>
        <v>#VALUE!</v>
      </c>
      <c r="BD162" s="115" t="e">
        <f t="shared" si="271"/>
        <v>#VALUE!</v>
      </c>
      <c r="BE162" s="115" t="e">
        <f t="shared" si="271"/>
        <v>#VALUE!</v>
      </c>
      <c r="BF162" s="115" t="e">
        <f t="shared" si="271"/>
        <v>#VALUE!</v>
      </c>
      <c r="BG162" s="115" t="e">
        <f t="shared" si="271"/>
        <v>#VALUE!</v>
      </c>
      <c r="BH162" s="115" t="e">
        <f t="shared" si="271"/>
        <v>#VALUE!</v>
      </c>
      <c r="BI162" s="115" t="e">
        <f t="shared" si="271"/>
        <v>#VALUE!</v>
      </c>
      <c r="BJ162" s="115" t="e">
        <f t="shared" si="271"/>
        <v>#VALUE!</v>
      </c>
      <c r="BK162" s="115" t="e">
        <f t="shared" si="271"/>
        <v>#VALUE!</v>
      </c>
      <c r="BL162" s="115" t="e">
        <f t="shared" si="271"/>
        <v>#VALUE!</v>
      </c>
      <c r="BM162" s="115" t="e">
        <f t="shared" si="271"/>
        <v>#VALUE!</v>
      </c>
      <c r="BN162" s="115" t="e">
        <f t="shared" si="272"/>
        <v>#VALUE!</v>
      </c>
      <c r="BO162" s="115" t="e">
        <f t="shared" si="272"/>
        <v>#VALUE!</v>
      </c>
      <c r="BP162" s="115" t="e">
        <f t="shared" si="272"/>
        <v>#VALUE!</v>
      </c>
      <c r="BQ162" s="115" t="e">
        <f t="shared" si="272"/>
        <v>#VALUE!</v>
      </c>
      <c r="BR162" s="115" t="e">
        <f t="shared" si="272"/>
        <v>#VALUE!</v>
      </c>
      <c r="BS162" s="115" t="e">
        <f t="shared" si="272"/>
        <v>#VALUE!</v>
      </c>
      <c r="BT162" s="115" t="e">
        <f t="shared" si="272"/>
        <v>#VALUE!</v>
      </c>
      <c r="BU162" s="115" t="e">
        <f t="shared" si="272"/>
        <v>#VALUE!</v>
      </c>
      <c r="BV162" s="115" t="e">
        <f t="shared" si="272"/>
        <v>#VALUE!</v>
      </c>
      <c r="BW162" s="115" t="e">
        <f t="shared" si="272"/>
        <v>#VALUE!</v>
      </c>
      <c r="BX162" s="115" t="e">
        <f t="shared" si="273"/>
        <v>#VALUE!</v>
      </c>
      <c r="BY162" s="115" t="e">
        <f t="shared" si="273"/>
        <v>#VALUE!</v>
      </c>
      <c r="BZ162" s="115" t="e">
        <f t="shared" si="273"/>
        <v>#VALUE!</v>
      </c>
      <c r="CA162" s="115" t="e">
        <f t="shared" si="273"/>
        <v>#VALUE!</v>
      </c>
      <c r="CB162" s="115" t="e">
        <f t="shared" si="273"/>
        <v>#VALUE!</v>
      </c>
      <c r="CC162" s="115" t="e">
        <f t="shared" si="273"/>
        <v>#VALUE!</v>
      </c>
      <c r="CD162" s="115" t="e">
        <f t="shared" si="273"/>
        <v>#VALUE!</v>
      </c>
      <c r="CE162" s="115" t="e">
        <f t="shared" si="273"/>
        <v>#VALUE!</v>
      </c>
      <c r="CF162" s="115" t="e">
        <f t="shared" si="273"/>
        <v>#VALUE!</v>
      </c>
      <c r="CG162" s="115" t="e">
        <f t="shared" si="273"/>
        <v>#VALUE!</v>
      </c>
      <c r="CH162" s="115" t="e">
        <f t="shared" si="274"/>
        <v>#VALUE!</v>
      </c>
      <c r="CI162" s="115" t="e">
        <f t="shared" si="274"/>
        <v>#VALUE!</v>
      </c>
      <c r="CJ162" s="115" t="e">
        <f t="shared" si="274"/>
        <v>#VALUE!</v>
      </c>
      <c r="CK162" s="115" t="e">
        <f t="shared" si="274"/>
        <v>#VALUE!</v>
      </c>
      <c r="CL162" s="115" t="e">
        <f t="shared" si="274"/>
        <v>#VALUE!</v>
      </c>
      <c r="CM162" s="115" t="e">
        <f t="shared" si="274"/>
        <v>#VALUE!</v>
      </c>
      <c r="CN162" s="115" t="e">
        <f t="shared" si="274"/>
        <v>#VALUE!</v>
      </c>
      <c r="CO162" s="115" t="e">
        <f t="shared" si="274"/>
        <v>#VALUE!</v>
      </c>
      <c r="CP162" s="115" t="e">
        <f t="shared" si="274"/>
        <v>#VALUE!</v>
      </c>
      <c r="CQ162" s="115" t="e">
        <f t="shared" si="274"/>
        <v>#VALUE!</v>
      </c>
      <c r="CR162" s="115" t="e">
        <f t="shared" si="275"/>
        <v>#VALUE!</v>
      </c>
      <c r="CS162" s="115" t="e">
        <f t="shared" si="275"/>
        <v>#VALUE!</v>
      </c>
      <c r="CT162" s="115" t="e">
        <f t="shared" si="275"/>
        <v>#VALUE!</v>
      </c>
      <c r="CU162" s="115" t="e">
        <f t="shared" si="275"/>
        <v>#VALUE!</v>
      </c>
      <c r="CV162" s="115" t="e">
        <f t="shared" si="275"/>
        <v>#VALUE!</v>
      </c>
      <c r="CW162" s="115" t="e">
        <f t="shared" si="275"/>
        <v>#VALUE!</v>
      </c>
      <c r="CX162" s="115" t="e">
        <f t="shared" si="275"/>
        <v>#VALUE!</v>
      </c>
      <c r="CY162" s="115" t="e">
        <f t="shared" si="275"/>
        <v>#VALUE!</v>
      </c>
      <c r="CZ162" s="115" t="e">
        <f t="shared" si="275"/>
        <v>#VALUE!</v>
      </c>
      <c r="DA162" s="115" t="e">
        <f t="shared" si="275"/>
        <v>#VALUE!</v>
      </c>
      <c r="DB162" s="115" t="e">
        <f t="shared" si="276"/>
        <v>#VALUE!</v>
      </c>
      <c r="DC162" s="115" t="e">
        <f t="shared" si="276"/>
        <v>#VALUE!</v>
      </c>
      <c r="DD162" s="115" t="e">
        <f t="shared" si="276"/>
        <v>#VALUE!</v>
      </c>
      <c r="DE162" s="115" t="e">
        <f t="shared" si="276"/>
        <v>#VALUE!</v>
      </c>
      <c r="DF162" s="115" t="e">
        <f t="shared" si="276"/>
        <v>#VALUE!</v>
      </c>
      <c r="DG162" s="115" t="e">
        <f t="shared" si="276"/>
        <v>#VALUE!</v>
      </c>
      <c r="DH162" s="115" t="e">
        <f t="shared" si="276"/>
        <v>#VALUE!</v>
      </c>
      <c r="DI162" s="115" t="e">
        <f t="shared" si="276"/>
        <v>#VALUE!</v>
      </c>
      <c r="DJ162" s="115" t="e">
        <f t="shared" si="276"/>
        <v>#VALUE!</v>
      </c>
      <c r="DK162" s="115" t="e">
        <f t="shared" si="276"/>
        <v>#VALUE!</v>
      </c>
      <c r="DL162" s="115" t="e">
        <f t="shared" si="276"/>
        <v>#VALUE!</v>
      </c>
      <c r="DM162" s="115" t="e">
        <f t="shared" si="276"/>
        <v>#VALUE!</v>
      </c>
    </row>
    <row r="163" spans="1:117" ht="15" customHeight="1" thickBot="1">
      <c r="A163" s="55">
        <v>17100</v>
      </c>
      <c r="B163" s="194" t="s">
        <v>728</v>
      </c>
      <c r="C163" s="194" t="s">
        <v>921</v>
      </c>
      <c r="D163" s="194" t="s">
        <v>177</v>
      </c>
      <c r="E163" s="194" t="s">
        <v>178</v>
      </c>
      <c r="F163" s="194" t="s">
        <v>1128</v>
      </c>
      <c r="G163" s="291" t="e">
        <f t="shared" si="263"/>
        <v>#VALUE!</v>
      </c>
      <c r="H163" s="292" t="e">
        <f>VLOOKUP("E4.C",Errichtungskosten,12,0) *VLOOKUP("PFAKT",Instandsetzung,5,0)</f>
        <v>#VALUE!</v>
      </c>
      <c r="I163" s="168"/>
      <c r="J163" s="194" t="s">
        <v>850</v>
      </c>
      <c r="K163" s="385">
        <f t="shared" si="264"/>
        <v>1000</v>
      </c>
      <c r="L163" s="379" t="s">
        <v>356</v>
      </c>
      <c r="M163" s="325">
        <f t="shared" si="265"/>
        <v>2.77</v>
      </c>
      <c r="N163" s="380">
        <f t="shared" si="266"/>
        <v>1.0105211406096364</v>
      </c>
      <c r="O163" s="381" t="e">
        <f t="shared" si="267"/>
        <v>#VALUE!</v>
      </c>
      <c r="P163" s="169" t="s">
        <v>103</v>
      </c>
      <c r="Q163" s="114" t="e">
        <f t="shared" si="267"/>
        <v>#VALUE!</v>
      </c>
      <c r="R163" s="115" t="e">
        <f t="shared" si="267"/>
        <v>#VALUE!</v>
      </c>
      <c r="S163" s="115" t="e">
        <f t="shared" si="267"/>
        <v>#VALUE!</v>
      </c>
      <c r="T163" s="115" t="e">
        <f t="shared" si="267"/>
        <v>#VALUE!</v>
      </c>
      <c r="U163" s="115" t="e">
        <f t="shared" si="267"/>
        <v>#VALUE!</v>
      </c>
      <c r="V163" s="115" t="e">
        <f t="shared" si="267"/>
        <v>#VALUE!</v>
      </c>
      <c r="W163" s="115" t="e">
        <f t="shared" si="267"/>
        <v>#VALUE!</v>
      </c>
      <c r="X163" s="115" t="e">
        <f t="shared" si="267"/>
        <v>#VALUE!</v>
      </c>
      <c r="Y163" s="115" t="e">
        <f t="shared" si="267"/>
        <v>#VALUE!</v>
      </c>
      <c r="Z163" s="115" t="e">
        <f t="shared" si="268"/>
        <v>#VALUE!</v>
      </c>
      <c r="AA163" s="115" t="e">
        <f t="shared" si="268"/>
        <v>#VALUE!</v>
      </c>
      <c r="AB163" s="115" t="e">
        <f t="shared" si="268"/>
        <v>#VALUE!</v>
      </c>
      <c r="AC163" s="115" t="e">
        <f t="shared" si="268"/>
        <v>#VALUE!</v>
      </c>
      <c r="AD163" s="115" t="e">
        <f t="shared" si="268"/>
        <v>#VALUE!</v>
      </c>
      <c r="AE163" s="115" t="e">
        <f t="shared" si="268"/>
        <v>#VALUE!</v>
      </c>
      <c r="AF163" s="115" t="e">
        <f t="shared" si="268"/>
        <v>#VALUE!</v>
      </c>
      <c r="AG163" s="115" t="e">
        <f t="shared" si="268"/>
        <v>#VALUE!</v>
      </c>
      <c r="AH163" s="115" t="e">
        <f t="shared" si="268"/>
        <v>#VALUE!</v>
      </c>
      <c r="AI163" s="115" t="e">
        <f t="shared" si="268"/>
        <v>#VALUE!</v>
      </c>
      <c r="AJ163" s="115" t="e">
        <f t="shared" si="269"/>
        <v>#VALUE!</v>
      </c>
      <c r="AK163" s="115" t="e">
        <f t="shared" si="269"/>
        <v>#VALUE!</v>
      </c>
      <c r="AL163" s="115" t="e">
        <f t="shared" si="269"/>
        <v>#VALUE!</v>
      </c>
      <c r="AM163" s="115" t="e">
        <f t="shared" si="269"/>
        <v>#VALUE!</v>
      </c>
      <c r="AN163" s="115" t="e">
        <f t="shared" si="269"/>
        <v>#VALUE!</v>
      </c>
      <c r="AO163" s="115" t="e">
        <f t="shared" si="269"/>
        <v>#VALUE!</v>
      </c>
      <c r="AP163" s="115" t="e">
        <f t="shared" si="269"/>
        <v>#VALUE!</v>
      </c>
      <c r="AQ163" s="115" t="e">
        <f t="shared" si="269"/>
        <v>#VALUE!</v>
      </c>
      <c r="AR163" s="115" t="e">
        <f t="shared" si="269"/>
        <v>#VALUE!</v>
      </c>
      <c r="AS163" s="115" t="e">
        <f t="shared" si="269"/>
        <v>#VALUE!</v>
      </c>
      <c r="AT163" s="115" t="e">
        <f t="shared" si="270"/>
        <v>#VALUE!</v>
      </c>
      <c r="AU163" s="115" t="e">
        <f t="shared" si="270"/>
        <v>#VALUE!</v>
      </c>
      <c r="AV163" s="115" t="e">
        <f t="shared" si="270"/>
        <v>#VALUE!</v>
      </c>
      <c r="AW163" s="115" t="e">
        <f t="shared" si="270"/>
        <v>#VALUE!</v>
      </c>
      <c r="AX163" s="115" t="e">
        <f t="shared" si="270"/>
        <v>#VALUE!</v>
      </c>
      <c r="AY163" s="115" t="e">
        <f t="shared" si="270"/>
        <v>#VALUE!</v>
      </c>
      <c r="AZ163" s="115" t="e">
        <f t="shared" si="270"/>
        <v>#VALUE!</v>
      </c>
      <c r="BA163" s="115" t="e">
        <f t="shared" si="270"/>
        <v>#VALUE!</v>
      </c>
      <c r="BB163" s="115" t="e">
        <f t="shared" si="270"/>
        <v>#VALUE!</v>
      </c>
      <c r="BC163" s="115" t="e">
        <f t="shared" si="270"/>
        <v>#VALUE!</v>
      </c>
      <c r="BD163" s="115" t="e">
        <f t="shared" si="271"/>
        <v>#VALUE!</v>
      </c>
      <c r="BE163" s="115" t="e">
        <f t="shared" si="271"/>
        <v>#VALUE!</v>
      </c>
      <c r="BF163" s="115" t="e">
        <f t="shared" si="271"/>
        <v>#VALUE!</v>
      </c>
      <c r="BG163" s="115" t="e">
        <f t="shared" si="271"/>
        <v>#VALUE!</v>
      </c>
      <c r="BH163" s="115" t="e">
        <f t="shared" si="271"/>
        <v>#VALUE!</v>
      </c>
      <c r="BI163" s="115" t="e">
        <f t="shared" si="271"/>
        <v>#VALUE!</v>
      </c>
      <c r="BJ163" s="115" t="e">
        <f t="shared" si="271"/>
        <v>#VALUE!</v>
      </c>
      <c r="BK163" s="115" t="e">
        <f t="shared" si="271"/>
        <v>#VALUE!</v>
      </c>
      <c r="BL163" s="115" t="e">
        <f t="shared" si="271"/>
        <v>#VALUE!</v>
      </c>
      <c r="BM163" s="115" t="e">
        <f t="shared" si="271"/>
        <v>#VALUE!</v>
      </c>
      <c r="BN163" s="115" t="e">
        <f t="shared" si="272"/>
        <v>#VALUE!</v>
      </c>
      <c r="BO163" s="115" t="e">
        <f t="shared" si="272"/>
        <v>#VALUE!</v>
      </c>
      <c r="BP163" s="115" t="e">
        <f t="shared" si="272"/>
        <v>#VALUE!</v>
      </c>
      <c r="BQ163" s="115" t="e">
        <f t="shared" si="272"/>
        <v>#VALUE!</v>
      </c>
      <c r="BR163" s="115" t="e">
        <f t="shared" si="272"/>
        <v>#VALUE!</v>
      </c>
      <c r="BS163" s="115" t="e">
        <f t="shared" si="272"/>
        <v>#VALUE!</v>
      </c>
      <c r="BT163" s="115" t="e">
        <f t="shared" si="272"/>
        <v>#VALUE!</v>
      </c>
      <c r="BU163" s="115" t="e">
        <f t="shared" si="272"/>
        <v>#VALUE!</v>
      </c>
      <c r="BV163" s="115" t="e">
        <f t="shared" si="272"/>
        <v>#VALUE!</v>
      </c>
      <c r="BW163" s="115" t="e">
        <f t="shared" si="272"/>
        <v>#VALUE!</v>
      </c>
      <c r="BX163" s="115" t="e">
        <f t="shared" si="273"/>
        <v>#VALUE!</v>
      </c>
      <c r="BY163" s="115" t="e">
        <f t="shared" si="273"/>
        <v>#VALUE!</v>
      </c>
      <c r="BZ163" s="115" t="e">
        <f t="shared" si="273"/>
        <v>#VALUE!</v>
      </c>
      <c r="CA163" s="115" t="e">
        <f t="shared" si="273"/>
        <v>#VALUE!</v>
      </c>
      <c r="CB163" s="115" t="e">
        <f t="shared" si="273"/>
        <v>#VALUE!</v>
      </c>
      <c r="CC163" s="115" t="e">
        <f t="shared" si="273"/>
        <v>#VALUE!</v>
      </c>
      <c r="CD163" s="115" t="e">
        <f t="shared" si="273"/>
        <v>#VALUE!</v>
      </c>
      <c r="CE163" s="115" t="e">
        <f t="shared" si="273"/>
        <v>#VALUE!</v>
      </c>
      <c r="CF163" s="115" t="e">
        <f t="shared" si="273"/>
        <v>#VALUE!</v>
      </c>
      <c r="CG163" s="115" t="e">
        <f t="shared" si="273"/>
        <v>#VALUE!</v>
      </c>
      <c r="CH163" s="115" t="e">
        <f t="shared" si="274"/>
        <v>#VALUE!</v>
      </c>
      <c r="CI163" s="115" t="e">
        <f t="shared" si="274"/>
        <v>#VALUE!</v>
      </c>
      <c r="CJ163" s="115" t="e">
        <f t="shared" si="274"/>
        <v>#VALUE!</v>
      </c>
      <c r="CK163" s="115" t="e">
        <f t="shared" si="274"/>
        <v>#VALUE!</v>
      </c>
      <c r="CL163" s="115" t="e">
        <f t="shared" si="274"/>
        <v>#VALUE!</v>
      </c>
      <c r="CM163" s="115" t="e">
        <f t="shared" si="274"/>
        <v>#VALUE!</v>
      </c>
      <c r="CN163" s="115" t="e">
        <f t="shared" si="274"/>
        <v>#VALUE!</v>
      </c>
      <c r="CO163" s="115" t="e">
        <f t="shared" si="274"/>
        <v>#VALUE!</v>
      </c>
      <c r="CP163" s="115" t="e">
        <f t="shared" si="274"/>
        <v>#VALUE!</v>
      </c>
      <c r="CQ163" s="115" t="e">
        <f t="shared" si="274"/>
        <v>#VALUE!</v>
      </c>
      <c r="CR163" s="115" t="e">
        <f t="shared" si="275"/>
        <v>#VALUE!</v>
      </c>
      <c r="CS163" s="115" t="e">
        <f t="shared" si="275"/>
        <v>#VALUE!</v>
      </c>
      <c r="CT163" s="115" t="e">
        <f t="shared" si="275"/>
        <v>#VALUE!</v>
      </c>
      <c r="CU163" s="115" t="e">
        <f t="shared" si="275"/>
        <v>#VALUE!</v>
      </c>
      <c r="CV163" s="115" t="e">
        <f t="shared" si="275"/>
        <v>#VALUE!</v>
      </c>
      <c r="CW163" s="115" t="e">
        <f t="shared" si="275"/>
        <v>#VALUE!</v>
      </c>
      <c r="CX163" s="115" t="e">
        <f t="shared" si="275"/>
        <v>#VALUE!</v>
      </c>
      <c r="CY163" s="115" t="e">
        <f t="shared" si="275"/>
        <v>#VALUE!</v>
      </c>
      <c r="CZ163" s="115" t="e">
        <f t="shared" si="275"/>
        <v>#VALUE!</v>
      </c>
      <c r="DA163" s="115" t="e">
        <f t="shared" si="275"/>
        <v>#VALUE!</v>
      </c>
      <c r="DB163" s="115" t="e">
        <f t="shared" si="276"/>
        <v>#VALUE!</v>
      </c>
      <c r="DC163" s="115" t="e">
        <f t="shared" si="276"/>
        <v>#VALUE!</v>
      </c>
      <c r="DD163" s="115" t="e">
        <f t="shared" si="276"/>
        <v>#VALUE!</v>
      </c>
      <c r="DE163" s="115" t="e">
        <f t="shared" si="276"/>
        <v>#VALUE!</v>
      </c>
      <c r="DF163" s="115" t="e">
        <f t="shared" si="276"/>
        <v>#VALUE!</v>
      </c>
      <c r="DG163" s="115" t="e">
        <f t="shared" si="276"/>
        <v>#VALUE!</v>
      </c>
      <c r="DH163" s="115" t="e">
        <f t="shared" si="276"/>
        <v>#VALUE!</v>
      </c>
      <c r="DI163" s="115" t="e">
        <f t="shared" si="276"/>
        <v>#VALUE!</v>
      </c>
      <c r="DJ163" s="115" t="e">
        <f t="shared" si="276"/>
        <v>#VALUE!</v>
      </c>
      <c r="DK163" s="115" t="e">
        <f t="shared" si="276"/>
        <v>#VALUE!</v>
      </c>
      <c r="DL163" s="115" t="e">
        <f t="shared" si="276"/>
        <v>#VALUE!</v>
      </c>
      <c r="DM163" s="115" t="e">
        <f t="shared" si="276"/>
        <v>#VALUE!</v>
      </c>
    </row>
    <row r="164" spans="1:117" ht="15" customHeight="1" thickBot="1">
      <c r="A164" s="293">
        <v>17200</v>
      </c>
      <c r="B164" s="172" t="s">
        <v>743</v>
      </c>
      <c r="C164" s="172" t="s">
        <v>922</v>
      </c>
      <c r="D164" s="172" t="s">
        <v>166</v>
      </c>
      <c r="E164" s="172"/>
      <c r="F164" s="172"/>
      <c r="G164" s="172"/>
      <c r="H164" s="172"/>
      <c r="I164" s="172"/>
      <c r="J164" s="172"/>
      <c r="K164" s="386"/>
      <c r="L164" s="172"/>
      <c r="M164" s="293"/>
      <c r="N164" s="293"/>
      <c r="O164" s="376" t="e">
        <f>SUM(O165,O167:O168,O170:O174)</f>
        <v>#VALUE!</v>
      </c>
      <c r="P164" s="377" t="s">
        <v>103</v>
      </c>
      <c r="Q164" s="116"/>
      <c r="R164" s="116"/>
      <c r="S164" s="116"/>
      <c r="T164" s="116"/>
      <c r="U164" s="116"/>
      <c r="V164" s="116"/>
      <c r="W164" s="116"/>
      <c r="X164" s="116"/>
      <c r="Y164" s="116"/>
      <c r="Z164" s="116"/>
      <c r="AA164" s="116"/>
      <c r="AB164" s="116"/>
      <c r="AC164" s="116"/>
      <c r="AD164" s="116"/>
      <c r="AE164" s="116"/>
      <c r="AF164" s="116"/>
      <c r="AG164" s="116"/>
      <c r="AH164" s="116"/>
      <c r="AI164" s="116"/>
      <c r="AJ164" s="116"/>
      <c r="AK164" s="116"/>
      <c r="AL164" s="116"/>
      <c r="AM164" s="116"/>
      <c r="AN164" s="116"/>
      <c r="AO164" s="116"/>
      <c r="AP164" s="116"/>
      <c r="AQ164" s="116"/>
      <c r="AR164" s="116"/>
      <c r="AS164" s="116"/>
      <c r="AT164" s="116"/>
      <c r="AU164" s="116"/>
      <c r="AV164" s="116"/>
      <c r="AW164" s="116"/>
      <c r="AX164" s="116"/>
      <c r="AY164" s="116"/>
      <c r="AZ164" s="116"/>
      <c r="BA164" s="116"/>
      <c r="BB164" s="116"/>
      <c r="BC164" s="116"/>
      <c r="BD164" s="116"/>
      <c r="BE164" s="116"/>
      <c r="BF164" s="116"/>
      <c r="BG164" s="116"/>
      <c r="BH164" s="116"/>
      <c r="BI164" s="116"/>
      <c r="BJ164" s="116"/>
      <c r="BK164" s="116"/>
      <c r="BL164" s="116"/>
      <c r="BM164" s="116"/>
      <c r="BN164" s="116"/>
      <c r="BO164" s="116"/>
      <c r="BP164" s="116"/>
      <c r="BQ164" s="116"/>
      <c r="BR164" s="116"/>
      <c r="BS164" s="116"/>
      <c r="BT164" s="116"/>
      <c r="BU164" s="116"/>
      <c r="BV164" s="116"/>
      <c r="BW164" s="116"/>
      <c r="BX164" s="116"/>
      <c r="BY164" s="116"/>
      <c r="BZ164" s="116"/>
      <c r="CA164" s="116"/>
      <c r="CB164" s="116"/>
      <c r="CC164" s="116"/>
      <c r="CD164" s="116"/>
      <c r="CE164" s="116"/>
      <c r="CF164" s="116"/>
      <c r="CG164" s="116"/>
      <c r="CH164" s="116"/>
      <c r="CI164" s="116"/>
      <c r="CJ164" s="116"/>
      <c r="CK164" s="116"/>
      <c r="CL164" s="116"/>
      <c r="CM164" s="116"/>
      <c r="CN164" s="116"/>
      <c r="CO164" s="116"/>
      <c r="CP164" s="116"/>
      <c r="CQ164" s="116"/>
      <c r="CR164" s="116"/>
      <c r="CS164" s="116"/>
      <c r="CT164" s="116"/>
      <c r="CU164" s="116"/>
      <c r="CV164" s="116"/>
      <c r="CW164" s="116"/>
      <c r="CX164" s="116"/>
      <c r="CY164" s="116"/>
      <c r="CZ164" s="116"/>
      <c r="DA164" s="116"/>
      <c r="DB164" s="116"/>
      <c r="DC164" s="116"/>
      <c r="DD164" s="116"/>
      <c r="DE164" s="116"/>
      <c r="DF164" s="116"/>
      <c r="DG164" s="116"/>
      <c r="DH164" s="116"/>
      <c r="DI164" s="116"/>
      <c r="DJ164" s="116"/>
      <c r="DK164" s="116"/>
      <c r="DL164" s="116"/>
      <c r="DM164" s="116"/>
    </row>
    <row r="165" spans="1:117" ht="15" customHeight="1" thickBot="1">
      <c r="A165" s="55">
        <v>17300</v>
      </c>
      <c r="B165" s="194" t="s">
        <v>728</v>
      </c>
      <c r="C165" s="194" t="s">
        <v>923</v>
      </c>
      <c r="D165" s="194" t="s">
        <v>164</v>
      </c>
      <c r="E165" s="194" t="s">
        <v>165</v>
      </c>
      <c r="F165" s="194" t="s">
        <v>1129</v>
      </c>
      <c r="G165" s="291" t="e">
        <f t="shared" ref="G165" si="277">IF(I165="",H165,I165)</f>
        <v>#VALUE!</v>
      </c>
      <c r="H165" s="292" t="e">
        <f>VLOOKUP("E4.D.01",Errichtungskosten,12,0) *VLOOKUP("PFAKT",Instandsetzung,5,0)</f>
        <v>#VALUE!</v>
      </c>
      <c r="I165" s="168"/>
      <c r="J165" s="194" t="s">
        <v>850</v>
      </c>
      <c r="K165" s="385">
        <f>IF(ISNUMBER(VLOOKUP(E165,Nutzungsdauern,5,0)),VLOOKUP(E165,Nutzungsdauern,5,0),1000)</f>
        <v>20</v>
      </c>
      <c r="L165" s="379" t="s">
        <v>356</v>
      </c>
      <c r="M165" s="325">
        <f>VLOOKUP(L165,Finanzielle_Parameter,5,0)</f>
        <v>2.77</v>
      </c>
      <c r="N165" s="380">
        <f>(1+VLOOKUP(L165,Finanzielle_Parameter,5,0)/100)/(1+VLOOKUP("R",Finanzielle_Parameter,5,0)/100)</f>
        <v>1.0105211406096364</v>
      </c>
      <c r="O165" s="381" t="e">
        <f t="shared" ref="O165:AU165" si="278">IF($N165&lt;&gt;1,$G165*($N165^$K165)*(($N165^($K165*INT(O$2/$K165))-1)/($N165^$K165-1)),$G165*INT(O$2/$K165))</f>
        <v>#VALUE!</v>
      </c>
      <c r="P165" s="169" t="s">
        <v>103</v>
      </c>
      <c r="Q165" s="114" t="e">
        <f t="shared" si="278"/>
        <v>#VALUE!</v>
      </c>
      <c r="R165" s="115" t="e">
        <f t="shared" si="278"/>
        <v>#VALUE!</v>
      </c>
      <c r="S165" s="115" t="e">
        <f t="shared" si="278"/>
        <v>#VALUE!</v>
      </c>
      <c r="T165" s="115" t="e">
        <f t="shared" si="278"/>
        <v>#VALUE!</v>
      </c>
      <c r="U165" s="115" t="e">
        <f t="shared" si="278"/>
        <v>#VALUE!</v>
      </c>
      <c r="V165" s="115" t="e">
        <f t="shared" si="278"/>
        <v>#VALUE!</v>
      </c>
      <c r="W165" s="115" t="e">
        <f t="shared" si="278"/>
        <v>#VALUE!</v>
      </c>
      <c r="X165" s="115" t="e">
        <f t="shared" si="278"/>
        <v>#VALUE!</v>
      </c>
      <c r="Y165" s="115" t="e">
        <f t="shared" si="278"/>
        <v>#VALUE!</v>
      </c>
      <c r="Z165" s="115" t="e">
        <f t="shared" si="278"/>
        <v>#VALUE!</v>
      </c>
      <c r="AA165" s="115" t="e">
        <f t="shared" si="278"/>
        <v>#VALUE!</v>
      </c>
      <c r="AB165" s="115" t="e">
        <f t="shared" si="278"/>
        <v>#VALUE!</v>
      </c>
      <c r="AC165" s="115" t="e">
        <f t="shared" si="278"/>
        <v>#VALUE!</v>
      </c>
      <c r="AD165" s="115" t="e">
        <f t="shared" si="278"/>
        <v>#VALUE!</v>
      </c>
      <c r="AE165" s="115" t="e">
        <f t="shared" si="278"/>
        <v>#VALUE!</v>
      </c>
      <c r="AF165" s="115" t="e">
        <f t="shared" si="278"/>
        <v>#VALUE!</v>
      </c>
      <c r="AG165" s="115" t="e">
        <f t="shared" si="278"/>
        <v>#VALUE!</v>
      </c>
      <c r="AH165" s="115" t="e">
        <f t="shared" si="278"/>
        <v>#VALUE!</v>
      </c>
      <c r="AI165" s="115" t="e">
        <f t="shared" si="278"/>
        <v>#VALUE!</v>
      </c>
      <c r="AJ165" s="115" t="e">
        <f t="shared" si="278"/>
        <v>#VALUE!</v>
      </c>
      <c r="AK165" s="115" t="e">
        <f t="shared" si="278"/>
        <v>#VALUE!</v>
      </c>
      <c r="AL165" s="115" t="e">
        <f t="shared" si="278"/>
        <v>#VALUE!</v>
      </c>
      <c r="AM165" s="115" t="e">
        <f t="shared" si="278"/>
        <v>#VALUE!</v>
      </c>
      <c r="AN165" s="115" t="e">
        <f t="shared" si="278"/>
        <v>#VALUE!</v>
      </c>
      <c r="AO165" s="115" t="e">
        <f t="shared" si="278"/>
        <v>#VALUE!</v>
      </c>
      <c r="AP165" s="115" t="e">
        <f t="shared" si="278"/>
        <v>#VALUE!</v>
      </c>
      <c r="AQ165" s="115" t="e">
        <f t="shared" si="278"/>
        <v>#VALUE!</v>
      </c>
      <c r="AR165" s="115" t="e">
        <f t="shared" si="278"/>
        <v>#VALUE!</v>
      </c>
      <c r="AS165" s="115" t="e">
        <f t="shared" si="278"/>
        <v>#VALUE!</v>
      </c>
      <c r="AT165" s="115" t="e">
        <f t="shared" si="278"/>
        <v>#VALUE!</v>
      </c>
      <c r="AU165" s="115" t="e">
        <f t="shared" si="278"/>
        <v>#VALUE!</v>
      </c>
      <c r="AV165" s="115" t="e">
        <f t="shared" ref="AV165:CA165" si="279">IF($N165&lt;&gt;1,$G165*($N165^$K165)*(($N165^($K165*INT(AV$2/$K165))-1)/($N165^$K165-1)),$G165*INT(AV$2/$K165))</f>
        <v>#VALUE!</v>
      </c>
      <c r="AW165" s="115" t="e">
        <f t="shared" si="279"/>
        <v>#VALUE!</v>
      </c>
      <c r="AX165" s="115" t="e">
        <f t="shared" si="279"/>
        <v>#VALUE!</v>
      </c>
      <c r="AY165" s="115" t="e">
        <f t="shared" si="279"/>
        <v>#VALUE!</v>
      </c>
      <c r="AZ165" s="115" t="e">
        <f t="shared" si="279"/>
        <v>#VALUE!</v>
      </c>
      <c r="BA165" s="115" t="e">
        <f t="shared" si="279"/>
        <v>#VALUE!</v>
      </c>
      <c r="BB165" s="115" t="e">
        <f t="shared" si="279"/>
        <v>#VALUE!</v>
      </c>
      <c r="BC165" s="115" t="e">
        <f t="shared" si="279"/>
        <v>#VALUE!</v>
      </c>
      <c r="BD165" s="115" t="e">
        <f t="shared" si="279"/>
        <v>#VALUE!</v>
      </c>
      <c r="BE165" s="115" t="e">
        <f t="shared" si="279"/>
        <v>#VALUE!</v>
      </c>
      <c r="BF165" s="115" t="e">
        <f t="shared" si="279"/>
        <v>#VALUE!</v>
      </c>
      <c r="BG165" s="115" t="e">
        <f t="shared" si="279"/>
        <v>#VALUE!</v>
      </c>
      <c r="BH165" s="115" t="e">
        <f t="shared" si="279"/>
        <v>#VALUE!</v>
      </c>
      <c r="BI165" s="115" t="e">
        <f t="shared" si="279"/>
        <v>#VALUE!</v>
      </c>
      <c r="BJ165" s="115" t="e">
        <f t="shared" si="279"/>
        <v>#VALUE!</v>
      </c>
      <c r="BK165" s="115" t="e">
        <f t="shared" si="279"/>
        <v>#VALUE!</v>
      </c>
      <c r="BL165" s="115" t="e">
        <f t="shared" si="279"/>
        <v>#VALUE!</v>
      </c>
      <c r="BM165" s="115" t="e">
        <f t="shared" si="279"/>
        <v>#VALUE!</v>
      </c>
      <c r="BN165" s="115" t="e">
        <f t="shared" si="279"/>
        <v>#VALUE!</v>
      </c>
      <c r="BO165" s="115" t="e">
        <f t="shared" si="279"/>
        <v>#VALUE!</v>
      </c>
      <c r="BP165" s="115" t="e">
        <f t="shared" si="279"/>
        <v>#VALUE!</v>
      </c>
      <c r="BQ165" s="115" t="e">
        <f t="shared" si="279"/>
        <v>#VALUE!</v>
      </c>
      <c r="BR165" s="115" t="e">
        <f t="shared" si="279"/>
        <v>#VALUE!</v>
      </c>
      <c r="BS165" s="115" t="e">
        <f t="shared" si="279"/>
        <v>#VALUE!</v>
      </c>
      <c r="BT165" s="115" t="e">
        <f t="shared" si="279"/>
        <v>#VALUE!</v>
      </c>
      <c r="BU165" s="115" t="e">
        <f t="shared" si="279"/>
        <v>#VALUE!</v>
      </c>
      <c r="BV165" s="115" t="e">
        <f t="shared" si="279"/>
        <v>#VALUE!</v>
      </c>
      <c r="BW165" s="115" t="e">
        <f t="shared" si="279"/>
        <v>#VALUE!</v>
      </c>
      <c r="BX165" s="115" t="e">
        <f t="shared" si="279"/>
        <v>#VALUE!</v>
      </c>
      <c r="BY165" s="115" t="e">
        <f t="shared" si="279"/>
        <v>#VALUE!</v>
      </c>
      <c r="BZ165" s="115" t="e">
        <f t="shared" si="279"/>
        <v>#VALUE!</v>
      </c>
      <c r="CA165" s="115" t="e">
        <f t="shared" si="279"/>
        <v>#VALUE!</v>
      </c>
      <c r="CB165" s="115" t="e">
        <f t="shared" ref="CB165:DG165" si="280">IF($N165&lt;&gt;1,$G165*($N165^$K165)*(($N165^($K165*INT(CB$2/$K165))-1)/($N165^$K165-1)),$G165*INT(CB$2/$K165))</f>
        <v>#VALUE!</v>
      </c>
      <c r="CC165" s="115" t="e">
        <f t="shared" si="280"/>
        <v>#VALUE!</v>
      </c>
      <c r="CD165" s="115" t="e">
        <f t="shared" si="280"/>
        <v>#VALUE!</v>
      </c>
      <c r="CE165" s="115" t="e">
        <f t="shared" si="280"/>
        <v>#VALUE!</v>
      </c>
      <c r="CF165" s="115" t="e">
        <f t="shared" si="280"/>
        <v>#VALUE!</v>
      </c>
      <c r="CG165" s="115" t="e">
        <f t="shared" si="280"/>
        <v>#VALUE!</v>
      </c>
      <c r="CH165" s="115" t="e">
        <f t="shared" si="280"/>
        <v>#VALUE!</v>
      </c>
      <c r="CI165" s="115" t="e">
        <f t="shared" si="280"/>
        <v>#VALUE!</v>
      </c>
      <c r="CJ165" s="115" t="e">
        <f t="shared" si="280"/>
        <v>#VALUE!</v>
      </c>
      <c r="CK165" s="115" t="e">
        <f t="shared" si="280"/>
        <v>#VALUE!</v>
      </c>
      <c r="CL165" s="115" t="e">
        <f t="shared" si="280"/>
        <v>#VALUE!</v>
      </c>
      <c r="CM165" s="115" t="e">
        <f t="shared" si="280"/>
        <v>#VALUE!</v>
      </c>
      <c r="CN165" s="115" t="e">
        <f t="shared" si="280"/>
        <v>#VALUE!</v>
      </c>
      <c r="CO165" s="115" t="e">
        <f t="shared" si="280"/>
        <v>#VALUE!</v>
      </c>
      <c r="CP165" s="115" t="e">
        <f t="shared" si="280"/>
        <v>#VALUE!</v>
      </c>
      <c r="CQ165" s="115" t="e">
        <f t="shared" si="280"/>
        <v>#VALUE!</v>
      </c>
      <c r="CR165" s="115" t="e">
        <f t="shared" si="280"/>
        <v>#VALUE!</v>
      </c>
      <c r="CS165" s="115" t="e">
        <f t="shared" si="280"/>
        <v>#VALUE!</v>
      </c>
      <c r="CT165" s="115" t="e">
        <f t="shared" si="280"/>
        <v>#VALUE!</v>
      </c>
      <c r="CU165" s="115" t="e">
        <f t="shared" si="280"/>
        <v>#VALUE!</v>
      </c>
      <c r="CV165" s="115" t="e">
        <f t="shared" si="280"/>
        <v>#VALUE!</v>
      </c>
      <c r="CW165" s="115" t="e">
        <f t="shared" si="280"/>
        <v>#VALUE!</v>
      </c>
      <c r="CX165" s="115" t="e">
        <f t="shared" si="280"/>
        <v>#VALUE!</v>
      </c>
      <c r="CY165" s="115" t="e">
        <f t="shared" si="280"/>
        <v>#VALUE!</v>
      </c>
      <c r="CZ165" s="115" t="e">
        <f t="shared" si="280"/>
        <v>#VALUE!</v>
      </c>
      <c r="DA165" s="115" t="e">
        <f t="shared" si="280"/>
        <v>#VALUE!</v>
      </c>
      <c r="DB165" s="115" t="e">
        <f t="shared" si="280"/>
        <v>#VALUE!</v>
      </c>
      <c r="DC165" s="115" t="e">
        <f t="shared" si="280"/>
        <v>#VALUE!</v>
      </c>
      <c r="DD165" s="115" t="e">
        <f t="shared" si="280"/>
        <v>#VALUE!</v>
      </c>
      <c r="DE165" s="115" t="e">
        <f t="shared" si="280"/>
        <v>#VALUE!</v>
      </c>
      <c r="DF165" s="115" t="e">
        <f t="shared" si="280"/>
        <v>#VALUE!</v>
      </c>
      <c r="DG165" s="115" t="e">
        <f t="shared" si="280"/>
        <v>#VALUE!</v>
      </c>
      <c r="DH165" s="115" t="e">
        <f t="shared" ref="DH165:DM165" si="281">IF($N165&lt;&gt;1,$G165*($N165^$K165)*(($N165^($K165*INT(DH$2/$K165))-1)/($N165^$K165-1)),$G165*INT(DH$2/$K165))</f>
        <v>#VALUE!</v>
      </c>
      <c r="DI165" s="115" t="e">
        <f t="shared" si="281"/>
        <v>#VALUE!</v>
      </c>
      <c r="DJ165" s="115" t="e">
        <f t="shared" si="281"/>
        <v>#VALUE!</v>
      </c>
      <c r="DK165" s="115" t="e">
        <f t="shared" si="281"/>
        <v>#VALUE!</v>
      </c>
      <c r="DL165" s="115" t="e">
        <f t="shared" si="281"/>
        <v>#VALUE!</v>
      </c>
      <c r="DM165" s="115" t="e">
        <f t="shared" si="281"/>
        <v>#VALUE!</v>
      </c>
    </row>
    <row r="166" spans="1:117" ht="15" customHeight="1" thickBot="1">
      <c r="A166" s="293">
        <v>17400</v>
      </c>
      <c r="B166" s="172" t="s">
        <v>743</v>
      </c>
      <c r="C166" s="172" t="s">
        <v>924</v>
      </c>
      <c r="D166" s="172" t="s">
        <v>162</v>
      </c>
      <c r="E166" s="172"/>
      <c r="F166" s="172"/>
      <c r="G166" s="172"/>
      <c r="H166" s="172"/>
      <c r="I166" s="172"/>
      <c r="J166" s="172"/>
      <c r="K166" s="386"/>
      <c r="L166" s="172"/>
      <c r="M166" s="293"/>
      <c r="N166" s="293"/>
      <c r="O166" s="376" t="e">
        <f>SUM(O167:O168)</f>
        <v>#VALUE!</v>
      </c>
      <c r="P166" s="377" t="s">
        <v>103</v>
      </c>
      <c r="Q166" s="116"/>
      <c r="R166" s="116"/>
      <c r="S166" s="116"/>
      <c r="T166" s="116"/>
      <c r="U166" s="116"/>
      <c r="V166" s="116"/>
      <c r="W166" s="116"/>
      <c r="X166" s="116"/>
      <c r="Y166" s="116"/>
      <c r="Z166" s="116"/>
      <c r="AA166" s="116"/>
      <c r="AB166" s="116"/>
      <c r="AC166" s="116"/>
      <c r="AD166" s="116"/>
      <c r="AE166" s="116"/>
      <c r="AF166" s="116"/>
      <c r="AG166" s="116"/>
      <c r="AH166" s="116"/>
      <c r="AI166" s="116"/>
      <c r="AJ166" s="116"/>
      <c r="AK166" s="116"/>
      <c r="AL166" s="116"/>
      <c r="AM166" s="116"/>
      <c r="AN166" s="116"/>
      <c r="AO166" s="116"/>
      <c r="AP166" s="116"/>
      <c r="AQ166" s="116"/>
      <c r="AR166" s="116"/>
      <c r="AS166" s="116"/>
      <c r="AT166" s="116"/>
      <c r="AU166" s="116"/>
      <c r="AV166" s="116"/>
      <c r="AW166" s="116"/>
      <c r="AX166" s="116"/>
      <c r="AY166" s="116"/>
      <c r="AZ166" s="116"/>
      <c r="BA166" s="116"/>
      <c r="BB166" s="116"/>
      <c r="BC166" s="116"/>
      <c r="BD166" s="116"/>
      <c r="BE166" s="116"/>
      <c r="BF166" s="116"/>
      <c r="BG166" s="116"/>
      <c r="BH166" s="116"/>
      <c r="BI166" s="116"/>
      <c r="BJ166" s="116"/>
      <c r="BK166" s="116"/>
      <c r="BL166" s="116"/>
      <c r="BM166" s="116"/>
      <c r="BN166" s="116"/>
      <c r="BO166" s="116"/>
      <c r="BP166" s="116"/>
      <c r="BQ166" s="116"/>
      <c r="BR166" s="116"/>
      <c r="BS166" s="116"/>
      <c r="BT166" s="116"/>
      <c r="BU166" s="116"/>
      <c r="BV166" s="116"/>
      <c r="BW166" s="116"/>
      <c r="BX166" s="116"/>
      <c r="BY166" s="116"/>
      <c r="BZ166" s="116"/>
      <c r="CA166" s="116"/>
      <c r="CB166" s="116"/>
      <c r="CC166" s="116"/>
      <c r="CD166" s="116"/>
      <c r="CE166" s="116"/>
      <c r="CF166" s="116"/>
      <c r="CG166" s="116"/>
      <c r="CH166" s="116"/>
      <c r="CI166" s="116"/>
      <c r="CJ166" s="116"/>
      <c r="CK166" s="116"/>
      <c r="CL166" s="116"/>
      <c r="CM166" s="116"/>
      <c r="CN166" s="116"/>
      <c r="CO166" s="116"/>
      <c r="CP166" s="116"/>
      <c r="CQ166" s="116"/>
      <c r="CR166" s="116"/>
      <c r="CS166" s="116"/>
      <c r="CT166" s="116"/>
      <c r="CU166" s="116"/>
      <c r="CV166" s="116"/>
      <c r="CW166" s="116"/>
      <c r="CX166" s="116"/>
      <c r="CY166" s="116"/>
      <c r="CZ166" s="116"/>
      <c r="DA166" s="116"/>
      <c r="DB166" s="116"/>
      <c r="DC166" s="116"/>
      <c r="DD166" s="116"/>
      <c r="DE166" s="116"/>
      <c r="DF166" s="116"/>
      <c r="DG166" s="116"/>
      <c r="DH166" s="116"/>
      <c r="DI166" s="116"/>
      <c r="DJ166" s="116"/>
      <c r="DK166" s="116"/>
      <c r="DL166" s="116"/>
      <c r="DM166" s="116"/>
    </row>
    <row r="167" spans="1:117" ht="15" customHeight="1" thickBot="1">
      <c r="A167" s="55">
        <v>17500</v>
      </c>
      <c r="B167" s="194" t="s">
        <v>728</v>
      </c>
      <c r="C167" s="194" t="s">
        <v>925</v>
      </c>
      <c r="D167" s="194" t="s">
        <v>661</v>
      </c>
      <c r="E167" s="194" t="s">
        <v>925</v>
      </c>
      <c r="F167" s="194" t="s">
        <v>926</v>
      </c>
      <c r="G167" s="291">
        <f t="shared" ref="G167:G168" si="282">IF(I167="",H167,I167)</f>
        <v>0</v>
      </c>
      <c r="H167" s="292">
        <f>VLOOKUP("AUSMKm2",Instandsetzung,5,0)*VLOOKUP("MALFw",Objektkenndaten,5,0)</f>
        <v>0</v>
      </c>
      <c r="I167" s="168"/>
      <c r="J167" s="194" t="s">
        <v>850</v>
      </c>
      <c r="K167" s="385">
        <f>IF(ISNUMBER(VLOOKUP(E167,Nutzungsdauern,5,0)),VLOOKUP(E167,Nutzungsdauern,5,0),1000)</f>
        <v>10</v>
      </c>
      <c r="L167" s="379" t="s">
        <v>356</v>
      </c>
      <c r="M167" s="325">
        <f>VLOOKUP(L167,Finanzielle_Parameter,5,0)</f>
        <v>2.77</v>
      </c>
      <c r="N167" s="380">
        <f>(1+VLOOKUP(L167,Finanzielle_Parameter,5,0)/100)/(1+VLOOKUP("R",Finanzielle_Parameter,5,0)/100)</f>
        <v>1.0105211406096364</v>
      </c>
      <c r="O167" s="381">
        <f t="shared" ref="O167:Y168" si="283">IF($N167&lt;&gt;1,$G167*($N167^$K167)*(($N167^($K167*INT(O$2/$K167))-1)/($N167^$K167-1)),$G167*INT(O$2/$K167))</f>
        <v>0</v>
      </c>
      <c r="P167" s="169" t="s">
        <v>103</v>
      </c>
      <c r="Q167" s="114">
        <f t="shared" si="283"/>
        <v>0</v>
      </c>
      <c r="R167" s="115">
        <f t="shared" si="283"/>
        <v>0</v>
      </c>
      <c r="S167" s="115">
        <f t="shared" si="283"/>
        <v>0</v>
      </c>
      <c r="T167" s="115">
        <f t="shared" si="283"/>
        <v>0</v>
      </c>
      <c r="U167" s="115">
        <f t="shared" si="283"/>
        <v>0</v>
      </c>
      <c r="V167" s="115">
        <f t="shared" si="283"/>
        <v>0</v>
      </c>
      <c r="W167" s="115">
        <f t="shared" si="283"/>
        <v>0</v>
      </c>
      <c r="X167" s="115">
        <f t="shared" si="283"/>
        <v>0</v>
      </c>
      <c r="Y167" s="115">
        <f t="shared" si="283"/>
        <v>0</v>
      </c>
      <c r="Z167" s="115">
        <f t="shared" ref="Z167:AI168" si="284">IF($N167&lt;&gt;1,$G167*($N167^$K167)*(($N167^($K167*INT(Z$2/$K167))-1)/($N167^$K167-1)),$G167*INT(Z$2/$K167))</f>
        <v>0</v>
      </c>
      <c r="AA167" s="115">
        <f t="shared" si="284"/>
        <v>0</v>
      </c>
      <c r="AB167" s="115">
        <f t="shared" si="284"/>
        <v>0</v>
      </c>
      <c r="AC167" s="115">
        <f t="shared" si="284"/>
        <v>0</v>
      </c>
      <c r="AD167" s="115">
        <f t="shared" si="284"/>
        <v>0</v>
      </c>
      <c r="AE167" s="115">
        <f t="shared" si="284"/>
        <v>0</v>
      </c>
      <c r="AF167" s="115">
        <f t="shared" si="284"/>
        <v>0</v>
      </c>
      <c r="AG167" s="115">
        <f t="shared" si="284"/>
        <v>0</v>
      </c>
      <c r="AH167" s="115">
        <f t="shared" si="284"/>
        <v>0</v>
      </c>
      <c r="AI167" s="115">
        <f t="shared" si="284"/>
        <v>0</v>
      </c>
      <c r="AJ167" s="115">
        <f t="shared" ref="AJ167:AS168" si="285">IF($N167&lt;&gt;1,$G167*($N167^$K167)*(($N167^($K167*INT(AJ$2/$K167))-1)/($N167^$K167-1)),$G167*INT(AJ$2/$K167))</f>
        <v>0</v>
      </c>
      <c r="AK167" s="115">
        <f t="shared" si="285"/>
        <v>0</v>
      </c>
      <c r="AL167" s="115">
        <f t="shared" si="285"/>
        <v>0</v>
      </c>
      <c r="AM167" s="115">
        <f t="shared" si="285"/>
        <v>0</v>
      </c>
      <c r="AN167" s="115">
        <f t="shared" si="285"/>
        <v>0</v>
      </c>
      <c r="AO167" s="115">
        <f t="shared" si="285"/>
        <v>0</v>
      </c>
      <c r="AP167" s="115">
        <f t="shared" si="285"/>
        <v>0</v>
      </c>
      <c r="AQ167" s="115">
        <f t="shared" si="285"/>
        <v>0</v>
      </c>
      <c r="AR167" s="115">
        <f t="shared" si="285"/>
        <v>0</v>
      </c>
      <c r="AS167" s="115">
        <f t="shared" si="285"/>
        <v>0</v>
      </c>
      <c r="AT167" s="115">
        <f t="shared" ref="AT167:BC168" si="286">IF($N167&lt;&gt;1,$G167*($N167^$K167)*(($N167^($K167*INT(AT$2/$K167))-1)/($N167^$K167-1)),$G167*INT(AT$2/$K167))</f>
        <v>0</v>
      </c>
      <c r="AU167" s="115">
        <f t="shared" si="286"/>
        <v>0</v>
      </c>
      <c r="AV167" s="115" t="e">
        <f t="shared" si="286"/>
        <v>#VALUE!</v>
      </c>
      <c r="AW167" s="115" t="e">
        <f t="shared" si="286"/>
        <v>#VALUE!</v>
      </c>
      <c r="AX167" s="115" t="e">
        <f t="shared" si="286"/>
        <v>#VALUE!</v>
      </c>
      <c r="AY167" s="115" t="e">
        <f t="shared" si="286"/>
        <v>#VALUE!</v>
      </c>
      <c r="AZ167" s="115" t="e">
        <f t="shared" si="286"/>
        <v>#VALUE!</v>
      </c>
      <c r="BA167" s="115" t="e">
        <f t="shared" si="286"/>
        <v>#VALUE!</v>
      </c>
      <c r="BB167" s="115" t="e">
        <f t="shared" si="286"/>
        <v>#VALUE!</v>
      </c>
      <c r="BC167" s="115" t="e">
        <f t="shared" si="286"/>
        <v>#VALUE!</v>
      </c>
      <c r="BD167" s="115" t="e">
        <f t="shared" ref="BD167:BM168" si="287">IF($N167&lt;&gt;1,$G167*($N167^$K167)*(($N167^($K167*INT(BD$2/$K167))-1)/($N167^$K167-1)),$G167*INT(BD$2/$K167))</f>
        <v>#VALUE!</v>
      </c>
      <c r="BE167" s="115" t="e">
        <f t="shared" si="287"/>
        <v>#VALUE!</v>
      </c>
      <c r="BF167" s="115" t="e">
        <f t="shared" si="287"/>
        <v>#VALUE!</v>
      </c>
      <c r="BG167" s="115" t="e">
        <f t="shared" si="287"/>
        <v>#VALUE!</v>
      </c>
      <c r="BH167" s="115" t="e">
        <f t="shared" si="287"/>
        <v>#VALUE!</v>
      </c>
      <c r="BI167" s="115" t="e">
        <f t="shared" si="287"/>
        <v>#VALUE!</v>
      </c>
      <c r="BJ167" s="115" t="e">
        <f t="shared" si="287"/>
        <v>#VALUE!</v>
      </c>
      <c r="BK167" s="115" t="e">
        <f t="shared" si="287"/>
        <v>#VALUE!</v>
      </c>
      <c r="BL167" s="115" t="e">
        <f t="shared" si="287"/>
        <v>#VALUE!</v>
      </c>
      <c r="BM167" s="115" t="e">
        <f t="shared" si="287"/>
        <v>#VALUE!</v>
      </c>
      <c r="BN167" s="115" t="e">
        <f t="shared" ref="BN167:BW168" si="288">IF($N167&lt;&gt;1,$G167*($N167^$K167)*(($N167^($K167*INT(BN$2/$K167))-1)/($N167^$K167-1)),$G167*INT(BN$2/$K167))</f>
        <v>#VALUE!</v>
      </c>
      <c r="BO167" s="115" t="e">
        <f t="shared" si="288"/>
        <v>#VALUE!</v>
      </c>
      <c r="BP167" s="115" t="e">
        <f t="shared" si="288"/>
        <v>#VALUE!</v>
      </c>
      <c r="BQ167" s="115" t="e">
        <f t="shared" si="288"/>
        <v>#VALUE!</v>
      </c>
      <c r="BR167" s="115" t="e">
        <f t="shared" si="288"/>
        <v>#VALUE!</v>
      </c>
      <c r="BS167" s="115" t="e">
        <f t="shared" si="288"/>
        <v>#VALUE!</v>
      </c>
      <c r="BT167" s="115" t="e">
        <f t="shared" si="288"/>
        <v>#VALUE!</v>
      </c>
      <c r="BU167" s="115" t="e">
        <f t="shared" si="288"/>
        <v>#VALUE!</v>
      </c>
      <c r="BV167" s="115" t="e">
        <f t="shared" si="288"/>
        <v>#VALUE!</v>
      </c>
      <c r="BW167" s="115" t="e">
        <f t="shared" si="288"/>
        <v>#VALUE!</v>
      </c>
      <c r="BX167" s="115" t="e">
        <f t="shared" ref="BX167:CG168" si="289">IF($N167&lt;&gt;1,$G167*($N167^$K167)*(($N167^($K167*INT(BX$2/$K167))-1)/($N167^$K167-1)),$G167*INT(BX$2/$K167))</f>
        <v>#VALUE!</v>
      </c>
      <c r="BY167" s="115" t="e">
        <f t="shared" si="289"/>
        <v>#VALUE!</v>
      </c>
      <c r="BZ167" s="115" t="e">
        <f t="shared" si="289"/>
        <v>#VALUE!</v>
      </c>
      <c r="CA167" s="115" t="e">
        <f t="shared" si="289"/>
        <v>#VALUE!</v>
      </c>
      <c r="CB167" s="115" t="e">
        <f t="shared" si="289"/>
        <v>#VALUE!</v>
      </c>
      <c r="CC167" s="115" t="e">
        <f t="shared" si="289"/>
        <v>#VALUE!</v>
      </c>
      <c r="CD167" s="115" t="e">
        <f t="shared" si="289"/>
        <v>#VALUE!</v>
      </c>
      <c r="CE167" s="115" t="e">
        <f t="shared" si="289"/>
        <v>#VALUE!</v>
      </c>
      <c r="CF167" s="115" t="e">
        <f t="shared" si="289"/>
        <v>#VALUE!</v>
      </c>
      <c r="CG167" s="115" t="e">
        <f t="shared" si="289"/>
        <v>#VALUE!</v>
      </c>
      <c r="CH167" s="115" t="e">
        <f t="shared" ref="CH167:CQ168" si="290">IF($N167&lt;&gt;1,$G167*($N167^$K167)*(($N167^($K167*INT(CH$2/$K167))-1)/($N167^$K167-1)),$G167*INT(CH$2/$K167))</f>
        <v>#VALUE!</v>
      </c>
      <c r="CI167" s="115" t="e">
        <f t="shared" si="290"/>
        <v>#VALUE!</v>
      </c>
      <c r="CJ167" s="115" t="e">
        <f t="shared" si="290"/>
        <v>#VALUE!</v>
      </c>
      <c r="CK167" s="115" t="e">
        <f t="shared" si="290"/>
        <v>#VALUE!</v>
      </c>
      <c r="CL167" s="115" t="e">
        <f t="shared" si="290"/>
        <v>#VALUE!</v>
      </c>
      <c r="CM167" s="115" t="e">
        <f t="shared" si="290"/>
        <v>#VALUE!</v>
      </c>
      <c r="CN167" s="115" t="e">
        <f t="shared" si="290"/>
        <v>#VALUE!</v>
      </c>
      <c r="CO167" s="115" t="e">
        <f t="shared" si="290"/>
        <v>#VALUE!</v>
      </c>
      <c r="CP167" s="115" t="e">
        <f t="shared" si="290"/>
        <v>#VALUE!</v>
      </c>
      <c r="CQ167" s="115" t="e">
        <f t="shared" si="290"/>
        <v>#VALUE!</v>
      </c>
      <c r="CR167" s="115" t="e">
        <f t="shared" ref="CR167:DA168" si="291">IF($N167&lt;&gt;1,$G167*($N167^$K167)*(($N167^($K167*INT(CR$2/$K167))-1)/($N167^$K167-1)),$G167*INT(CR$2/$K167))</f>
        <v>#VALUE!</v>
      </c>
      <c r="CS167" s="115" t="e">
        <f t="shared" si="291"/>
        <v>#VALUE!</v>
      </c>
      <c r="CT167" s="115" t="e">
        <f t="shared" si="291"/>
        <v>#VALUE!</v>
      </c>
      <c r="CU167" s="115" t="e">
        <f t="shared" si="291"/>
        <v>#VALUE!</v>
      </c>
      <c r="CV167" s="115" t="e">
        <f t="shared" si="291"/>
        <v>#VALUE!</v>
      </c>
      <c r="CW167" s="115" t="e">
        <f t="shared" si="291"/>
        <v>#VALUE!</v>
      </c>
      <c r="CX167" s="115" t="e">
        <f t="shared" si="291"/>
        <v>#VALUE!</v>
      </c>
      <c r="CY167" s="115" t="e">
        <f t="shared" si="291"/>
        <v>#VALUE!</v>
      </c>
      <c r="CZ167" s="115" t="e">
        <f t="shared" si="291"/>
        <v>#VALUE!</v>
      </c>
      <c r="DA167" s="115" t="e">
        <f t="shared" si="291"/>
        <v>#VALUE!</v>
      </c>
      <c r="DB167" s="115" t="e">
        <f t="shared" ref="DB167:DM168" si="292">IF($N167&lt;&gt;1,$G167*($N167^$K167)*(($N167^($K167*INT(DB$2/$K167))-1)/($N167^$K167-1)),$G167*INT(DB$2/$K167))</f>
        <v>#VALUE!</v>
      </c>
      <c r="DC167" s="115" t="e">
        <f t="shared" si="292"/>
        <v>#VALUE!</v>
      </c>
      <c r="DD167" s="115" t="e">
        <f t="shared" si="292"/>
        <v>#VALUE!</v>
      </c>
      <c r="DE167" s="115" t="e">
        <f t="shared" si="292"/>
        <v>#VALUE!</v>
      </c>
      <c r="DF167" s="115" t="e">
        <f t="shared" si="292"/>
        <v>#VALUE!</v>
      </c>
      <c r="DG167" s="115" t="e">
        <f t="shared" si="292"/>
        <v>#VALUE!</v>
      </c>
      <c r="DH167" s="115" t="e">
        <f t="shared" si="292"/>
        <v>#VALUE!</v>
      </c>
      <c r="DI167" s="115" t="e">
        <f t="shared" si="292"/>
        <v>#VALUE!</v>
      </c>
      <c r="DJ167" s="115" t="e">
        <f t="shared" si="292"/>
        <v>#VALUE!</v>
      </c>
      <c r="DK167" s="115" t="e">
        <f t="shared" si="292"/>
        <v>#VALUE!</v>
      </c>
      <c r="DL167" s="115" t="e">
        <f t="shared" si="292"/>
        <v>#VALUE!</v>
      </c>
      <c r="DM167" s="115" t="e">
        <f t="shared" si="292"/>
        <v>#VALUE!</v>
      </c>
    </row>
    <row r="168" spans="1:117" ht="15" customHeight="1" thickBot="1">
      <c r="A168" s="55">
        <v>17600</v>
      </c>
      <c r="B168" s="194" t="s">
        <v>728</v>
      </c>
      <c r="C168" s="194" t="s">
        <v>927</v>
      </c>
      <c r="D168" s="194" t="s">
        <v>928</v>
      </c>
      <c r="E168" s="194" t="s">
        <v>163</v>
      </c>
      <c r="F168" s="194" t="s">
        <v>1130</v>
      </c>
      <c r="G168" s="291" t="e">
        <f t="shared" si="282"/>
        <v>#VALUE!</v>
      </c>
      <c r="H168" s="292" t="e">
        <f>VLOOKUP("E4.D.02",Errichtungskosten,12,0) *VLOOKUP("PFAKT",Instandsetzung,5,0)</f>
        <v>#VALUE!</v>
      </c>
      <c r="I168" s="168"/>
      <c r="J168" s="194" t="s">
        <v>850</v>
      </c>
      <c r="K168" s="385">
        <f>IF(ISNUMBER(VLOOKUP(E168,Nutzungsdauern,5,0)),VLOOKUP(E168,Nutzungsdauern,5,0),1000)</f>
        <v>22</v>
      </c>
      <c r="L168" s="379" t="s">
        <v>356</v>
      </c>
      <c r="M168" s="325">
        <f>VLOOKUP(L168,Finanzielle_Parameter,5,0)</f>
        <v>2.77</v>
      </c>
      <c r="N168" s="380">
        <f>(1+VLOOKUP(L168,Finanzielle_Parameter,5,0)/100)/(1+VLOOKUP("R",Finanzielle_Parameter,5,0)/100)</f>
        <v>1.0105211406096364</v>
      </c>
      <c r="O168" s="381" t="e">
        <f t="shared" si="283"/>
        <v>#VALUE!</v>
      </c>
      <c r="P168" s="169" t="s">
        <v>103</v>
      </c>
      <c r="Q168" s="114" t="e">
        <f t="shared" si="283"/>
        <v>#VALUE!</v>
      </c>
      <c r="R168" s="115" t="e">
        <f t="shared" si="283"/>
        <v>#VALUE!</v>
      </c>
      <c r="S168" s="115" t="e">
        <f t="shared" si="283"/>
        <v>#VALUE!</v>
      </c>
      <c r="T168" s="115" t="e">
        <f t="shared" si="283"/>
        <v>#VALUE!</v>
      </c>
      <c r="U168" s="115" t="e">
        <f t="shared" si="283"/>
        <v>#VALUE!</v>
      </c>
      <c r="V168" s="115" t="e">
        <f t="shared" si="283"/>
        <v>#VALUE!</v>
      </c>
      <c r="W168" s="115" t="e">
        <f t="shared" si="283"/>
        <v>#VALUE!</v>
      </c>
      <c r="X168" s="115" t="e">
        <f t="shared" si="283"/>
        <v>#VALUE!</v>
      </c>
      <c r="Y168" s="115" t="e">
        <f t="shared" si="283"/>
        <v>#VALUE!</v>
      </c>
      <c r="Z168" s="115" t="e">
        <f t="shared" si="284"/>
        <v>#VALUE!</v>
      </c>
      <c r="AA168" s="115" t="e">
        <f t="shared" si="284"/>
        <v>#VALUE!</v>
      </c>
      <c r="AB168" s="115" t="e">
        <f t="shared" si="284"/>
        <v>#VALUE!</v>
      </c>
      <c r="AC168" s="115" t="e">
        <f t="shared" si="284"/>
        <v>#VALUE!</v>
      </c>
      <c r="AD168" s="115" t="e">
        <f t="shared" si="284"/>
        <v>#VALUE!</v>
      </c>
      <c r="AE168" s="115" t="e">
        <f t="shared" si="284"/>
        <v>#VALUE!</v>
      </c>
      <c r="AF168" s="115" t="e">
        <f t="shared" si="284"/>
        <v>#VALUE!</v>
      </c>
      <c r="AG168" s="115" t="e">
        <f t="shared" si="284"/>
        <v>#VALUE!</v>
      </c>
      <c r="AH168" s="115" t="e">
        <f t="shared" si="284"/>
        <v>#VALUE!</v>
      </c>
      <c r="AI168" s="115" t="e">
        <f t="shared" si="284"/>
        <v>#VALUE!</v>
      </c>
      <c r="AJ168" s="115" t="e">
        <f t="shared" si="285"/>
        <v>#VALUE!</v>
      </c>
      <c r="AK168" s="115" t="e">
        <f t="shared" si="285"/>
        <v>#VALUE!</v>
      </c>
      <c r="AL168" s="115" t="e">
        <f t="shared" si="285"/>
        <v>#VALUE!</v>
      </c>
      <c r="AM168" s="115" t="e">
        <f t="shared" si="285"/>
        <v>#VALUE!</v>
      </c>
      <c r="AN168" s="115" t="e">
        <f t="shared" si="285"/>
        <v>#VALUE!</v>
      </c>
      <c r="AO168" s="115" t="e">
        <f t="shared" si="285"/>
        <v>#VALUE!</v>
      </c>
      <c r="AP168" s="115" t="e">
        <f t="shared" si="285"/>
        <v>#VALUE!</v>
      </c>
      <c r="AQ168" s="115" t="e">
        <f t="shared" si="285"/>
        <v>#VALUE!</v>
      </c>
      <c r="AR168" s="115" t="e">
        <f t="shared" si="285"/>
        <v>#VALUE!</v>
      </c>
      <c r="AS168" s="115" t="e">
        <f t="shared" si="285"/>
        <v>#VALUE!</v>
      </c>
      <c r="AT168" s="115" t="e">
        <f t="shared" si="286"/>
        <v>#VALUE!</v>
      </c>
      <c r="AU168" s="115" t="e">
        <f t="shared" si="286"/>
        <v>#VALUE!</v>
      </c>
      <c r="AV168" s="115" t="e">
        <f t="shared" si="286"/>
        <v>#VALUE!</v>
      </c>
      <c r="AW168" s="115" t="e">
        <f t="shared" si="286"/>
        <v>#VALUE!</v>
      </c>
      <c r="AX168" s="115" t="e">
        <f t="shared" si="286"/>
        <v>#VALUE!</v>
      </c>
      <c r="AY168" s="115" t="e">
        <f t="shared" si="286"/>
        <v>#VALUE!</v>
      </c>
      <c r="AZ168" s="115" t="e">
        <f t="shared" si="286"/>
        <v>#VALUE!</v>
      </c>
      <c r="BA168" s="115" t="e">
        <f t="shared" si="286"/>
        <v>#VALUE!</v>
      </c>
      <c r="BB168" s="115" t="e">
        <f t="shared" si="286"/>
        <v>#VALUE!</v>
      </c>
      <c r="BC168" s="115" t="e">
        <f t="shared" si="286"/>
        <v>#VALUE!</v>
      </c>
      <c r="BD168" s="115" t="e">
        <f t="shared" si="287"/>
        <v>#VALUE!</v>
      </c>
      <c r="BE168" s="115" t="e">
        <f t="shared" si="287"/>
        <v>#VALUE!</v>
      </c>
      <c r="BF168" s="115" t="e">
        <f t="shared" si="287"/>
        <v>#VALUE!</v>
      </c>
      <c r="BG168" s="115" t="e">
        <f t="shared" si="287"/>
        <v>#VALUE!</v>
      </c>
      <c r="BH168" s="115" t="e">
        <f t="shared" si="287"/>
        <v>#VALUE!</v>
      </c>
      <c r="BI168" s="115" t="e">
        <f t="shared" si="287"/>
        <v>#VALUE!</v>
      </c>
      <c r="BJ168" s="115" t="e">
        <f t="shared" si="287"/>
        <v>#VALUE!</v>
      </c>
      <c r="BK168" s="115" t="e">
        <f t="shared" si="287"/>
        <v>#VALUE!</v>
      </c>
      <c r="BL168" s="115" t="e">
        <f t="shared" si="287"/>
        <v>#VALUE!</v>
      </c>
      <c r="BM168" s="115" t="e">
        <f t="shared" si="287"/>
        <v>#VALUE!</v>
      </c>
      <c r="BN168" s="115" t="e">
        <f t="shared" si="288"/>
        <v>#VALUE!</v>
      </c>
      <c r="BO168" s="115" t="e">
        <f t="shared" si="288"/>
        <v>#VALUE!</v>
      </c>
      <c r="BP168" s="115" t="e">
        <f t="shared" si="288"/>
        <v>#VALUE!</v>
      </c>
      <c r="BQ168" s="115" t="e">
        <f t="shared" si="288"/>
        <v>#VALUE!</v>
      </c>
      <c r="BR168" s="115" t="e">
        <f t="shared" si="288"/>
        <v>#VALUE!</v>
      </c>
      <c r="BS168" s="115" t="e">
        <f t="shared" si="288"/>
        <v>#VALUE!</v>
      </c>
      <c r="BT168" s="115" t="e">
        <f t="shared" si="288"/>
        <v>#VALUE!</v>
      </c>
      <c r="BU168" s="115" t="e">
        <f t="shared" si="288"/>
        <v>#VALUE!</v>
      </c>
      <c r="BV168" s="115" t="e">
        <f t="shared" si="288"/>
        <v>#VALUE!</v>
      </c>
      <c r="BW168" s="115" t="e">
        <f t="shared" si="288"/>
        <v>#VALUE!</v>
      </c>
      <c r="BX168" s="115" t="e">
        <f t="shared" si="289"/>
        <v>#VALUE!</v>
      </c>
      <c r="BY168" s="115" t="e">
        <f t="shared" si="289"/>
        <v>#VALUE!</v>
      </c>
      <c r="BZ168" s="115" t="e">
        <f t="shared" si="289"/>
        <v>#VALUE!</v>
      </c>
      <c r="CA168" s="115" t="e">
        <f t="shared" si="289"/>
        <v>#VALUE!</v>
      </c>
      <c r="CB168" s="115" t="e">
        <f t="shared" si="289"/>
        <v>#VALUE!</v>
      </c>
      <c r="CC168" s="115" t="e">
        <f t="shared" si="289"/>
        <v>#VALUE!</v>
      </c>
      <c r="CD168" s="115" t="e">
        <f t="shared" si="289"/>
        <v>#VALUE!</v>
      </c>
      <c r="CE168" s="115" t="e">
        <f t="shared" si="289"/>
        <v>#VALUE!</v>
      </c>
      <c r="CF168" s="115" t="e">
        <f t="shared" si="289"/>
        <v>#VALUE!</v>
      </c>
      <c r="CG168" s="115" t="e">
        <f t="shared" si="289"/>
        <v>#VALUE!</v>
      </c>
      <c r="CH168" s="115" t="e">
        <f t="shared" si="290"/>
        <v>#VALUE!</v>
      </c>
      <c r="CI168" s="115" t="e">
        <f t="shared" si="290"/>
        <v>#VALUE!</v>
      </c>
      <c r="CJ168" s="115" t="e">
        <f t="shared" si="290"/>
        <v>#VALUE!</v>
      </c>
      <c r="CK168" s="115" t="e">
        <f t="shared" si="290"/>
        <v>#VALUE!</v>
      </c>
      <c r="CL168" s="115" t="e">
        <f t="shared" si="290"/>
        <v>#VALUE!</v>
      </c>
      <c r="CM168" s="115" t="e">
        <f t="shared" si="290"/>
        <v>#VALUE!</v>
      </c>
      <c r="CN168" s="115" t="e">
        <f t="shared" si="290"/>
        <v>#VALUE!</v>
      </c>
      <c r="CO168" s="115" t="e">
        <f t="shared" si="290"/>
        <v>#VALUE!</v>
      </c>
      <c r="CP168" s="115" t="e">
        <f t="shared" si="290"/>
        <v>#VALUE!</v>
      </c>
      <c r="CQ168" s="115" t="e">
        <f t="shared" si="290"/>
        <v>#VALUE!</v>
      </c>
      <c r="CR168" s="115" t="e">
        <f t="shared" si="291"/>
        <v>#VALUE!</v>
      </c>
      <c r="CS168" s="115" t="e">
        <f t="shared" si="291"/>
        <v>#VALUE!</v>
      </c>
      <c r="CT168" s="115" t="e">
        <f t="shared" si="291"/>
        <v>#VALUE!</v>
      </c>
      <c r="CU168" s="115" t="e">
        <f t="shared" si="291"/>
        <v>#VALUE!</v>
      </c>
      <c r="CV168" s="115" t="e">
        <f t="shared" si="291"/>
        <v>#VALUE!</v>
      </c>
      <c r="CW168" s="115" t="e">
        <f t="shared" si="291"/>
        <v>#VALUE!</v>
      </c>
      <c r="CX168" s="115" t="e">
        <f t="shared" si="291"/>
        <v>#VALUE!</v>
      </c>
      <c r="CY168" s="115" t="e">
        <f t="shared" si="291"/>
        <v>#VALUE!</v>
      </c>
      <c r="CZ168" s="115" t="e">
        <f t="shared" si="291"/>
        <v>#VALUE!</v>
      </c>
      <c r="DA168" s="115" t="e">
        <f t="shared" si="291"/>
        <v>#VALUE!</v>
      </c>
      <c r="DB168" s="115" t="e">
        <f t="shared" si="292"/>
        <v>#VALUE!</v>
      </c>
      <c r="DC168" s="115" t="e">
        <f t="shared" si="292"/>
        <v>#VALUE!</v>
      </c>
      <c r="DD168" s="115" t="e">
        <f t="shared" si="292"/>
        <v>#VALUE!</v>
      </c>
      <c r="DE168" s="115" t="e">
        <f t="shared" si="292"/>
        <v>#VALUE!</v>
      </c>
      <c r="DF168" s="115" t="e">
        <f t="shared" si="292"/>
        <v>#VALUE!</v>
      </c>
      <c r="DG168" s="115" t="e">
        <f t="shared" si="292"/>
        <v>#VALUE!</v>
      </c>
      <c r="DH168" s="115" t="e">
        <f t="shared" si="292"/>
        <v>#VALUE!</v>
      </c>
      <c r="DI168" s="115" t="e">
        <f t="shared" si="292"/>
        <v>#VALUE!</v>
      </c>
      <c r="DJ168" s="115" t="e">
        <f t="shared" si="292"/>
        <v>#VALUE!</v>
      </c>
      <c r="DK168" s="115" t="e">
        <f t="shared" si="292"/>
        <v>#VALUE!</v>
      </c>
      <c r="DL168" s="115" t="e">
        <f t="shared" si="292"/>
        <v>#VALUE!</v>
      </c>
      <c r="DM168" s="115" t="e">
        <f t="shared" si="292"/>
        <v>#VALUE!</v>
      </c>
    </row>
    <row r="169" spans="1:117" ht="15" customHeight="1" thickBot="1">
      <c r="A169" s="293">
        <v>17700</v>
      </c>
      <c r="B169" s="172" t="s">
        <v>743</v>
      </c>
      <c r="C169" s="172" t="s">
        <v>929</v>
      </c>
      <c r="D169" s="172" t="s">
        <v>159</v>
      </c>
      <c r="E169" s="172"/>
      <c r="F169" s="172"/>
      <c r="G169" s="172"/>
      <c r="H169" s="172"/>
      <c r="I169" s="172"/>
      <c r="J169" s="172"/>
      <c r="K169" s="386"/>
      <c r="L169" s="172"/>
      <c r="M169" s="293"/>
      <c r="N169" s="293"/>
      <c r="O169" s="376" t="e">
        <f>SUM(O170:O171)</f>
        <v>#VALUE!</v>
      </c>
      <c r="P169" s="377" t="s">
        <v>103</v>
      </c>
      <c r="Q169" s="116"/>
      <c r="R169" s="116"/>
      <c r="S169" s="116"/>
      <c r="T169" s="116"/>
      <c r="U169" s="116"/>
      <c r="V169" s="116"/>
      <c r="W169" s="116"/>
      <c r="X169" s="116"/>
      <c r="Y169" s="116"/>
      <c r="Z169" s="116"/>
      <c r="AA169" s="116"/>
      <c r="AB169" s="116"/>
      <c r="AC169" s="116"/>
      <c r="AD169" s="116"/>
      <c r="AE169" s="116"/>
      <c r="AF169" s="116"/>
      <c r="AG169" s="116"/>
      <c r="AH169" s="116"/>
      <c r="AI169" s="116"/>
      <c r="AJ169" s="116"/>
      <c r="AK169" s="116"/>
      <c r="AL169" s="116"/>
      <c r="AM169" s="116"/>
      <c r="AN169" s="116"/>
      <c r="AO169" s="116"/>
      <c r="AP169" s="116"/>
      <c r="AQ169" s="116"/>
      <c r="AR169" s="116"/>
      <c r="AS169" s="116"/>
      <c r="AT169" s="116"/>
      <c r="AU169" s="116"/>
      <c r="AV169" s="116"/>
      <c r="AW169" s="116"/>
      <c r="AX169" s="116"/>
      <c r="AY169" s="116"/>
      <c r="AZ169" s="116"/>
      <c r="BA169" s="116"/>
      <c r="BB169" s="116"/>
      <c r="BC169" s="116"/>
      <c r="BD169" s="116"/>
      <c r="BE169" s="116"/>
      <c r="BF169" s="116"/>
      <c r="BG169" s="116"/>
      <c r="BH169" s="116"/>
      <c r="BI169" s="116"/>
      <c r="BJ169" s="116"/>
      <c r="BK169" s="116"/>
      <c r="BL169" s="116"/>
      <c r="BM169" s="116"/>
      <c r="BN169" s="116"/>
      <c r="BO169" s="116"/>
      <c r="BP169" s="116"/>
      <c r="BQ169" s="116"/>
      <c r="BR169" s="116"/>
      <c r="BS169" s="116"/>
      <c r="BT169" s="116"/>
      <c r="BU169" s="116"/>
      <c r="BV169" s="116"/>
      <c r="BW169" s="116"/>
      <c r="BX169" s="116"/>
      <c r="BY169" s="116"/>
      <c r="BZ169" s="116"/>
      <c r="CA169" s="116"/>
      <c r="CB169" s="116"/>
      <c r="CC169" s="116"/>
      <c r="CD169" s="116"/>
      <c r="CE169" s="116"/>
      <c r="CF169" s="116"/>
      <c r="CG169" s="116"/>
      <c r="CH169" s="116"/>
      <c r="CI169" s="116"/>
      <c r="CJ169" s="116"/>
      <c r="CK169" s="116"/>
      <c r="CL169" s="116"/>
      <c r="CM169" s="116"/>
      <c r="CN169" s="116"/>
      <c r="CO169" s="116"/>
      <c r="CP169" s="116"/>
      <c r="CQ169" s="116"/>
      <c r="CR169" s="116"/>
      <c r="CS169" s="116"/>
      <c r="CT169" s="116"/>
      <c r="CU169" s="116"/>
      <c r="CV169" s="116"/>
      <c r="CW169" s="116"/>
      <c r="CX169" s="116"/>
      <c r="CY169" s="116"/>
      <c r="CZ169" s="116"/>
      <c r="DA169" s="116"/>
      <c r="DB169" s="116"/>
      <c r="DC169" s="116"/>
      <c r="DD169" s="116"/>
      <c r="DE169" s="116"/>
      <c r="DF169" s="116"/>
      <c r="DG169" s="116"/>
      <c r="DH169" s="116"/>
      <c r="DI169" s="116"/>
      <c r="DJ169" s="116"/>
      <c r="DK169" s="116"/>
      <c r="DL169" s="116"/>
      <c r="DM169" s="116"/>
    </row>
    <row r="170" spans="1:117" ht="15" customHeight="1" thickBot="1">
      <c r="A170" s="55">
        <v>17800</v>
      </c>
      <c r="B170" s="194" t="s">
        <v>728</v>
      </c>
      <c r="C170" s="194" t="s">
        <v>930</v>
      </c>
      <c r="D170" s="194" t="s">
        <v>661</v>
      </c>
      <c r="E170" s="194" t="s">
        <v>930</v>
      </c>
      <c r="F170" s="194" t="s">
        <v>931</v>
      </c>
      <c r="G170" s="291">
        <f t="shared" ref="G170:G174" si="293">IF(I170="",H170,I170)</f>
        <v>0</v>
      </c>
      <c r="H170" s="292">
        <f>VLOOKUP("AUSMKm2",Instandsetzung,5,0)*VLOOKUP("MALFd",Objektkenndaten,5,0)</f>
        <v>0</v>
      </c>
      <c r="I170" s="168"/>
      <c r="J170" s="194" t="s">
        <v>850</v>
      </c>
      <c r="K170" s="385">
        <f>IF(ISNUMBER(VLOOKUP(E170,Nutzungsdauern,5,0)),VLOOKUP(E170,Nutzungsdauern,5,0),1000)</f>
        <v>10</v>
      </c>
      <c r="L170" s="379" t="s">
        <v>356</v>
      </c>
      <c r="M170" s="325">
        <f>VLOOKUP(L170,Finanzielle_Parameter,5,0)</f>
        <v>2.77</v>
      </c>
      <c r="N170" s="380">
        <f>(1+VLOOKUP(L170,Finanzielle_Parameter,5,0)/100)/(1+VLOOKUP("R",Finanzielle_Parameter,5,0)/100)</f>
        <v>1.0105211406096364</v>
      </c>
      <c r="O170" s="381">
        <f t="shared" ref="O170:Y174" si="294">IF($N170&lt;&gt;1,$G170*($N170^$K170)*(($N170^($K170*INT(O$2/$K170))-1)/($N170^$K170-1)),$G170*INT(O$2/$K170))</f>
        <v>0</v>
      </c>
      <c r="P170" s="169" t="s">
        <v>103</v>
      </c>
      <c r="Q170" s="114">
        <f t="shared" si="294"/>
        <v>0</v>
      </c>
      <c r="R170" s="115">
        <f t="shared" si="294"/>
        <v>0</v>
      </c>
      <c r="S170" s="115">
        <f t="shared" si="294"/>
        <v>0</v>
      </c>
      <c r="T170" s="115">
        <f t="shared" si="294"/>
        <v>0</v>
      </c>
      <c r="U170" s="115">
        <f t="shared" si="294"/>
        <v>0</v>
      </c>
      <c r="V170" s="115">
        <f t="shared" si="294"/>
        <v>0</v>
      </c>
      <c r="W170" s="115">
        <f t="shared" si="294"/>
        <v>0</v>
      </c>
      <c r="X170" s="115">
        <f t="shared" si="294"/>
        <v>0</v>
      </c>
      <c r="Y170" s="115">
        <f t="shared" si="294"/>
        <v>0</v>
      </c>
      <c r="Z170" s="115">
        <f t="shared" ref="Z170:AI174" si="295">IF($N170&lt;&gt;1,$G170*($N170^$K170)*(($N170^($K170*INT(Z$2/$K170))-1)/($N170^$K170-1)),$G170*INT(Z$2/$K170))</f>
        <v>0</v>
      </c>
      <c r="AA170" s="115">
        <f t="shared" si="295"/>
        <v>0</v>
      </c>
      <c r="AB170" s="115">
        <f t="shared" si="295"/>
        <v>0</v>
      </c>
      <c r="AC170" s="115">
        <f t="shared" si="295"/>
        <v>0</v>
      </c>
      <c r="AD170" s="115">
        <f t="shared" si="295"/>
        <v>0</v>
      </c>
      <c r="AE170" s="115">
        <f t="shared" si="295"/>
        <v>0</v>
      </c>
      <c r="AF170" s="115">
        <f t="shared" si="295"/>
        <v>0</v>
      </c>
      <c r="AG170" s="115">
        <f t="shared" si="295"/>
        <v>0</v>
      </c>
      <c r="AH170" s="115">
        <f t="shared" si="295"/>
        <v>0</v>
      </c>
      <c r="AI170" s="115">
        <f t="shared" si="295"/>
        <v>0</v>
      </c>
      <c r="AJ170" s="115">
        <f t="shared" ref="AJ170:AS174" si="296">IF($N170&lt;&gt;1,$G170*($N170^$K170)*(($N170^($K170*INT(AJ$2/$K170))-1)/($N170^$K170-1)),$G170*INT(AJ$2/$K170))</f>
        <v>0</v>
      </c>
      <c r="AK170" s="115">
        <f t="shared" si="296"/>
        <v>0</v>
      </c>
      <c r="AL170" s="115">
        <f t="shared" si="296"/>
        <v>0</v>
      </c>
      <c r="AM170" s="115">
        <f t="shared" si="296"/>
        <v>0</v>
      </c>
      <c r="AN170" s="115">
        <f t="shared" si="296"/>
        <v>0</v>
      </c>
      <c r="AO170" s="115">
        <f t="shared" si="296"/>
        <v>0</v>
      </c>
      <c r="AP170" s="115">
        <f t="shared" si="296"/>
        <v>0</v>
      </c>
      <c r="AQ170" s="115">
        <f t="shared" si="296"/>
        <v>0</v>
      </c>
      <c r="AR170" s="115">
        <f t="shared" si="296"/>
        <v>0</v>
      </c>
      <c r="AS170" s="115">
        <f t="shared" si="296"/>
        <v>0</v>
      </c>
      <c r="AT170" s="115">
        <f t="shared" ref="AT170:BC174" si="297">IF($N170&lt;&gt;1,$G170*($N170^$K170)*(($N170^($K170*INT(AT$2/$K170))-1)/($N170^$K170-1)),$G170*INT(AT$2/$K170))</f>
        <v>0</v>
      </c>
      <c r="AU170" s="115">
        <f t="shared" si="297"/>
        <v>0</v>
      </c>
      <c r="AV170" s="115" t="e">
        <f t="shared" si="297"/>
        <v>#VALUE!</v>
      </c>
      <c r="AW170" s="115" t="e">
        <f t="shared" si="297"/>
        <v>#VALUE!</v>
      </c>
      <c r="AX170" s="115" t="e">
        <f t="shared" si="297"/>
        <v>#VALUE!</v>
      </c>
      <c r="AY170" s="115" t="e">
        <f t="shared" si="297"/>
        <v>#VALUE!</v>
      </c>
      <c r="AZ170" s="115" t="e">
        <f t="shared" si="297"/>
        <v>#VALUE!</v>
      </c>
      <c r="BA170" s="115" t="e">
        <f t="shared" si="297"/>
        <v>#VALUE!</v>
      </c>
      <c r="BB170" s="115" t="e">
        <f t="shared" si="297"/>
        <v>#VALUE!</v>
      </c>
      <c r="BC170" s="115" t="e">
        <f t="shared" si="297"/>
        <v>#VALUE!</v>
      </c>
      <c r="BD170" s="115" t="e">
        <f t="shared" ref="BD170:BM174" si="298">IF($N170&lt;&gt;1,$G170*($N170^$K170)*(($N170^($K170*INT(BD$2/$K170))-1)/($N170^$K170-1)),$G170*INT(BD$2/$K170))</f>
        <v>#VALUE!</v>
      </c>
      <c r="BE170" s="115" t="e">
        <f t="shared" si="298"/>
        <v>#VALUE!</v>
      </c>
      <c r="BF170" s="115" t="e">
        <f t="shared" si="298"/>
        <v>#VALUE!</v>
      </c>
      <c r="BG170" s="115" t="e">
        <f t="shared" si="298"/>
        <v>#VALUE!</v>
      </c>
      <c r="BH170" s="115" t="e">
        <f t="shared" si="298"/>
        <v>#VALUE!</v>
      </c>
      <c r="BI170" s="115" t="e">
        <f t="shared" si="298"/>
        <v>#VALUE!</v>
      </c>
      <c r="BJ170" s="115" t="e">
        <f t="shared" si="298"/>
        <v>#VALUE!</v>
      </c>
      <c r="BK170" s="115" t="e">
        <f t="shared" si="298"/>
        <v>#VALUE!</v>
      </c>
      <c r="BL170" s="115" t="e">
        <f t="shared" si="298"/>
        <v>#VALUE!</v>
      </c>
      <c r="BM170" s="115" t="e">
        <f t="shared" si="298"/>
        <v>#VALUE!</v>
      </c>
      <c r="BN170" s="115" t="e">
        <f t="shared" ref="BN170:BW174" si="299">IF($N170&lt;&gt;1,$G170*($N170^$K170)*(($N170^($K170*INT(BN$2/$K170))-1)/($N170^$K170-1)),$G170*INT(BN$2/$K170))</f>
        <v>#VALUE!</v>
      </c>
      <c r="BO170" s="115" t="e">
        <f t="shared" si="299"/>
        <v>#VALUE!</v>
      </c>
      <c r="BP170" s="115" t="e">
        <f t="shared" si="299"/>
        <v>#VALUE!</v>
      </c>
      <c r="BQ170" s="115" t="e">
        <f t="shared" si="299"/>
        <v>#VALUE!</v>
      </c>
      <c r="BR170" s="115" t="e">
        <f t="shared" si="299"/>
        <v>#VALUE!</v>
      </c>
      <c r="BS170" s="115" t="e">
        <f t="shared" si="299"/>
        <v>#VALUE!</v>
      </c>
      <c r="BT170" s="115" t="e">
        <f t="shared" si="299"/>
        <v>#VALUE!</v>
      </c>
      <c r="BU170" s="115" t="e">
        <f t="shared" si="299"/>
        <v>#VALUE!</v>
      </c>
      <c r="BV170" s="115" t="e">
        <f t="shared" si="299"/>
        <v>#VALUE!</v>
      </c>
      <c r="BW170" s="115" t="e">
        <f t="shared" si="299"/>
        <v>#VALUE!</v>
      </c>
      <c r="BX170" s="115" t="e">
        <f t="shared" ref="BX170:CG174" si="300">IF($N170&lt;&gt;1,$G170*($N170^$K170)*(($N170^($K170*INT(BX$2/$K170))-1)/($N170^$K170-1)),$G170*INT(BX$2/$K170))</f>
        <v>#VALUE!</v>
      </c>
      <c r="BY170" s="115" t="e">
        <f t="shared" si="300"/>
        <v>#VALUE!</v>
      </c>
      <c r="BZ170" s="115" t="e">
        <f t="shared" si="300"/>
        <v>#VALUE!</v>
      </c>
      <c r="CA170" s="115" t="e">
        <f t="shared" si="300"/>
        <v>#VALUE!</v>
      </c>
      <c r="CB170" s="115" t="e">
        <f t="shared" si="300"/>
        <v>#VALUE!</v>
      </c>
      <c r="CC170" s="115" t="e">
        <f t="shared" si="300"/>
        <v>#VALUE!</v>
      </c>
      <c r="CD170" s="115" t="e">
        <f t="shared" si="300"/>
        <v>#VALUE!</v>
      </c>
      <c r="CE170" s="115" t="e">
        <f t="shared" si="300"/>
        <v>#VALUE!</v>
      </c>
      <c r="CF170" s="115" t="e">
        <f t="shared" si="300"/>
        <v>#VALUE!</v>
      </c>
      <c r="CG170" s="115" t="e">
        <f t="shared" si="300"/>
        <v>#VALUE!</v>
      </c>
      <c r="CH170" s="115" t="e">
        <f t="shared" ref="CH170:CQ174" si="301">IF($N170&lt;&gt;1,$G170*($N170^$K170)*(($N170^($K170*INT(CH$2/$K170))-1)/($N170^$K170-1)),$G170*INT(CH$2/$K170))</f>
        <v>#VALUE!</v>
      </c>
      <c r="CI170" s="115" t="e">
        <f t="shared" si="301"/>
        <v>#VALUE!</v>
      </c>
      <c r="CJ170" s="115" t="e">
        <f t="shared" si="301"/>
        <v>#VALUE!</v>
      </c>
      <c r="CK170" s="115" t="e">
        <f t="shared" si="301"/>
        <v>#VALUE!</v>
      </c>
      <c r="CL170" s="115" t="e">
        <f t="shared" si="301"/>
        <v>#VALUE!</v>
      </c>
      <c r="CM170" s="115" t="e">
        <f t="shared" si="301"/>
        <v>#VALUE!</v>
      </c>
      <c r="CN170" s="115" t="e">
        <f t="shared" si="301"/>
        <v>#VALUE!</v>
      </c>
      <c r="CO170" s="115" t="e">
        <f t="shared" si="301"/>
        <v>#VALUE!</v>
      </c>
      <c r="CP170" s="115" t="e">
        <f t="shared" si="301"/>
        <v>#VALUE!</v>
      </c>
      <c r="CQ170" s="115" t="e">
        <f t="shared" si="301"/>
        <v>#VALUE!</v>
      </c>
      <c r="CR170" s="115" t="e">
        <f t="shared" ref="CR170:DA174" si="302">IF($N170&lt;&gt;1,$G170*($N170^$K170)*(($N170^($K170*INT(CR$2/$K170))-1)/($N170^$K170-1)),$G170*INT(CR$2/$K170))</f>
        <v>#VALUE!</v>
      </c>
      <c r="CS170" s="115" t="e">
        <f t="shared" si="302"/>
        <v>#VALUE!</v>
      </c>
      <c r="CT170" s="115" t="e">
        <f t="shared" si="302"/>
        <v>#VALUE!</v>
      </c>
      <c r="CU170" s="115" t="e">
        <f t="shared" si="302"/>
        <v>#VALUE!</v>
      </c>
      <c r="CV170" s="115" t="e">
        <f t="shared" si="302"/>
        <v>#VALUE!</v>
      </c>
      <c r="CW170" s="115" t="e">
        <f t="shared" si="302"/>
        <v>#VALUE!</v>
      </c>
      <c r="CX170" s="115" t="e">
        <f t="shared" si="302"/>
        <v>#VALUE!</v>
      </c>
      <c r="CY170" s="115" t="e">
        <f t="shared" si="302"/>
        <v>#VALUE!</v>
      </c>
      <c r="CZ170" s="115" t="e">
        <f t="shared" si="302"/>
        <v>#VALUE!</v>
      </c>
      <c r="DA170" s="115" t="e">
        <f t="shared" si="302"/>
        <v>#VALUE!</v>
      </c>
      <c r="DB170" s="115" t="e">
        <f t="shared" ref="DB170:DM174" si="303">IF($N170&lt;&gt;1,$G170*($N170^$K170)*(($N170^($K170*INT(DB$2/$K170))-1)/($N170^$K170-1)),$G170*INT(DB$2/$K170))</f>
        <v>#VALUE!</v>
      </c>
      <c r="DC170" s="115" t="e">
        <f t="shared" si="303"/>
        <v>#VALUE!</v>
      </c>
      <c r="DD170" s="115" t="e">
        <f t="shared" si="303"/>
        <v>#VALUE!</v>
      </c>
      <c r="DE170" s="115" t="e">
        <f t="shared" si="303"/>
        <v>#VALUE!</v>
      </c>
      <c r="DF170" s="115" t="e">
        <f t="shared" si="303"/>
        <v>#VALUE!</v>
      </c>
      <c r="DG170" s="115" t="e">
        <f t="shared" si="303"/>
        <v>#VALUE!</v>
      </c>
      <c r="DH170" s="115" t="e">
        <f t="shared" si="303"/>
        <v>#VALUE!</v>
      </c>
      <c r="DI170" s="115" t="e">
        <f t="shared" si="303"/>
        <v>#VALUE!</v>
      </c>
      <c r="DJ170" s="115" t="e">
        <f t="shared" si="303"/>
        <v>#VALUE!</v>
      </c>
      <c r="DK170" s="115" t="e">
        <f t="shared" si="303"/>
        <v>#VALUE!</v>
      </c>
      <c r="DL170" s="115" t="e">
        <f t="shared" si="303"/>
        <v>#VALUE!</v>
      </c>
      <c r="DM170" s="115" t="e">
        <f t="shared" si="303"/>
        <v>#VALUE!</v>
      </c>
    </row>
    <row r="171" spans="1:117" ht="15" customHeight="1" thickBot="1">
      <c r="A171" s="55">
        <v>17900</v>
      </c>
      <c r="B171" s="194" t="s">
        <v>728</v>
      </c>
      <c r="C171" s="194" t="s">
        <v>932</v>
      </c>
      <c r="D171" s="194" t="s">
        <v>933</v>
      </c>
      <c r="E171" s="194" t="s">
        <v>160</v>
      </c>
      <c r="F171" s="194" t="s">
        <v>1131</v>
      </c>
      <c r="G171" s="291" t="e">
        <f t="shared" si="293"/>
        <v>#VALUE!</v>
      </c>
      <c r="H171" s="292" t="e">
        <f>VLOOKUP("E4.D.03",Errichtungskosten,12,0) *VLOOKUP("PFAKT",Instandsetzung,5,0)</f>
        <v>#VALUE!</v>
      </c>
      <c r="I171" s="168"/>
      <c r="J171" s="194" t="s">
        <v>850</v>
      </c>
      <c r="K171" s="385">
        <f>IF(ISNUMBER(VLOOKUP(E171,Nutzungsdauern,5,0)),VLOOKUP(E171,Nutzungsdauern,5,0),1000)</f>
        <v>22</v>
      </c>
      <c r="L171" s="379" t="s">
        <v>356</v>
      </c>
      <c r="M171" s="325">
        <f>VLOOKUP(L171,Finanzielle_Parameter,5,0)</f>
        <v>2.77</v>
      </c>
      <c r="N171" s="380">
        <f>(1+VLOOKUP(L171,Finanzielle_Parameter,5,0)/100)/(1+VLOOKUP("R",Finanzielle_Parameter,5,0)/100)</f>
        <v>1.0105211406096364</v>
      </c>
      <c r="O171" s="381" t="e">
        <f t="shared" si="294"/>
        <v>#VALUE!</v>
      </c>
      <c r="P171" s="169" t="s">
        <v>103</v>
      </c>
      <c r="Q171" s="114" t="e">
        <f t="shared" si="294"/>
        <v>#VALUE!</v>
      </c>
      <c r="R171" s="115" t="e">
        <f t="shared" si="294"/>
        <v>#VALUE!</v>
      </c>
      <c r="S171" s="115" t="e">
        <f t="shared" si="294"/>
        <v>#VALUE!</v>
      </c>
      <c r="T171" s="115" t="e">
        <f t="shared" si="294"/>
        <v>#VALUE!</v>
      </c>
      <c r="U171" s="115" t="e">
        <f t="shared" si="294"/>
        <v>#VALUE!</v>
      </c>
      <c r="V171" s="115" t="e">
        <f t="shared" si="294"/>
        <v>#VALUE!</v>
      </c>
      <c r="W171" s="115" t="e">
        <f t="shared" si="294"/>
        <v>#VALUE!</v>
      </c>
      <c r="X171" s="115" t="e">
        <f t="shared" si="294"/>
        <v>#VALUE!</v>
      </c>
      <c r="Y171" s="115" t="e">
        <f t="shared" si="294"/>
        <v>#VALUE!</v>
      </c>
      <c r="Z171" s="115" t="e">
        <f t="shared" si="295"/>
        <v>#VALUE!</v>
      </c>
      <c r="AA171" s="115" t="e">
        <f t="shared" si="295"/>
        <v>#VALUE!</v>
      </c>
      <c r="AB171" s="115" t="e">
        <f t="shared" si="295"/>
        <v>#VALUE!</v>
      </c>
      <c r="AC171" s="115" t="e">
        <f t="shared" si="295"/>
        <v>#VALUE!</v>
      </c>
      <c r="AD171" s="115" t="e">
        <f t="shared" si="295"/>
        <v>#VALUE!</v>
      </c>
      <c r="AE171" s="115" t="e">
        <f t="shared" si="295"/>
        <v>#VALUE!</v>
      </c>
      <c r="AF171" s="115" t="e">
        <f t="shared" si="295"/>
        <v>#VALUE!</v>
      </c>
      <c r="AG171" s="115" t="e">
        <f t="shared" si="295"/>
        <v>#VALUE!</v>
      </c>
      <c r="AH171" s="115" t="e">
        <f t="shared" si="295"/>
        <v>#VALUE!</v>
      </c>
      <c r="AI171" s="115" t="e">
        <f t="shared" si="295"/>
        <v>#VALUE!</v>
      </c>
      <c r="AJ171" s="115" t="e">
        <f t="shared" si="296"/>
        <v>#VALUE!</v>
      </c>
      <c r="AK171" s="115" t="e">
        <f t="shared" si="296"/>
        <v>#VALUE!</v>
      </c>
      <c r="AL171" s="115" t="e">
        <f t="shared" si="296"/>
        <v>#VALUE!</v>
      </c>
      <c r="AM171" s="115" t="e">
        <f t="shared" si="296"/>
        <v>#VALUE!</v>
      </c>
      <c r="AN171" s="115" t="e">
        <f t="shared" si="296"/>
        <v>#VALUE!</v>
      </c>
      <c r="AO171" s="115" t="e">
        <f t="shared" si="296"/>
        <v>#VALUE!</v>
      </c>
      <c r="AP171" s="115" t="e">
        <f t="shared" si="296"/>
        <v>#VALUE!</v>
      </c>
      <c r="AQ171" s="115" t="e">
        <f t="shared" si="296"/>
        <v>#VALUE!</v>
      </c>
      <c r="AR171" s="115" t="e">
        <f t="shared" si="296"/>
        <v>#VALUE!</v>
      </c>
      <c r="AS171" s="115" t="e">
        <f t="shared" si="296"/>
        <v>#VALUE!</v>
      </c>
      <c r="AT171" s="115" t="e">
        <f t="shared" si="297"/>
        <v>#VALUE!</v>
      </c>
      <c r="AU171" s="115" t="e">
        <f t="shared" si="297"/>
        <v>#VALUE!</v>
      </c>
      <c r="AV171" s="115" t="e">
        <f t="shared" si="297"/>
        <v>#VALUE!</v>
      </c>
      <c r="AW171" s="115" t="e">
        <f t="shared" si="297"/>
        <v>#VALUE!</v>
      </c>
      <c r="AX171" s="115" t="e">
        <f t="shared" si="297"/>
        <v>#VALUE!</v>
      </c>
      <c r="AY171" s="115" t="e">
        <f t="shared" si="297"/>
        <v>#VALUE!</v>
      </c>
      <c r="AZ171" s="115" t="e">
        <f t="shared" si="297"/>
        <v>#VALUE!</v>
      </c>
      <c r="BA171" s="115" t="e">
        <f t="shared" si="297"/>
        <v>#VALUE!</v>
      </c>
      <c r="BB171" s="115" t="e">
        <f t="shared" si="297"/>
        <v>#VALUE!</v>
      </c>
      <c r="BC171" s="115" t="e">
        <f t="shared" si="297"/>
        <v>#VALUE!</v>
      </c>
      <c r="BD171" s="115" t="e">
        <f t="shared" si="298"/>
        <v>#VALUE!</v>
      </c>
      <c r="BE171" s="115" t="e">
        <f t="shared" si="298"/>
        <v>#VALUE!</v>
      </c>
      <c r="BF171" s="115" t="e">
        <f t="shared" si="298"/>
        <v>#VALUE!</v>
      </c>
      <c r="BG171" s="115" t="e">
        <f t="shared" si="298"/>
        <v>#VALUE!</v>
      </c>
      <c r="BH171" s="115" t="e">
        <f t="shared" si="298"/>
        <v>#VALUE!</v>
      </c>
      <c r="BI171" s="115" t="e">
        <f t="shared" si="298"/>
        <v>#VALUE!</v>
      </c>
      <c r="BJ171" s="115" t="e">
        <f t="shared" si="298"/>
        <v>#VALUE!</v>
      </c>
      <c r="BK171" s="115" t="e">
        <f t="shared" si="298"/>
        <v>#VALUE!</v>
      </c>
      <c r="BL171" s="115" t="e">
        <f t="shared" si="298"/>
        <v>#VALUE!</v>
      </c>
      <c r="BM171" s="115" t="e">
        <f t="shared" si="298"/>
        <v>#VALUE!</v>
      </c>
      <c r="BN171" s="115" t="e">
        <f t="shared" si="299"/>
        <v>#VALUE!</v>
      </c>
      <c r="BO171" s="115" t="e">
        <f t="shared" si="299"/>
        <v>#VALUE!</v>
      </c>
      <c r="BP171" s="115" t="e">
        <f t="shared" si="299"/>
        <v>#VALUE!</v>
      </c>
      <c r="BQ171" s="115" t="e">
        <f t="shared" si="299"/>
        <v>#VALUE!</v>
      </c>
      <c r="BR171" s="115" t="e">
        <f t="shared" si="299"/>
        <v>#VALUE!</v>
      </c>
      <c r="BS171" s="115" t="e">
        <f t="shared" si="299"/>
        <v>#VALUE!</v>
      </c>
      <c r="BT171" s="115" t="e">
        <f t="shared" si="299"/>
        <v>#VALUE!</v>
      </c>
      <c r="BU171" s="115" t="e">
        <f t="shared" si="299"/>
        <v>#VALUE!</v>
      </c>
      <c r="BV171" s="115" t="e">
        <f t="shared" si="299"/>
        <v>#VALUE!</v>
      </c>
      <c r="BW171" s="115" t="e">
        <f t="shared" si="299"/>
        <v>#VALUE!</v>
      </c>
      <c r="BX171" s="115" t="e">
        <f t="shared" si="300"/>
        <v>#VALUE!</v>
      </c>
      <c r="BY171" s="115" t="e">
        <f t="shared" si="300"/>
        <v>#VALUE!</v>
      </c>
      <c r="BZ171" s="115" t="e">
        <f t="shared" si="300"/>
        <v>#VALUE!</v>
      </c>
      <c r="CA171" s="115" t="e">
        <f t="shared" si="300"/>
        <v>#VALUE!</v>
      </c>
      <c r="CB171" s="115" t="e">
        <f t="shared" si="300"/>
        <v>#VALUE!</v>
      </c>
      <c r="CC171" s="115" t="e">
        <f t="shared" si="300"/>
        <v>#VALUE!</v>
      </c>
      <c r="CD171" s="115" t="e">
        <f t="shared" si="300"/>
        <v>#VALUE!</v>
      </c>
      <c r="CE171" s="115" t="e">
        <f t="shared" si="300"/>
        <v>#VALUE!</v>
      </c>
      <c r="CF171" s="115" t="e">
        <f t="shared" si="300"/>
        <v>#VALUE!</v>
      </c>
      <c r="CG171" s="115" t="e">
        <f t="shared" si="300"/>
        <v>#VALUE!</v>
      </c>
      <c r="CH171" s="115" t="e">
        <f t="shared" si="301"/>
        <v>#VALUE!</v>
      </c>
      <c r="CI171" s="115" t="e">
        <f t="shared" si="301"/>
        <v>#VALUE!</v>
      </c>
      <c r="CJ171" s="115" t="e">
        <f t="shared" si="301"/>
        <v>#VALUE!</v>
      </c>
      <c r="CK171" s="115" t="e">
        <f t="shared" si="301"/>
        <v>#VALUE!</v>
      </c>
      <c r="CL171" s="115" t="e">
        <f t="shared" si="301"/>
        <v>#VALUE!</v>
      </c>
      <c r="CM171" s="115" t="e">
        <f t="shared" si="301"/>
        <v>#VALUE!</v>
      </c>
      <c r="CN171" s="115" t="e">
        <f t="shared" si="301"/>
        <v>#VALUE!</v>
      </c>
      <c r="CO171" s="115" t="e">
        <f t="shared" si="301"/>
        <v>#VALUE!</v>
      </c>
      <c r="CP171" s="115" t="e">
        <f t="shared" si="301"/>
        <v>#VALUE!</v>
      </c>
      <c r="CQ171" s="115" t="e">
        <f t="shared" si="301"/>
        <v>#VALUE!</v>
      </c>
      <c r="CR171" s="115" t="e">
        <f t="shared" si="302"/>
        <v>#VALUE!</v>
      </c>
      <c r="CS171" s="115" t="e">
        <f t="shared" si="302"/>
        <v>#VALUE!</v>
      </c>
      <c r="CT171" s="115" t="e">
        <f t="shared" si="302"/>
        <v>#VALUE!</v>
      </c>
      <c r="CU171" s="115" t="e">
        <f t="shared" si="302"/>
        <v>#VALUE!</v>
      </c>
      <c r="CV171" s="115" t="e">
        <f t="shared" si="302"/>
        <v>#VALUE!</v>
      </c>
      <c r="CW171" s="115" t="e">
        <f t="shared" si="302"/>
        <v>#VALUE!</v>
      </c>
      <c r="CX171" s="115" t="e">
        <f t="shared" si="302"/>
        <v>#VALUE!</v>
      </c>
      <c r="CY171" s="115" t="e">
        <f t="shared" si="302"/>
        <v>#VALUE!</v>
      </c>
      <c r="CZ171" s="115" t="e">
        <f t="shared" si="302"/>
        <v>#VALUE!</v>
      </c>
      <c r="DA171" s="115" t="e">
        <f t="shared" si="302"/>
        <v>#VALUE!</v>
      </c>
      <c r="DB171" s="115" t="e">
        <f t="shared" si="303"/>
        <v>#VALUE!</v>
      </c>
      <c r="DC171" s="115" t="e">
        <f t="shared" si="303"/>
        <v>#VALUE!</v>
      </c>
      <c r="DD171" s="115" t="e">
        <f t="shared" si="303"/>
        <v>#VALUE!</v>
      </c>
      <c r="DE171" s="115" t="e">
        <f t="shared" si="303"/>
        <v>#VALUE!</v>
      </c>
      <c r="DF171" s="115" t="e">
        <f t="shared" si="303"/>
        <v>#VALUE!</v>
      </c>
      <c r="DG171" s="115" t="e">
        <f t="shared" si="303"/>
        <v>#VALUE!</v>
      </c>
      <c r="DH171" s="115" t="e">
        <f t="shared" si="303"/>
        <v>#VALUE!</v>
      </c>
      <c r="DI171" s="115" t="e">
        <f t="shared" si="303"/>
        <v>#VALUE!</v>
      </c>
      <c r="DJ171" s="115" t="e">
        <f t="shared" si="303"/>
        <v>#VALUE!</v>
      </c>
      <c r="DK171" s="115" t="e">
        <f t="shared" si="303"/>
        <v>#VALUE!</v>
      </c>
      <c r="DL171" s="115" t="e">
        <f t="shared" si="303"/>
        <v>#VALUE!</v>
      </c>
      <c r="DM171" s="115" t="e">
        <f t="shared" si="303"/>
        <v>#VALUE!</v>
      </c>
    </row>
    <row r="172" spans="1:117" ht="15" customHeight="1" thickBot="1">
      <c r="A172" s="55">
        <v>18000</v>
      </c>
      <c r="B172" s="194" t="s">
        <v>728</v>
      </c>
      <c r="C172" s="194" t="s">
        <v>934</v>
      </c>
      <c r="D172" s="194" t="s">
        <v>156</v>
      </c>
      <c r="E172" s="194" t="s">
        <v>157</v>
      </c>
      <c r="F172" s="194" t="s">
        <v>1132</v>
      </c>
      <c r="G172" s="291" t="e">
        <f t="shared" si="293"/>
        <v>#VALUE!</v>
      </c>
      <c r="H172" s="292" t="e">
        <f>VLOOKUP("E4.D.04",Errichtungskosten,12,0) *VLOOKUP("PFAKT",Instandsetzung,5,0)</f>
        <v>#VALUE!</v>
      </c>
      <c r="I172" s="168"/>
      <c r="J172" s="194" t="s">
        <v>850</v>
      </c>
      <c r="K172" s="385">
        <f>IF(ISNUMBER(VLOOKUP(E172,Nutzungsdauern,5,0)),VLOOKUP(E172,Nutzungsdauern,5,0),1000)</f>
        <v>24</v>
      </c>
      <c r="L172" s="379" t="s">
        <v>356</v>
      </c>
      <c r="M172" s="325">
        <f>VLOOKUP(L172,Finanzielle_Parameter,5,0)</f>
        <v>2.77</v>
      </c>
      <c r="N172" s="380">
        <f>(1+VLOOKUP(L172,Finanzielle_Parameter,5,0)/100)/(1+VLOOKUP("R",Finanzielle_Parameter,5,0)/100)</f>
        <v>1.0105211406096364</v>
      </c>
      <c r="O172" s="381" t="e">
        <f t="shared" si="294"/>
        <v>#VALUE!</v>
      </c>
      <c r="P172" s="169" t="s">
        <v>103</v>
      </c>
      <c r="Q172" s="114" t="e">
        <f t="shared" si="294"/>
        <v>#VALUE!</v>
      </c>
      <c r="R172" s="115" t="e">
        <f t="shared" si="294"/>
        <v>#VALUE!</v>
      </c>
      <c r="S172" s="115" t="e">
        <f t="shared" si="294"/>
        <v>#VALUE!</v>
      </c>
      <c r="T172" s="115" t="e">
        <f t="shared" si="294"/>
        <v>#VALUE!</v>
      </c>
      <c r="U172" s="115" t="e">
        <f t="shared" si="294"/>
        <v>#VALUE!</v>
      </c>
      <c r="V172" s="115" t="e">
        <f t="shared" si="294"/>
        <v>#VALUE!</v>
      </c>
      <c r="W172" s="115" t="e">
        <f t="shared" si="294"/>
        <v>#VALUE!</v>
      </c>
      <c r="X172" s="115" t="e">
        <f t="shared" si="294"/>
        <v>#VALUE!</v>
      </c>
      <c r="Y172" s="115" t="e">
        <f t="shared" si="294"/>
        <v>#VALUE!</v>
      </c>
      <c r="Z172" s="115" t="e">
        <f t="shared" si="295"/>
        <v>#VALUE!</v>
      </c>
      <c r="AA172" s="115" t="e">
        <f t="shared" si="295"/>
        <v>#VALUE!</v>
      </c>
      <c r="AB172" s="115" t="e">
        <f t="shared" si="295"/>
        <v>#VALUE!</v>
      </c>
      <c r="AC172" s="115" t="e">
        <f t="shared" si="295"/>
        <v>#VALUE!</v>
      </c>
      <c r="AD172" s="115" t="e">
        <f t="shared" si="295"/>
        <v>#VALUE!</v>
      </c>
      <c r="AE172" s="115" t="e">
        <f t="shared" si="295"/>
        <v>#VALUE!</v>
      </c>
      <c r="AF172" s="115" t="e">
        <f t="shared" si="295"/>
        <v>#VALUE!</v>
      </c>
      <c r="AG172" s="115" t="e">
        <f t="shared" si="295"/>
        <v>#VALUE!</v>
      </c>
      <c r="AH172" s="115" t="e">
        <f t="shared" si="295"/>
        <v>#VALUE!</v>
      </c>
      <c r="AI172" s="115" t="e">
        <f t="shared" si="295"/>
        <v>#VALUE!</v>
      </c>
      <c r="AJ172" s="115" t="e">
        <f t="shared" si="296"/>
        <v>#VALUE!</v>
      </c>
      <c r="AK172" s="115" t="e">
        <f t="shared" si="296"/>
        <v>#VALUE!</v>
      </c>
      <c r="AL172" s="115" t="e">
        <f t="shared" si="296"/>
        <v>#VALUE!</v>
      </c>
      <c r="AM172" s="115" t="e">
        <f t="shared" si="296"/>
        <v>#VALUE!</v>
      </c>
      <c r="AN172" s="115" t="e">
        <f t="shared" si="296"/>
        <v>#VALUE!</v>
      </c>
      <c r="AO172" s="115" t="e">
        <f t="shared" si="296"/>
        <v>#VALUE!</v>
      </c>
      <c r="AP172" s="115" t="e">
        <f t="shared" si="296"/>
        <v>#VALUE!</v>
      </c>
      <c r="AQ172" s="115" t="e">
        <f t="shared" si="296"/>
        <v>#VALUE!</v>
      </c>
      <c r="AR172" s="115" t="e">
        <f t="shared" si="296"/>
        <v>#VALUE!</v>
      </c>
      <c r="AS172" s="115" t="e">
        <f t="shared" si="296"/>
        <v>#VALUE!</v>
      </c>
      <c r="AT172" s="115" t="e">
        <f t="shared" si="297"/>
        <v>#VALUE!</v>
      </c>
      <c r="AU172" s="115" t="e">
        <f t="shared" si="297"/>
        <v>#VALUE!</v>
      </c>
      <c r="AV172" s="115" t="e">
        <f t="shared" si="297"/>
        <v>#VALUE!</v>
      </c>
      <c r="AW172" s="115" t="e">
        <f t="shared" si="297"/>
        <v>#VALUE!</v>
      </c>
      <c r="AX172" s="115" t="e">
        <f t="shared" si="297"/>
        <v>#VALUE!</v>
      </c>
      <c r="AY172" s="115" t="e">
        <f t="shared" si="297"/>
        <v>#VALUE!</v>
      </c>
      <c r="AZ172" s="115" t="e">
        <f t="shared" si="297"/>
        <v>#VALUE!</v>
      </c>
      <c r="BA172" s="115" t="e">
        <f t="shared" si="297"/>
        <v>#VALUE!</v>
      </c>
      <c r="BB172" s="115" t="e">
        <f t="shared" si="297"/>
        <v>#VALUE!</v>
      </c>
      <c r="BC172" s="115" t="e">
        <f t="shared" si="297"/>
        <v>#VALUE!</v>
      </c>
      <c r="BD172" s="115" t="e">
        <f t="shared" si="298"/>
        <v>#VALUE!</v>
      </c>
      <c r="BE172" s="115" t="e">
        <f t="shared" si="298"/>
        <v>#VALUE!</v>
      </c>
      <c r="BF172" s="115" t="e">
        <f t="shared" si="298"/>
        <v>#VALUE!</v>
      </c>
      <c r="BG172" s="115" t="e">
        <f t="shared" si="298"/>
        <v>#VALUE!</v>
      </c>
      <c r="BH172" s="115" t="e">
        <f t="shared" si="298"/>
        <v>#VALUE!</v>
      </c>
      <c r="BI172" s="115" t="e">
        <f t="shared" si="298"/>
        <v>#VALUE!</v>
      </c>
      <c r="BJ172" s="115" t="e">
        <f t="shared" si="298"/>
        <v>#VALUE!</v>
      </c>
      <c r="BK172" s="115" t="e">
        <f t="shared" si="298"/>
        <v>#VALUE!</v>
      </c>
      <c r="BL172" s="115" t="e">
        <f t="shared" si="298"/>
        <v>#VALUE!</v>
      </c>
      <c r="BM172" s="115" t="e">
        <f t="shared" si="298"/>
        <v>#VALUE!</v>
      </c>
      <c r="BN172" s="115" t="e">
        <f t="shared" si="299"/>
        <v>#VALUE!</v>
      </c>
      <c r="BO172" s="115" t="e">
        <f t="shared" si="299"/>
        <v>#VALUE!</v>
      </c>
      <c r="BP172" s="115" t="e">
        <f t="shared" si="299"/>
        <v>#VALUE!</v>
      </c>
      <c r="BQ172" s="115" t="e">
        <f t="shared" si="299"/>
        <v>#VALUE!</v>
      </c>
      <c r="BR172" s="115" t="e">
        <f t="shared" si="299"/>
        <v>#VALUE!</v>
      </c>
      <c r="BS172" s="115" t="e">
        <f t="shared" si="299"/>
        <v>#VALUE!</v>
      </c>
      <c r="BT172" s="115" t="e">
        <f t="shared" si="299"/>
        <v>#VALUE!</v>
      </c>
      <c r="BU172" s="115" t="e">
        <f t="shared" si="299"/>
        <v>#VALUE!</v>
      </c>
      <c r="BV172" s="115" t="e">
        <f t="shared" si="299"/>
        <v>#VALUE!</v>
      </c>
      <c r="BW172" s="115" t="e">
        <f t="shared" si="299"/>
        <v>#VALUE!</v>
      </c>
      <c r="BX172" s="115" t="e">
        <f t="shared" si="300"/>
        <v>#VALUE!</v>
      </c>
      <c r="BY172" s="115" t="e">
        <f t="shared" si="300"/>
        <v>#VALUE!</v>
      </c>
      <c r="BZ172" s="115" t="e">
        <f t="shared" si="300"/>
        <v>#VALUE!</v>
      </c>
      <c r="CA172" s="115" t="e">
        <f t="shared" si="300"/>
        <v>#VALUE!</v>
      </c>
      <c r="CB172" s="115" t="e">
        <f t="shared" si="300"/>
        <v>#VALUE!</v>
      </c>
      <c r="CC172" s="115" t="e">
        <f t="shared" si="300"/>
        <v>#VALUE!</v>
      </c>
      <c r="CD172" s="115" t="e">
        <f t="shared" si="300"/>
        <v>#VALUE!</v>
      </c>
      <c r="CE172" s="115" t="e">
        <f t="shared" si="300"/>
        <v>#VALUE!</v>
      </c>
      <c r="CF172" s="115" t="e">
        <f t="shared" si="300"/>
        <v>#VALUE!</v>
      </c>
      <c r="CG172" s="115" t="e">
        <f t="shared" si="300"/>
        <v>#VALUE!</v>
      </c>
      <c r="CH172" s="115" t="e">
        <f t="shared" si="301"/>
        <v>#VALUE!</v>
      </c>
      <c r="CI172" s="115" t="e">
        <f t="shared" si="301"/>
        <v>#VALUE!</v>
      </c>
      <c r="CJ172" s="115" t="e">
        <f t="shared" si="301"/>
        <v>#VALUE!</v>
      </c>
      <c r="CK172" s="115" t="e">
        <f t="shared" si="301"/>
        <v>#VALUE!</v>
      </c>
      <c r="CL172" s="115" t="e">
        <f t="shared" si="301"/>
        <v>#VALUE!</v>
      </c>
      <c r="CM172" s="115" t="e">
        <f t="shared" si="301"/>
        <v>#VALUE!</v>
      </c>
      <c r="CN172" s="115" t="e">
        <f t="shared" si="301"/>
        <v>#VALUE!</v>
      </c>
      <c r="CO172" s="115" t="e">
        <f t="shared" si="301"/>
        <v>#VALUE!</v>
      </c>
      <c r="CP172" s="115" t="e">
        <f t="shared" si="301"/>
        <v>#VALUE!</v>
      </c>
      <c r="CQ172" s="115" t="e">
        <f t="shared" si="301"/>
        <v>#VALUE!</v>
      </c>
      <c r="CR172" s="115" t="e">
        <f t="shared" si="302"/>
        <v>#VALUE!</v>
      </c>
      <c r="CS172" s="115" t="e">
        <f t="shared" si="302"/>
        <v>#VALUE!</v>
      </c>
      <c r="CT172" s="115" t="e">
        <f t="shared" si="302"/>
        <v>#VALUE!</v>
      </c>
      <c r="CU172" s="115" t="e">
        <f t="shared" si="302"/>
        <v>#VALUE!</v>
      </c>
      <c r="CV172" s="115" t="e">
        <f t="shared" si="302"/>
        <v>#VALUE!</v>
      </c>
      <c r="CW172" s="115" t="e">
        <f t="shared" si="302"/>
        <v>#VALUE!</v>
      </c>
      <c r="CX172" s="115" t="e">
        <f t="shared" si="302"/>
        <v>#VALUE!</v>
      </c>
      <c r="CY172" s="115" t="e">
        <f t="shared" si="302"/>
        <v>#VALUE!</v>
      </c>
      <c r="CZ172" s="115" t="e">
        <f t="shared" si="302"/>
        <v>#VALUE!</v>
      </c>
      <c r="DA172" s="115" t="e">
        <f t="shared" si="302"/>
        <v>#VALUE!</v>
      </c>
      <c r="DB172" s="115" t="e">
        <f t="shared" si="303"/>
        <v>#VALUE!</v>
      </c>
      <c r="DC172" s="115" t="e">
        <f t="shared" si="303"/>
        <v>#VALUE!</v>
      </c>
      <c r="DD172" s="115" t="e">
        <f t="shared" si="303"/>
        <v>#VALUE!</v>
      </c>
      <c r="DE172" s="115" t="e">
        <f t="shared" si="303"/>
        <v>#VALUE!</v>
      </c>
      <c r="DF172" s="115" t="e">
        <f t="shared" si="303"/>
        <v>#VALUE!</v>
      </c>
      <c r="DG172" s="115" t="e">
        <f t="shared" si="303"/>
        <v>#VALUE!</v>
      </c>
      <c r="DH172" s="115" t="e">
        <f t="shared" si="303"/>
        <v>#VALUE!</v>
      </c>
      <c r="DI172" s="115" t="e">
        <f t="shared" si="303"/>
        <v>#VALUE!</v>
      </c>
      <c r="DJ172" s="115" t="e">
        <f t="shared" si="303"/>
        <v>#VALUE!</v>
      </c>
      <c r="DK172" s="115" t="e">
        <f t="shared" si="303"/>
        <v>#VALUE!</v>
      </c>
      <c r="DL172" s="115" t="e">
        <f t="shared" si="303"/>
        <v>#VALUE!</v>
      </c>
      <c r="DM172" s="115" t="e">
        <f t="shared" si="303"/>
        <v>#VALUE!</v>
      </c>
    </row>
    <row r="173" spans="1:117" ht="15" customHeight="1" thickBot="1">
      <c r="A173" s="55">
        <v>18100</v>
      </c>
      <c r="B173" s="194" t="s">
        <v>728</v>
      </c>
      <c r="C173" s="194" t="s">
        <v>935</v>
      </c>
      <c r="D173" s="194" t="s">
        <v>154</v>
      </c>
      <c r="E173" s="194" t="s">
        <v>155</v>
      </c>
      <c r="F173" s="194" t="s">
        <v>1133</v>
      </c>
      <c r="G173" s="291" t="e">
        <f t="shared" si="293"/>
        <v>#VALUE!</v>
      </c>
      <c r="H173" s="292" t="e">
        <f>VLOOKUP("E4.D.05",Errichtungskosten,12,0) *VLOOKUP("PFAKT",Instandsetzung,5,0)</f>
        <v>#VALUE!</v>
      </c>
      <c r="I173" s="168"/>
      <c r="J173" s="194" t="s">
        <v>850</v>
      </c>
      <c r="K173" s="385">
        <f>IF(ISNUMBER(VLOOKUP(E173,Nutzungsdauern,5,0)),VLOOKUP(E173,Nutzungsdauern,5,0),1000)</f>
        <v>1000</v>
      </c>
      <c r="L173" s="379" t="s">
        <v>356</v>
      </c>
      <c r="M173" s="325">
        <f>VLOOKUP(L173,Finanzielle_Parameter,5,0)</f>
        <v>2.77</v>
      </c>
      <c r="N173" s="380">
        <f>(1+VLOOKUP(L173,Finanzielle_Parameter,5,0)/100)/(1+VLOOKUP("R",Finanzielle_Parameter,5,0)/100)</f>
        <v>1.0105211406096364</v>
      </c>
      <c r="O173" s="381" t="e">
        <f t="shared" si="294"/>
        <v>#VALUE!</v>
      </c>
      <c r="P173" s="169" t="s">
        <v>103</v>
      </c>
      <c r="Q173" s="114" t="e">
        <f t="shared" si="294"/>
        <v>#VALUE!</v>
      </c>
      <c r="R173" s="115" t="e">
        <f t="shared" si="294"/>
        <v>#VALUE!</v>
      </c>
      <c r="S173" s="115" t="e">
        <f t="shared" si="294"/>
        <v>#VALUE!</v>
      </c>
      <c r="T173" s="115" t="e">
        <f t="shared" si="294"/>
        <v>#VALUE!</v>
      </c>
      <c r="U173" s="115" t="e">
        <f t="shared" si="294"/>
        <v>#VALUE!</v>
      </c>
      <c r="V173" s="115" t="e">
        <f t="shared" si="294"/>
        <v>#VALUE!</v>
      </c>
      <c r="W173" s="115" t="e">
        <f t="shared" si="294"/>
        <v>#VALUE!</v>
      </c>
      <c r="X173" s="115" t="e">
        <f t="shared" si="294"/>
        <v>#VALUE!</v>
      </c>
      <c r="Y173" s="115" t="e">
        <f t="shared" si="294"/>
        <v>#VALUE!</v>
      </c>
      <c r="Z173" s="115" t="e">
        <f t="shared" si="295"/>
        <v>#VALUE!</v>
      </c>
      <c r="AA173" s="115" t="e">
        <f t="shared" si="295"/>
        <v>#VALUE!</v>
      </c>
      <c r="AB173" s="115" t="e">
        <f t="shared" si="295"/>
        <v>#VALUE!</v>
      </c>
      <c r="AC173" s="115" t="e">
        <f t="shared" si="295"/>
        <v>#VALUE!</v>
      </c>
      <c r="AD173" s="115" t="e">
        <f t="shared" si="295"/>
        <v>#VALUE!</v>
      </c>
      <c r="AE173" s="115" t="e">
        <f t="shared" si="295"/>
        <v>#VALUE!</v>
      </c>
      <c r="AF173" s="115" t="e">
        <f t="shared" si="295"/>
        <v>#VALUE!</v>
      </c>
      <c r="AG173" s="115" t="e">
        <f t="shared" si="295"/>
        <v>#VALUE!</v>
      </c>
      <c r="AH173" s="115" t="e">
        <f t="shared" si="295"/>
        <v>#VALUE!</v>
      </c>
      <c r="AI173" s="115" t="e">
        <f t="shared" si="295"/>
        <v>#VALUE!</v>
      </c>
      <c r="AJ173" s="115" t="e">
        <f t="shared" si="296"/>
        <v>#VALUE!</v>
      </c>
      <c r="AK173" s="115" t="e">
        <f t="shared" si="296"/>
        <v>#VALUE!</v>
      </c>
      <c r="AL173" s="115" t="e">
        <f t="shared" si="296"/>
        <v>#VALUE!</v>
      </c>
      <c r="AM173" s="115" t="e">
        <f t="shared" si="296"/>
        <v>#VALUE!</v>
      </c>
      <c r="AN173" s="115" t="e">
        <f t="shared" si="296"/>
        <v>#VALUE!</v>
      </c>
      <c r="AO173" s="115" t="e">
        <f t="shared" si="296"/>
        <v>#VALUE!</v>
      </c>
      <c r="AP173" s="115" t="e">
        <f t="shared" si="296"/>
        <v>#VALUE!</v>
      </c>
      <c r="AQ173" s="115" t="e">
        <f t="shared" si="296"/>
        <v>#VALUE!</v>
      </c>
      <c r="AR173" s="115" t="e">
        <f t="shared" si="296"/>
        <v>#VALUE!</v>
      </c>
      <c r="AS173" s="115" t="e">
        <f t="shared" si="296"/>
        <v>#VALUE!</v>
      </c>
      <c r="AT173" s="115" t="e">
        <f t="shared" si="297"/>
        <v>#VALUE!</v>
      </c>
      <c r="AU173" s="115" t="e">
        <f t="shared" si="297"/>
        <v>#VALUE!</v>
      </c>
      <c r="AV173" s="115" t="e">
        <f t="shared" si="297"/>
        <v>#VALUE!</v>
      </c>
      <c r="AW173" s="115" t="e">
        <f t="shared" si="297"/>
        <v>#VALUE!</v>
      </c>
      <c r="AX173" s="115" t="e">
        <f t="shared" si="297"/>
        <v>#VALUE!</v>
      </c>
      <c r="AY173" s="115" t="e">
        <f t="shared" si="297"/>
        <v>#VALUE!</v>
      </c>
      <c r="AZ173" s="115" t="e">
        <f t="shared" si="297"/>
        <v>#VALUE!</v>
      </c>
      <c r="BA173" s="115" t="e">
        <f t="shared" si="297"/>
        <v>#VALUE!</v>
      </c>
      <c r="BB173" s="115" t="e">
        <f t="shared" si="297"/>
        <v>#VALUE!</v>
      </c>
      <c r="BC173" s="115" t="e">
        <f t="shared" si="297"/>
        <v>#VALUE!</v>
      </c>
      <c r="BD173" s="115" t="e">
        <f t="shared" si="298"/>
        <v>#VALUE!</v>
      </c>
      <c r="BE173" s="115" t="e">
        <f t="shared" si="298"/>
        <v>#VALUE!</v>
      </c>
      <c r="BF173" s="115" t="e">
        <f t="shared" si="298"/>
        <v>#VALUE!</v>
      </c>
      <c r="BG173" s="115" t="e">
        <f t="shared" si="298"/>
        <v>#VALUE!</v>
      </c>
      <c r="BH173" s="115" t="e">
        <f t="shared" si="298"/>
        <v>#VALUE!</v>
      </c>
      <c r="BI173" s="115" t="e">
        <f t="shared" si="298"/>
        <v>#VALUE!</v>
      </c>
      <c r="BJ173" s="115" t="e">
        <f t="shared" si="298"/>
        <v>#VALUE!</v>
      </c>
      <c r="BK173" s="115" t="e">
        <f t="shared" si="298"/>
        <v>#VALUE!</v>
      </c>
      <c r="BL173" s="115" t="e">
        <f t="shared" si="298"/>
        <v>#VALUE!</v>
      </c>
      <c r="BM173" s="115" t="e">
        <f t="shared" si="298"/>
        <v>#VALUE!</v>
      </c>
      <c r="BN173" s="115" t="e">
        <f t="shared" si="299"/>
        <v>#VALUE!</v>
      </c>
      <c r="BO173" s="115" t="e">
        <f t="shared" si="299"/>
        <v>#VALUE!</v>
      </c>
      <c r="BP173" s="115" t="e">
        <f t="shared" si="299"/>
        <v>#VALUE!</v>
      </c>
      <c r="BQ173" s="115" t="e">
        <f t="shared" si="299"/>
        <v>#VALUE!</v>
      </c>
      <c r="BR173" s="115" t="e">
        <f t="shared" si="299"/>
        <v>#VALUE!</v>
      </c>
      <c r="BS173" s="115" t="e">
        <f t="shared" si="299"/>
        <v>#VALUE!</v>
      </c>
      <c r="BT173" s="115" t="e">
        <f t="shared" si="299"/>
        <v>#VALUE!</v>
      </c>
      <c r="BU173" s="115" t="e">
        <f t="shared" si="299"/>
        <v>#VALUE!</v>
      </c>
      <c r="BV173" s="115" t="e">
        <f t="shared" si="299"/>
        <v>#VALUE!</v>
      </c>
      <c r="BW173" s="115" t="e">
        <f t="shared" si="299"/>
        <v>#VALUE!</v>
      </c>
      <c r="BX173" s="115" t="e">
        <f t="shared" si="300"/>
        <v>#VALUE!</v>
      </c>
      <c r="BY173" s="115" t="e">
        <f t="shared" si="300"/>
        <v>#VALUE!</v>
      </c>
      <c r="BZ173" s="115" t="e">
        <f t="shared" si="300"/>
        <v>#VALUE!</v>
      </c>
      <c r="CA173" s="115" t="e">
        <f t="shared" si="300"/>
        <v>#VALUE!</v>
      </c>
      <c r="CB173" s="115" t="e">
        <f t="shared" si="300"/>
        <v>#VALUE!</v>
      </c>
      <c r="CC173" s="115" t="e">
        <f t="shared" si="300"/>
        <v>#VALUE!</v>
      </c>
      <c r="CD173" s="115" t="e">
        <f t="shared" si="300"/>
        <v>#VALUE!</v>
      </c>
      <c r="CE173" s="115" t="e">
        <f t="shared" si="300"/>
        <v>#VALUE!</v>
      </c>
      <c r="CF173" s="115" t="e">
        <f t="shared" si="300"/>
        <v>#VALUE!</v>
      </c>
      <c r="CG173" s="115" t="e">
        <f t="shared" si="300"/>
        <v>#VALUE!</v>
      </c>
      <c r="CH173" s="115" t="e">
        <f t="shared" si="301"/>
        <v>#VALUE!</v>
      </c>
      <c r="CI173" s="115" t="e">
        <f t="shared" si="301"/>
        <v>#VALUE!</v>
      </c>
      <c r="CJ173" s="115" t="e">
        <f t="shared" si="301"/>
        <v>#VALUE!</v>
      </c>
      <c r="CK173" s="115" t="e">
        <f t="shared" si="301"/>
        <v>#VALUE!</v>
      </c>
      <c r="CL173" s="115" t="e">
        <f t="shared" si="301"/>
        <v>#VALUE!</v>
      </c>
      <c r="CM173" s="115" t="e">
        <f t="shared" si="301"/>
        <v>#VALUE!</v>
      </c>
      <c r="CN173" s="115" t="e">
        <f t="shared" si="301"/>
        <v>#VALUE!</v>
      </c>
      <c r="CO173" s="115" t="e">
        <f t="shared" si="301"/>
        <v>#VALUE!</v>
      </c>
      <c r="CP173" s="115" t="e">
        <f t="shared" si="301"/>
        <v>#VALUE!</v>
      </c>
      <c r="CQ173" s="115" t="e">
        <f t="shared" si="301"/>
        <v>#VALUE!</v>
      </c>
      <c r="CR173" s="115" t="e">
        <f t="shared" si="302"/>
        <v>#VALUE!</v>
      </c>
      <c r="CS173" s="115" t="e">
        <f t="shared" si="302"/>
        <v>#VALUE!</v>
      </c>
      <c r="CT173" s="115" t="e">
        <f t="shared" si="302"/>
        <v>#VALUE!</v>
      </c>
      <c r="CU173" s="115" t="e">
        <f t="shared" si="302"/>
        <v>#VALUE!</v>
      </c>
      <c r="CV173" s="115" t="e">
        <f t="shared" si="302"/>
        <v>#VALUE!</v>
      </c>
      <c r="CW173" s="115" t="e">
        <f t="shared" si="302"/>
        <v>#VALUE!</v>
      </c>
      <c r="CX173" s="115" t="e">
        <f t="shared" si="302"/>
        <v>#VALUE!</v>
      </c>
      <c r="CY173" s="115" t="e">
        <f t="shared" si="302"/>
        <v>#VALUE!</v>
      </c>
      <c r="CZ173" s="115" t="e">
        <f t="shared" si="302"/>
        <v>#VALUE!</v>
      </c>
      <c r="DA173" s="115" t="e">
        <f t="shared" si="302"/>
        <v>#VALUE!</v>
      </c>
      <c r="DB173" s="115" t="e">
        <f t="shared" si="303"/>
        <v>#VALUE!</v>
      </c>
      <c r="DC173" s="115" t="e">
        <f t="shared" si="303"/>
        <v>#VALUE!</v>
      </c>
      <c r="DD173" s="115" t="e">
        <f t="shared" si="303"/>
        <v>#VALUE!</v>
      </c>
      <c r="DE173" s="115" t="e">
        <f t="shared" si="303"/>
        <v>#VALUE!</v>
      </c>
      <c r="DF173" s="115" t="e">
        <f t="shared" si="303"/>
        <v>#VALUE!</v>
      </c>
      <c r="DG173" s="115" t="e">
        <f t="shared" si="303"/>
        <v>#VALUE!</v>
      </c>
      <c r="DH173" s="115" t="e">
        <f t="shared" si="303"/>
        <v>#VALUE!</v>
      </c>
      <c r="DI173" s="115" t="e">
        <f t="shared" si="303"/>
        <v>#VALUE!</v>
      </c>
      <c r="DJ173" s="115" t="e">
        <f t="shared" si="303"/>
        <v>#VALUE!</v>
      </c>
      <c r="DK173" s="115" t="e">
        <f t="shared" si="303"/>
        <v>#VALUE!</v>
      </c>
      <c r="DL173" s="115" t="e">
        <f t="shared" si="303"/>
        <v>#VALUE!</v>
      </c>
      <c r="DM173" s="115" t="e">
        <f t="shared" si="303"/>
        <v>#VALUE!</v>
      </c>
    </row>
    <row r="174" spans="1:117" ht="15" customHeight="1" thickBot="1">
      <c r="A174" s="55">
        <v>18200</v>
      </c>
      <c r="B174" s="194" t="s">
        <v>728</v>
      </c>
      <c r="C174" s="194" t="s">
        <v>936</v>
      </c>
      <c r="D174" s="194" t="s">
        <v>152</v>
      </c>
      <c r="E174" s="194" t="s">
        <v>153</v>
      </c>
      <c r="F174" s="194" t="s">
        <v>1134</v>
      </c>
      <c r="G174" s="291" t="e">
        <f t="shared" si="293"/>
        <v>#VALUE!</v>
      </c>
      <c r="H174" s="292" t="e">
        <f>VLOOKUP("E4.D.S",Errichtungskosten,12,0) *VLOOKUP("PFAKT",Instandsetzung,5,0)</f>
        <v>#VALUE!</v>
      </c>
      <c r="I174" s="168"/>
      <c r="J174" s="194" t="s">
        <v>850</v>
      </c>
      <c r="K174" s="385">
        <f>IF(ISNUMBER(VLOOKUP(E174,Nutzungsdauern,5,0)),VLOOKUP(E174,Nutzungsdauern,5,0),1000)</f>
        <v>24</v>
      </c>
      <c r="L174" s="379" t="s">
        <v>356</v>
      </c>
      <c r="M174" s="325">
        <f>VLOOKUP(L174,Finanzielle_Parameter,5,0)</f>
        <v>2.77</v>
      </c>
      <c r="N174" s="380">
        <f>(1+VLOOKUP(L174,Finanzielle_Parameter,5,0)/100)/(1+VLOOKUP("R",Finanzielle_Parameter,5,0)/100)</f>
        <v>1.0105211406096364</v>
      </c>
      <c r="O174" s="381" t="e">
        <f t="shared" si="294"/>
        <v>#VALUE!</v>
      </c>
      <c r="P174" s="169" t="s">
        <v>103</v>
      </c>
      <c r="Q174" s="114" t="e">
        <f t="shared" si="294"/>
        <v>#VALUE!</v>
      </c>
      <c r="R174" s="115" t="e">
        <f t="shared" si="294"/>
        <v>#VALUE!</v>
      </c>
      <c r="S174" s="115" t="e">
        <f t="shared" si="294"/>
        <v>#VALUE!</v>
      </c>
      <c r="T174" s="115" t="e">
        <f t="shared" si="294"/>
        <v>#VALUE!</v>
      </c>
      <c r="U174" s="115" t="e">
        <f t="shared" si="294"/>
        <v>#VALUE!</v>
      </c>
      <c r="V174" s="115" t="e">
        <f t="shared" si="294"/>
        <v>#VALUE!</v>
      </c>
      <c r="W174" s="115" t="e">
        <f t="shared" si="294"/>
        <v>#VALUE!</v>
      </c>
      <c r="X174" s="115" t="e">
        <f t="shared" si="294"/>
        <v>#VALUE!</v>
      </c>
      <c r="Y174" s="115" t="e">
        <f t="shared" si="294"/>
        <v>#VALUE!</v>
      </c>
      <c r="Z174" s="115" t="e">
        <f t="shared" si="295"/>
        <v>#VALUE!</v>
      </c>
      <c r="AA174" s="115" t="e">
        <f t="shared" si="295"/>
        <v>#VALUE!</v>
      </c>
      <c r="AB174" s="115" t="e">
        <f t="shared" si="295"/>
        <v>#VALUE!</v>
      </c>
      <c r="AC174" s="115" t="e">
        <f t="shared" si="295"/>
        <v>#VALUE!</v>
      </c>
      <c r="AD174" s="115" t="e">
        <f t="shared" si="295"/>
        <v>#VALUE!</v>
      </c>
      <c r="AE174" s="115" t="e">
        <f t="shared" si="295"/>
        <v>#VALUE!</v>
      </c>
      <c r="AF174" s="115" t="e">
        <f t="shared" si="295"/>
        <v>#VALUE!</v>
      </c>
      <c r="AG174" s="115" t="e">
        <f t="shared" si="295"/>
        <v>#VALUE!</v>
      </c>
      <c r="AH174" s="115" t="e">
        <f t="shared" si="295"/>
        <v>#VALUE!</v>
      </c>
      <c r="AI174" s="115" t="e">
        <f t="shared" si="295"/>
        <v>#VALUE!</v>
      </c>
      <c r="AJ174" s="115" t="e">
        <f t="shared" si="296"/>
        <v>#VALUE!</v>
      </c>
      <c r="AK174" s="115" t="e">
        <f t="shared" si="296"/>
        <v>#VALUE!</v>
      </c>
      <c r="AL174" s="115" t="e">
        <f t="shared" si="296"/>
        <v>#VALUE!</v>
      </c>
      <c r="AM174" s="115" t="e">
        <f t="shared" si="296"/>
        <v>#VALUE!</v>
      </c>
      <c r="AN174" s="115" t="e">
        <f t="shared" si="296"/>
        <v>#VALUE!</v>
      </c>
      <c r="AO174" s="115" t="e">
        <f t="shared" si="296"/>
        <v>#VALUE!</v>
      </c>
      <c r="AP174" s="115" t="e">
        <f t="shared" si="296"/>
        <v>#VALUE!</v>
      </c>
      <c r="AQ174" s="115" t="e">
        <f t="shared" si="296"/>
        <v>#VALUE!</v>
      </c>
      <c r="AR174" s="115" t="e">
        <f t="shared" si="296"/>
        <v>#VALUE!</v>
      </c>
      <c r="AS174" s="115" t="e">
        <f t="shared" si="296"/>
        <v>#VALUE!</v>
      </c>
      <c r="AT174" s="115" t="e">
        <f t="shared" si="297"/>
        <v>#VALUE!</v>
      </c>
      <c r="AU174" s="115" t="e">
        <f t="shared" si="297"/>
        <v>#VALUE!</v>
      </c>
      <c r="AV174" s="115" t="e">
        <f t="shared" si="297"/>
        <v>#VALUE!</v>
      </c>
      <c r="AW174" s="115" t="e">
        <f t="shared" si="297"/>
        <v>#VALUE!</v>
      </c>
      <c r="AX174" s="115" t="e">
        <f t="shared" si="297"/>
        <v>#VALUE!</v>
      </c>
      <c r="AY174" s="115" t="e">
        <f t="shared" si="297"/>
        <v>#VALUE!</v>
      </c>
      <c r="AZ174" s="115" t="e">
        <f t="shared" si="297"/>
        <v>#VALUE!</v>
      </c>
      <c r="BA174" s="115" t="e">
        <f t="shared" si="297"/>
        <v>#VALUE!</v>
      </c>
      <c r="BB174" s="115" t="e">
        <f t="shared" si="297"/>
        <v>#VALUE!</v>
      </c>
      <c r="BC174" s="115" t="e">
        <f t="shared" si="297"/>
        <v>#VALUE!</v>
      </c>
      <c r="BD174" s="115" t="e">
        <f t="shared" si="298"/>
        <v>#VALUE!</v>
      </c>
      <c r="BE174" s="115" t="e">
        <f t="shared" si="298"/>
        <v>#VALUE!</v>
      </c>
      <c r="BF174" s="115" t="e">
        <f t="shared" si="298"/>
        <v>#VALUE!</v>
      </c>
      <c r="BG174" s="115" t="e">
        <f t="shared" si="298"/>
        <v>#VALUE!</v>
      </c>
      <c r="BH174" s="115" t="e">
        <f t="shared" si="298"/>
        <v>#VALUE!</v>
      </c>
      <c r="BI174" s="115" t="e">
        <f t="shared" si="298"/>
        <v>#VALUE!</v>
      </c>
      <c r="BJ174" s="115" t="e">
        <f t="shared" si="298"/>
        <v>#VALUE!</v>
      </c>
      <c r="BK174" s="115" t="e">
        <f t="shared" si="298"/>
        <v>#VALUE!</v>
      </c>
      <c r="BL174" s="115" t="e">
        <f t="shared" si="298"/>
        <v>#VALUE!</v>
      </c>
      <c r="BM174" s="115" t="e">
        <f t="shared" si="298"/>
        <v>#VALUE!</v>
      </c>
      <c r="BN174" s="115" t="e">
        <f t="shared" si="299"/>
        <v>#VALUE!</v>
      </c>
      <c r="BO174" s="115" t="e">
        <f t="shared" si="299"/>
        <v>#VALUE!</v>
      </c>
      <c r="BP174" s="115" t="e">
        <f t="shared" si="299"/>
        <v>#VALUE!</v>
      </c>
      <c r="BQ174" s="115" t="e">
        <f t="shared" si="299"/>
        <v>#VALUE!</v>
      </c>
      <c r="BR174" s="115" t="e">
        <f t="shared" si="299"/>
        <v>#VALUE!</v>
      </c>
      <c r="BS174" s="115" t="e">
        <f t="shared" si="299"/>
        <v>#VALUE!</v>
      </c>
      <c r="BT174" s="115" t="e">
        <f t="shared" si="299"/>
        <v>#VALUE!</v>
      </c>
      <c r="BU174" s="115" t="e">
        <f t="shared" si="299"/>
        <v>#VALUE!</v>
      </c>
      <c r="BV174" s="115" t="e">
        <f t="shared" si="299"/>
        <v>#VALUE!</v>
      </c>
      <c r="BW174" s="115" t="e">
        <f t="shared" si="299"/>
        <v>#VALUE!</v>
      </c>
      <c r="BX174" s="115" t="e">
        <f t="shared" si="300"/>
        <v>#VALUE!</v>
      </c>
      <c r="BY174" s="115" t="e">
        <f t="shared" si="300"/>
        <v>#VALUE!</v>
      </c>
      <c r="BZ174" s="115" t="e">
        <f t="shared" si="300"/>
        <v>#VALUE!</v>
      </c>
      <c r="CA174" s="115" t="e">
        <f t="shared" si="300"/>
        <v>#VALUE!</v>
      </c>
      <c r="CB174" s="115" t="e">
        <f t="shared" si="300"/>
        <v>#VALUE!</v>
      </c>
      <c r="CC174" s="115" t="e">
        <f t="shared" si="300"/>
        <v>#VALUE!</v>
      </c>
      <c r="CD174" s="115" t="e">
        <f t="shared" si="300"/>
        <v>#VALUE!</v>
      </c>
      <c r="CE174" s="115" t="e">
        <f t="shared" si="300"/>
        <v>#VALUE!</v>
      </c>
      <c r="CF174" s="115" t="e">
        <f t="shared" si="300"/>
        <v>#VALUE!</v>
      </c>
      <c r="CG174" s="115" t="e">
        <f t="shared" si="300"/>
        <v>#VALUE!</v>
      </c>
      <c r="CH174" s="115" t="e">
        <f t="shared" si="301"/>
        <v>#VALUE!</v>
      </c>
      <c r="CI174" s="115" t="e">
        <f t="shared" si="301"/>
        <v>#VALUE!</v>
      </c>
      <c r="CJ174" s="115" t="e">
        <f t="shared" si="301"/>
        <v>#VALUE!</v>
      </c>
      <c r="CK174" s="115" t="e">
        <f t="shared" si="301"/>
        <v>#VALUE!</v>
      </c>
      <c r="CL174" s="115" t="e">
        <f t="shared" si="301"/>
        <v>#VALUE!</v>
      </c>
      <c r="CM174" s="115" t="e">
        <f t="shared" si="301"/>
        <v>#VALUE!</v>
      </c>
      <c r="CN174" s="115" t="e">
        <f t="shared" si="301"/>
        <v>#VALUE!</v>
      </c>
      <c r="CO174" s="115" t="e">
        <f t="shared" si="301"/>
        <v>#VALUE!</v>
      </c>
      <c r="CP174" s="115" t="e">
        <f t="shared" si="301"/>
        <v>#VALUE!</v>
      </c>
      <c r="CQ174" s="115" t="e">
        <f t="shared" si="301"/>
        <v>#VALUE!</v>
      </c>
      <c r="CR174" s="115" t="e">
        <f t="shared" si="302"/>
        <v>#VALUE!</v>
      </c>
      <c r="CS174" s="115" t="e">
        <f t="shared" si="302"/>
        <v>#VALUE!</v>
      </c>
      <c r="CT174" s="115" t="e">
        <f t="shared" si="302"/>
        <v>#VALUE!</v>
      </c>
      <c r="CU174" s="115" t="e">
        <f t="shared" si="302"/>
        <v>#VALUE!</v>
      </c>
      <c r="CV174" s="115" t="e">
        <f t="shared" si="302"/>
        <v>#VALUE!</v>
      </c>
      <c r="CW174" s="115" t="e">
        <f t="shared" si="302"/>
        <v>#VALUE!</v>
      </c>
      <c r="CX174" s="115" t="e">
        <f t="shared" si="302"/>
        <v>#VALUE!</v>
      </c>
      <c r="CY174" s="115" t="e">
        <f t="shared" si="302"/>
        <v>#VALUE!</v>
      </c>
      <c r="CZ174" s="115" t="e">
        <f t="shared" si="302"/>
        <v>#VALUE!</v>
      </c>
      <c r="DA174" s="115" t="e">
        <f t="shared" si="302"/>
        <v>#VALUE!</v>
      </c>
      <c r="DB174" s="115" t="e">
        <f t="shared" si="303"/>
        <v>#VALUE!</v>
      </c>
      <c r="DC174" s="115" t="e">
        <f t="shared" si="303"/>
        <v>#VALUE!</v>
      </c>
      <c r="DD174" s="115" t="e">
        <f t="shared" si="303"/>
        <v>#VALUE!</v>
      </c>
      <c r="DE174" s="115" t="e">
        <f t="shared" si="303"/>
        <v>#VALUE!</v>
      </c>
      <c r="DF174" s="115" t="e">
        <f t="shared" si="303"/>
        <v>#VALUE!</v>
      </c>
      <c r="DG174" s="115" t="e">
        <f t="shared" si="303"/>
        <v>#VALUE!</v>
      </c>
      <c r="DH174" s="115" t="e">
        <f t="shared" si="303"/>
        <v>#VALUE!</v>
      </c>
      <c r="DI174" s="115" t="e">
        <f t="shared" si="303"/>
        <v>#VALUE!</v>
      </c>
      <c r="DJ174" s="115" t="e">
        <f t="shared" si="303"/>
        <v>#VALUE!</v>
      </c>
      <c r="DK174" s="115" t="e">
        <f t="shared" si="303"/>
        <v>#VALUE!</v>
      </c>
      <c r="DL174" s="115" t="e">
        <f t="shared" si="303"/>
        <v>#VALUE!</v>
      </c>
      <c r="DM174" s="115" t="e">
        <f t="shared" si="303"/>
        <v>#VALUE!</v>
      </c>
    </row>
    <row r="175" spans="1:117" ht="15" customHeight="1" thickBot="1">
      <c r="A175" s="293">
        <v>18400</v>
      </c>
      <c r="B175" s="172" t="s">
        <v>743</v>
      </c>
      <c r="C175" s="172" t="s">
        <v>937</v>
      </c>
      <c r="D175" s="172" t="s">
        <v>150</v>
      </c>
      <c r="E175" s="172"/>
      <c r="F175" s="172"/>
      <c r="G175" s="172"/>
      <c r="H175" s="172"/>
      <c r="I175" s="172"/>
      <c r="J175" s="172"/>
      <c r="K175" s="386"/>
      <c r="L175" s="172"/>
      <c r="M175" s="293"/>
      <c r="N175" s="293"/>
      <c r="O175" s="376" t="e">
        <f>SUM(O176:O179)</f>
        <v>#VALUE!</v>
      </c>
      <c r="P175" s="377" t="s">
        <v>103</v>
      </c>
      <c r="Q175" s="116"/>
      <c r="R175" s="116"/>
      <c r="S175" s="116"/>
      <c r="T175" s="116"/>
      <c r="U175" s="116"/>
      <c r="V175" s="116"/>
      <c r="W175" s="116"/>
      <c r="X175" s="116"/>
      <c r="Y175" s="116"/>
      <c r="Z175" s="116"/>
      <c r="AA175" s="116"/>
      <c r="AB175" s="116"/>
      <c r="AC175" s="116"/>
      <c r="AD175" s="116"/>
      <c r="AE175" s="116"/>
      <c r="AF175" s="116"/>
      <c r="AG175" s="116"/>
      <c r="AH175" s="116"/>
      <c r="AI175" s="116"/>
      <c r="AJ175" s="116"/>
      <c r="AK175" s="116"/>
      <c r="AL175" s="116"/>
      <c r="AM175" s="116"/>
      <c r="AN175" s="116"/>
      <c r="AO175" s="116"/>
      <c r="AP175" s="116"/>
      <c r="AQ175" s="116"/>
      <c r="AR175" s="116"/>
      <c r="AS175" s="116"/>
      <c r="AT175" s="116"/>
      <c r="AU175" s="116"/>
      <c r="AV175" s="116"/>
      <c r="AW175" s="116"/>
      <c r="AX175" s="116"/>
      <c r="AY175" s="116"/>
      <c r="AZ175" s="116"/>
      <c r="BA175" s="116"/>
      <c r="BB175" s="116"/>
      <c r="BC175" s="116"/>
      <c r="BD175" s="116"/>
      <c r="BE175" s="116"/>
      <c r="BF175" s="116"/>
      <c r="BG175" s="116"/>
      <c r="BH175" s="116"/>
      <c r="BI175" s="116"/>
      <c r="BJ175" s="116"/>
      <c r="BK175" s="116"/>
      <c r="BL175" s="116"/>
      <c r="BM175" s="116"/>
      <c r="BN175" s="116"/>
      <c r="BO175" s="116"/>
      <c r="BP175" s="116"/>
      <c r="BQ175" s="116"/>
      <c r="BR175" s="116"/>
      <c r="BS175" s="116"/>
      <c r="BT175" s="116"/>
      <c r="BU175" s="116"/>
      <c r="BV175" s="116"/>
      <c r="BW175" s="116"/>
      <c r="BX175" s="116"/>
      <c r="BY175" s="116"/>
      <c r="BZ175" s="116"/>
      <c r="CA175" s="116"/>
      <c r="CB175" s="116"/>
      <c r="CC175" s="116"/>
      <c r="CD175" s="116"/>
      <c r="CE175" s="116"/>
      <c r="CF175" s="116"/>
      <c r="CG175" s="116"/>
      <c r="CH175" s="116"/>
      <c r="CI175" s="116"/>
      <c r="CJ175" s="116"/>
      <c r="CK175" s="116"/>
      <c r="CL175" s="116"/>
      <c r="CM175" s="116"/>
      <c r="CN175" s="116"/>
      <c r="CO175" s="116"/>
      <c r="CP175" s="116"/>
      <c r="CQ175" s="116"/>
      <c r="CR175" s="116"/>
      <c r="CS175" s="116"/>
      <c r="CT175" s="116"/>
      <c r="CU175" s="116"/>
      <c r="CV175" s="116"/>
      <c r="CW175" s="116"/>
      <c r="CX175" s="116"/>
      <c r="CY175" s="116"/>
      <c r="CZ175" s="116"/>
      <c r="DA175" s="116"/>
      <c r="DB175" s="116"/>
      <c r="DC175" s="116"/>
      <c r="DD175" s="116"/>
      <c r="DE175" s="116"/>
      <c r="DF175" s="116"/>
      <c r="DG175" s="116"/>
      <c r="DH175" s="116"/>
      <c r="DI175" s="116"/>
      <c r="DJ175" s="116"/>
      <c r="DK175" s="116"/>
      <c r="DL175" s="116"/>
      <c r="DM175" s="116"/>
    </row>
    <row r="176" spans="1:117" ht="15" customHeight="1" thickBot="1">
      <c r="A176" s="55">
        <v>18500</v>
      </c>
      <c r="B176" s="194" t="s">
        <v>728</v>
      </c>
      <c r="C176" s="194" t="s">
        <v>938</v>
      </c>
      <c r="D176" s="194" t="s">
        <v>939</v>
      </c>
      <c r="E176" s="194" t="s">
        <v>149</v>
      </c>
      <c r="F176" s="194" t="s">
        <v>1135</v>
      </c>
      <c r="G176" s="291" t="e">
        <f t="shared" ref="G176:G179" si="304">IF(I176="",H176,I176)</f>
        <v>#VALUE!</v>
      </c>
      <c r="H176" s="292" t="e">
        <f>VLOOKUP("E5.A",Errichtungskosten,12,0) *VLOOKUP("PFAKT",Instandsetzung,5,0)</f>
        <v>#VALUE!</v>
      </c>
      <c r="I176" s="168"/>
      <c r="J176" s="194" t="s">
        <v>850</v>
      </c>
      <c r="K176" s="385">
        <f>IF(ISNUMBER(VLOOKUP(E176,Nutzungsdauern,5,0)),VLOOKUP(E176,Nutzungsdauern,5,0),1000)</f>
        <v>25</v>
      </c>
      <c r="L176" s="379" t="s">
        <v>356</v>
      </c>
      <c r="M176" s="325">
        <f>VLOOKUP(L176,Finanzielle_Parameter,5,0)</f>
        <v>2.77</v>
      </c>
      <c r="N176" s="380">
        <f>(1+VLOOKUP(L176,Finanzielle_Parameter,5,0)/100)/(1+VLOOKUP("R",Finanzielle_Parameter,5,0)/100)</f>
        <v>1.0105211406096364</v>
      </c>
      <c r="O176" s="381" t="e">
        <f t="shared" ref="O176:Y179" si="305">IF($N176&lt;&gt;1,$G176*($N176^$K176)*(($N176^($K176*INT(O$2/$K176))-1)/($N176^$K176-1)),$G176*INT(O$2/$K176))</f>
        <v>#VALUE!</v>
      </c>
      <c r="P176" s="169" t="s">
        <v>103</v>
      </c>
      <c r="Q176" s="114" t="e">
        <f t="shared" si="305"/>
        <v>#VALUE!</v>
      </c>
      <c r="R176" s="115" t="e">
        <f t="shared" si="305"/>
        <v>#VALUE!</v>
      </c>
      <c r="S176" s="115" t="e">
        <f t="shared" si="305"/>
        <v>#VALUE!</v>
      </c>
      <c r="T176" s="115" t="e">
        <f t="shared" si="305"/>
        <v>#VALUE!</v>
      </c>
      <c r="U176" s="115" t="e">
        <f t="shared" si="305"/>
        <v>#VALUE!</v>
      </c>
      <c r="V176" s="115" t="e">
        <f t="shared" si="305"/>
        <v>#VALUE!</v>
      </c>
      <c r="W176" s="115" t="e">
        <f t="shared" si="305"/>
        <v>#VALUE!</v>
      </c>
      <c r="X176" s="115" t="e">
        <f t="shared" si="305"/>
        <v>#VALUE!</v>
      </c>
      <c r="Y176" s="115" t="e">
        <f t="shared" si="305"/>
        <v>#VALUE!</v>
      </c>
      <c r="Z176" s="115" t="e">
        <f t="shared" ref="Z176:AI179" si="306">IF($N176&lt;&gt;1,$G176*($N176^$K176)*(($N176^($K176*INT(Z$2/$K176))-1)/($N176^$K176-1)),$G176*INT(Z$2/$K176))</f>
        <v>#VALUE!</v>
      </c>
      <c r="AA176" s="115" t="e">
        <f t="shared" si="306"/>
        <v>#VALUE!</v>
      </c>
      <c r="AB176" s="115" t="e">
        <f t="shared" si="306"/>
        <v>#VALUE!</v>
      </c>
      <c r="AC176" s="115" t="e">
        <f t="shared" si="306"/>
        <v>#VALUE!</v>
      </c>
      <c r="AD176" s="115" t="e">
        <f t="shared" si="306"/>
        <v>#VALUE!</v>
      </c>
      <c r="AE176" s="115" t="e">
        <f t="shared" si="306"/>
        <v>#VALUE!</v>
      </c>
      <c r="AF176" s="115" t="e">
        <f t="shared" si="306"/>
        <v>#VALUE!</v>
      </c>
      <c r="AG176" s="115" t="e">
        <f t="shared" si="306"/>
        <v>#VALUE!</v>
      </c>
      <c r="AH176" s="115" t="e">
        <f t="shared" si="306"/>
        <v>#VALUE!</v>
      </c>
      <c r="AI176" s="115" t="e">
        <f t="shared" si="306"/>
        <v>#VALUE!</v>
      </c>
      <c r="AJ176" s="115" t="e">
        <f t="shared" ref="AJ176:AS179" si="307">IF($N176&lt;&gt;1,$G176*($N176^$K176)*(($N176^($K176*INT(AJ$2/$K176))-1)/($N176^$K176-1)),$G176*INT(AJ$2/$K176))</f>
        <v>#VALUE!</v>
      </c>
      <c r="AK176" s="115" t="e">
        <f t="shared" si="307"/>
        <v>#VALUE!</v>
      </c>
      <c r="AL176" s="115" t="e">
        <f t="shared" si="307"/>
        <v>#VALUE!</v>
      </c>
      <c r="AM176" s="115" t="e">
        <f t="shared" si="307"/>
        <v>#VALUE!</v>
      </c>
      <c r="AN176" s="115" t="e">
        <f t="shared" si="307"/>
        <v>#VALUE!</v>
      </c>
      <c r="AO176" s="115" t="e">
        <f t="shared" si="307"/>
        <v>#VALUE!</v>
      </c>
      <c r="AP176" s="115" t="e">
        <f t="shared" si="307"/>
        <v>#VALUE!</v>
      </c>
      <c r="AQ176" s="115" t="e">
        <f t="shared" si="307"/>
        <v>#VALUE!</v>
      </c>
      <c r="AR176" s="115" t="e">
        <f t="shared" si="307"/>
        <v>#VALUE!</v>
      </c>
      <c r="AS176" s="115" t="e">
        <f t="shared" si="307"/>
        <v>#VALUE!</v>
      </c>
      <c r="AT176" s="115" t="e">
        <f t="shared" ref="AT176:BC179" si="308">IF($N176&lt;&gt;1,$G176*($N176^$K176)*(($N176^($K176*INT(AT$2/$K176))-1)/($N176^$K176-1)),$G176*INT(AT$2/$K176))</f>
        <v>#VALUE!</v>
      </c>
      <c r="AU176" s="115" t="e">
        <f t="shared" si="308"/>
        <v>#VALUE!</v>
      </c>
      <c r="AV176" s="115" t="e">
        <f t="shared" si="308"/>
        <v>#VALUE!</v>
      </c>
      <c r="AW176" s="115" t="e">
        <f t="shared" si="308"/>
        <v>#VALUE!</v>
      </c>
      <c r="AX176" s="115" t="e">
        <f t="shared" si="308"/>
        <v>#VALUE!</v>
      </c>
      <c r="AY176" s="115" t="e">
        <f t="shared" si="308"/>
        <v>#VALUE!</v>
      </c>
      <c r="AZ176" s="115" t="e">
        <f t="shared" si="308"/>
        <v>#VALUE!</v>
      </c>
      <c r="BA176" s="115" t="e">
        <f t="shared" si="308"/>
        <v>#VALUE!</v>
      </c>
      <c r="BB176" s="115" t="e">
        <f t="shared" si="308"/>
        <v>#VALUE!</v>
      </c>
      <c r="BC176" s="115" t="e">
        <f t="shared" si="308"/>
        <v>#VALUE!</v>
      </c>
      <c r="BD176" s="115" t="e">
        <f t="shared" ref="BD176:BM179" si="309">IF($N176&lt;&gt;1,$G176*($N176^$K176)*(($N176^($K176*INT(BD$2/$K176))-1)/($N176^$K176-1)),$G176*INT(BD$2/$K176))</f>
        <v>#VALUE!</v>
      </c>
      <c r="BE176" s="115" t="e">
        <f t="shared" si="309"/>
        <v>#VALUE!</v>
      </c>
      <c r="BF176" s="115" t="e">
        <f t="shared" si="309"/>
        <v>#VALUE!</v>
      </c>
      <c r="BG176" s="115" t="e">
        <f t="shared" si="309"/>
        <v>#VALUE!</v>
      </c>
      <c r="BH176" s="115" t="e">
        <f t="shared" si="309"/>
        <v>#VALUE!</v>
      </c>
      <c r="BI176" s="115" t="e">
        <f t="shared" si="309"/>
        <v>#VALUE!</v>
      </c>
      <c r="BJ176" s="115" t="e">
        <f t="shared" si="309"/>
        <v>#VALUE!</v>
      </c>
      <c r="BK176" s="115" t="e">
        <f t="shared" si="309"/>
        <v>#VALUE!</v>
      </c>
      <c r="BL176" s="115" t="e">
        <f t="shared" si="309"/>
        <v>#VALUE!</v>
      </c>
      <c r="BM176" s="115" t="e">
        <f t="shared" si="309"/>
        <v>#VALUE!</v>
      </c>
      <c r="BN176" s="115" t="e">
        <f t="shared" ref="BN176:BW179" si="310">IF($N176&lt;&gt;1,$G176*($N176^$K176)*(($N176^($K176*INT(BN$2/$K176))-1)/($N176^$K176-1)),$G176*INT(BN$2/$K176))</f>
        <v>#VALUE!</v>
      </c>
      <c r="BO176" s="115" t="e">
        <f t="shared" si="310"/>
        <v>#VALUE!</v>
      </c>
      <c r="BP176" s="115" t="e">
        <f t="shared" si="310"/>
        <v>#VALUE!</v>
      </c>
      <c r="BQ176" s="115" t="e">
        <f t="shared" si="310"/>
        <v>#VALUE!</v>
      </c>
      <c r="BR176" s="115" t="e">
        <f t="shared" si="310"/>
        <v>#VALUE!</v>
      </c>
      <c r="BS176" s="115" t="e">
        <f t="shared" si="310"/>
        <v>#VALUE!</v>
      </c>
      <c r="BT176" s="115" t="e">
        <f t="shared" si="310"/>
        <v>#VALUE!</v>
      </c>
      <c r="BU176" s="115" t="e">
        <f t="shared" si="310"/>
        <v>#VALUE!</v>
      </c>
      <c r="BV176" s="115" t="e">
        <f t="shared" si="310"/>
        <v>#VALUE!</v>
      </c>
      <c r="BW176" s="115" t="e">
        <f t="shared" si="310"/>
        <v>#VALUE!</v>
      </c>
      <c r="BX176" s="115" t="e">
        <f t="shared" ref="BX176:CG179" si="311">IF($N176&lt;&gt;1,$G176*($N176^$K176)*(($N176^($K176*INT(BX$2/$K176))-1)/($N176^$K176-1)),$G176*INT(BX$2/$K176))</f>
        <v>#VALUE!</v>
      </c>
      <c r="BY176" s="115" t="e">
        <f t="shared" si="311"/>
        <v>#VALUE!</v>
      </c>
      <c r="BZ176" s="115" t="e">
        <f t="shared" si="311"/>
        <v>#VALUE!</v>
      </c>
      <c r="CA176" s="115" t="e">
        <f t="shared" si="311"/>
        <v>#VALUE!</v>
      </c>
      <c r="CB176" s="115" t="e">
        <f t="shared" si="311"/>
        <v>#VALUE!</v>
      </c>
      <c r="CC176" s="115" t="e">
        <f t="shared" si="311"/>
        <v>#VALUE!</v>
      </c>
      <c r="CD176" s="115" t="e">
        <f t="shared" si="311"/>
        <v>#VALUE!</v>
      </c>
      <c r="CE176" s="115" t="e">
        <f t="shared" si="311"/>
        <v>#VALUE!</v>
      </c>
      <c r="CF176" s="115" t="e">
        <f t="shared" si="311"/>
        <v>#VALUE!</v>
      </c>
      <c r="CG176" s="115" t="e">
        <f t="shared" si="311"/>
        <v>#VALUE!</v>
      </c>
      <c r="CH176" s="115" t="e">
        <f t="shared" ref="CH176:CQ179" si="312">IF($N176&lt;&gt;1,$G176*($N176^$K176)*(($N176^($K176*INT(CH$2/$K176))-1)/($N176^$K176-1)),$G176*INT(CH$2/$K176))</f>
        <v>#VALUE!</v>
      </c>
      <c r="CI176" s="115" t="e">
        <f t="shared" si="312"/>
        <v>#VALUE!</v>
      </c>
      <c r="CJ176" s="115" t="e">
        <f t="shared" si="312"/>
        <v>#VALUE!</v>
      </c>
      <c r="CK176" s="115" t="e">
        <f t="shared" si="312"/>
        <v>#VALUE!</v>
      </c>
      <c r="CL176" s="115" t="e">
        <f t="shared" si="312"/>
        <v>#VALUE!</v>
      </c>
      <c r="CM176" s="115" t="e">
        <f t="shared" si="312"/>
        <v>#VALUE!</v>
      </c>
      <c r="CN176" s="115" t="e">
        <f t="shared" si="312"/>
        <v>#VALUE!</v>
      </c>
      <c r="CO176" s="115" t="e">
        <f t="shared" si="312"/>
        <v>#VALUE!</v>
      </c>
      <c r="CP176" s="115" t="e">
        <f t="shared" si="312"/>
        <v>#VALUE!</v>
      </c>
      <c r="CQ176" s="115" t="e">
        <f t="shared" si="312"/>
        <v>#VALUE!</v>
      </c>
      <c r="CR176" s="115" t="e">
        <f t="shared" ref="CR176:DA179" si="313">IF($N176&lt;&gt;1,$G176*($N176^$K176)*(($N176^($K176*INT(CR$2/$K176))-1)/($N176^$K176-1)),$G176*INT(CR$2/$K176))</f>
        <v>#VALUE!</v>
      </c>
      <c r="CS176" s="115" t="e">
        <f t="shared" si="313"/>
        <v>#VALUE!</v>
      </c>
      <c r="CT176" s="115" t="e">
        <f t="shared" si="313"/>
        <v>#VALUE!</v>
      </c>
      <c r="CU176" s="115" t="e">
        <f t="shared" si="313"/>
        <v>#VALUE!</v>
      </c>
      <c r="CV176" s="115" t="e">
        <f t="shared" si="313"/>
        <v>#VALUE!</v>
      </c>
      <c r="CW176" s="115" t="e">
        <f t="shared" si="313"/>
        <v>#VALUE!</v>
      </c>
      <c r="CX176" s="115" t="e">
        <f t="shared" si="313"/>
        <v>#VALUE!</v>
      </c>
      <c r="CY176" s="115" t="e">
        <f t="shared" si="313"/>
        <v>#VALUE!</v>
      </c>
      <c r="CZ176" s="115" t="e">
        <f t="shared" si="313"/>
        <v>#VALUE!</v>
      </c>
      <c r="DA176" s="115" t="e">
        <f t="shared" si="313"/>
        <v>#VALUE!</v>
      </c>
      <c r="DB176" s="115" t="e">
        <f t="shared" ref="DB176:DM179" si="314">IF($N176&lt;&gt;1,$G176*($N176^$K176)*(($N176^($K176*INT(DB$2/$K176))-1)/($N176^$K176-1)),$G176*INT(DB$2/$K176))</f>
        <v>#VALUE!</v>
      </c>
      <c r="DC176" s="115" t="e">
        <f t="shared" si="314"/>
        <v>#VALUE!</v>
      </c>
      <c r="DD176" s="115" t="e">
        <f t="shared" si="314"/>
        <v>#VALUE!</v>
      </c>
      <c r="DE176" s="115" t="e">
        <f t="shared" si="314"/>
        <v>#VALUE!</v>
      </c>
      <c r="DF176" s="115" t="e">
        <f t="shared" si="314"/>
        <v>#VALUE!</v>
      </c>
      <c r="DG176" s="115" t="e">
        <f t="shared" si="314"/>
        <v>#VALUE!</v>
      </c>
      <c r="DH176" s="115" t="e">
        <f t="shared" si="314"/>
        <v>#VALUE!</v>
      </c>
      <c r="DI176" s="115" t="e">
        <f t="shared" si="314"/>
        <v>#VALUE!</v>
      </c>
      <c r="DJ176" s="115" t="e">
        <f t="shared" si="314"/>
        <v>#VALUE!</v>
      </c>
      <c r="DK176" s="115" t="e">
        <f t="shared" si="314"/>
        <v>#VALUE!</v>
      </c>
      <c r="DL176" s="115" t="e">
        <f t="shared" si="314"/>
        <v>#VALUE!</v>
      </c>
      <c r="DM176" s="115" t="e">
        <f t="shared" si="314"/>
        <v>#VALUE!</v>
      </c>
    </row>
    <row r="177" spans="1:117" ht="15" customHeight="1" thickBot="1">
      <c r="A177" s="55">
        <v>18600</v>
      </c>
      <c r="B177" s="194" t="s">
        <v>728</v>
      </c>
      <c r="C177" s="194" t="s">
        <v>940</v>
      </c>
      <c r="D177" s="194" t="s">
        <v>941</v>
      </c>
      <c r="E177" s="194" t="s">
        <v>148</v>
      </c>
      <c r="F177" s="194" t="s">
        <v>1136</v>
      </c>
      <c r="G177" s="291" t="e">
        <f t="shared" si="304"/>
        <v>#VALUE!</v>
      </c>
      <c r="H177" s="292" t="e">
        <f>VLOOKUP("E5.B",Errichtungskosten,12,0) *VLOOKUP("PFAKT",Instandsetzung,5,0)</f>
        <v>#VALUE!</v>
      </c>
      <c r="I177" s="168"/>
      <c r="J177" s="194" t="s">
        <v>850</v>
      </c>
      <c r="K177" s="385">
        <f>IF(ISNUMBER(VLOOKUP(E177,Nutzungsdauern,5,0)),VLOOKUP(E177,Nutzungsdauern,5,0),1000)</f>
        <v>15</v>
      </c>
      <c r="L177" s="379" t="s">
        <v>356</v>
      </c>
      <c r="M177" s="325">
        <f>VLOOKUP(L177,Finanzielle_Parameter,5,0)</f>
        <v>2.77</v>
      </c>
      <c r="N177" s="380">
        <f>(1+VLOOKUP(L177,Finanzielle_Parameter,5,0)/100)/(1+VLOOKUP("R",Finanzielle_Parameter,5,0)/100)</f>
        <v>1.0105211406096364</v>
      </c>
      <c r="O177" s="381" t="e">
        <f t="shared" si="305"/>
        <v>#VALUE!</v>
      </c>
      <c r="P177" s="169" t="s">
        <v>103</v>
      </c>
      <c r="Q177" s="114" t="e">
        <f t="shared" si="305"/>
        <v>#VALUE!</v>
      </c>
      <c r="R177" s="115" t="e">
        <f t="shared" si="305"/>
        <v>#VALUE!</v>
      </c>
      <c r="S177" s="115" t="e">
        <f t="shared" si="305"/>
        <v>#VALUE!</v>
      </c>
      <c r="T177" s="115" t="e">
        <f t="shared" si="305"/>
        <v>#VALUE!</v>
      </c>
      <c r="U177" s="115" t="e">
        <f t="shared" si="305"/>
        <v>#VALUE!</v>
      </c>
      <c r="V177" s="115" t="e">
        <f t="shared" si="305"/>
        <v>#VALUE!</v>
      </c>
      <c r="W177" s="115" t="e">
        <f t="shared" si="305"/>
        <v>#VALUE!</v>
      </c>
      <c r="X177" s="115" t="e">
        <f t="shared" si="305"/>
        <v>#VALUE!</v>
      </c>
      <c r="Y177" s="115" t="e">
        <f t="shared" si="305"/>
        <v>#VALUE!</v>
      </c>
      <c r="Z177" s="115" t="e">
        <f t="shared" si="306"/>
        <v>#VALUE!</v>
      </c>
      <c r="AA177" s="115" t="e">
        <f t="shared" si="306"/>
        <v>#VALUE!</v>
      </c>
      <c r="AB177" s="115" t="e">
        <f t="shared" si="306"/>
        <v>#VALUE!</v>
      </c>
      <c r="AC177" s="115" t="e">
        <f t="shared" si="306"/>
        <v>#VALUE!</v>
      </c>
      <c r="AD177" s="115" t="e">
        <f t="shared" si="306"/>
        <v>#VALUE!</v>
      </c>
      <c r="AE177" s="115" t="e">
        <f t="shared" si="306"/>
        <v>#VALUE!</v>
      </c>
      <c r="AF177" s="115" t="e">
        <f t="shared" si="306"/>
        <v>#VALUE!</v>
      </c>
      <c r="AG177" s="115" t="e">
        <f t="shared" si="306"/>
        <v>#VALUE!</v>
      </c>
      <c r="AH177" s="115" t="e">
        <f t="shared" si="306"/>
        <v>#VALUE!</v>
      </c>
      <c r="AI177" s="115" t="e">
        <f t="shared" si="306"/>
        <v>#VALUE!</v>
      </c>
      <c r="AJ177" s="115" t="e">
        <f t="shared" si="307"/>
        <v>#VALUE!</v>
      </c>
      <c r="AK177" s="115" t="e">
        <f t="shared" si="307"/>
        <v>#VALUE!</v>
      </c>
      <c r="AL177" s="115" t="e">
        <f t="shared" si="307"/>
        <v>#VALUE!</v>
      </c>
      <c r="AM177" s="115" t="e">
        <f t="shared" si="307"/>
        <v>#VALUE!</v>
      </c>
      <c r="AN177" s="115" t="e">
        <f t="shared" si="307"/>
        <v>#VALUE!</v>
      </c>
      <c r="AO177" s="115" t="e">
        <f t="shared" si="307"/>
        <v>#VALUE!</v>
      </c>
      <c r="AP177" s="115" t="e">
        <f t="shared" si="307"/>
        <v>#VALUE!</v>
      </c>
      <c r="AQ177" s="115" t="e">
        <f t="shared" si="307"/>
        <v>#VALUE!</v>
      </c>
      <c r="AR177" s="115" t="e">
        <f t="shared" si="307"/>
        <v>#VALUE!</v>
      </c>
      <c r="AS177" s="115" t="e">
        <f t="shared" si="307"/>
        <v>#VALUE!</v>
      </c>
      <c r="AT177" s="115" t="e">
        <f t="shared" si="308"/>
        <v>#VALUE!</v>
      </c>
      <c r="AU177" s="115" t="e">
        <f t="shared" si="308"/>
        <v>#VALUE!</v>
      </c>
      <c r="AV177" s="115" t="e">
        <f t="shared" si="308"/>
        <v>#VALUE!</v>
      </c>
      <c r="AW177" s="115" t="e">
        <f t="shared" si="308"/>
        <v>#VALUE!</v>
      </c>
      <c r="AX177" s="115" t="e">
        <f t="shared" si="308"/>
        <v>#VALUE!</v>
      </c>
      <c r="AY177" s="115" t="e">
        <f t="shared" si="308"/>
        <v>#VALUE!</v>
      </c>
      <c r="AZ177" s="115" t="e">
        <f t="shared" si="308"/>
        <v>#VALUE!</v>
      </c>
      <c r="BA177" s="115" t="e">
        <f t="shared" si="308"/>
        <v>#VALUE!</v>
      </c>
      <c r="BB177" s="115" t="e">
        <f t="shared" si="308"/>
        <v>#VALUE!</v>
      </c>
      <c r="BC177" s="115" t="e">
        <f t="shared" si="308"/>
        <v>#VALUE!</v>
      </c>
      <c r="BD177" s="115" t="e">
        <f t="shared" si="309"/>
        <v>#VALUE!</v>
      </c>
      <c r="BE177" s="115" t="e">
        <f t="shared" si="309"/>
        <v>#VALUE!</v>
      </c>
      <c r="BF177" s="115" t="e">
        <f t="shared" si="309"/>
        <v>#VALUE!</v>
      </c>
      <c r="BG177" s="115" t="e">
        <f t="shared" si="309"/>
        <v>#VALUE!</v>
      </c>
      <c r="BH177" s="115" t="e">
        <f t="shared" si="309"/>
        <v>#VALUE!</v>
      </c>
      <c r="BI177" s="115" t="e">
        <f t="shared" si="309"/>
        <v>#VALUE!</v>
      </c>
      <c r="BJ177" s="115" t="e">
        <f t="shared" si="309"/>
        <v>#VALUE!</v>
      </c>
      <c r="BK177" s="115" t="e">
        <f t="shared" si="309"/>
        <v>#VALUE!</v>
      </c>
      <c r="BL177" s="115" t="e">
        <f t="shared" si="309"/>
        <v>#VALUE!</v>
      </c>
      <c r="BM177" s="115" t="e">
        <f t="shared" si="309"/>
        <v>#VALUE!</v>
      </c>
      <c r="BN177" s="115" t="e">
        <f t="shared" si="310"/>
        <v>#VALUE!</v>
      </c>
      <c r="BO177" s="115" t="e">
        <f t="shared" si="310"/>
        <v>#VALUE!</v>
      </c>
      <c r="BP177" s="115" t="e">
        <f t="shared" si="310"/>
        <v>#VALUE!</v>
      </c>
      <c r="BQ177" s="115" t="e">
        <f t="shared" si="310"/>
        <v>#VALUE!</v>
      </c>
      <c r="BR177" s="115" t="e">
        <f t="shared" si="310"/>
        <v>#VALUE!</v>
      </c>
      <c r="BS177" s="115" t="e">
        <f t="shared" si="310"/>
        <v>#VALUE!</v>
      </c>
      <c r="BT177" s="115" t="e">
        <f t="shared" si="310"/>
        <v>#VALUE!</v>
      </c>
      <c r="BU177" s="115" t="e">
        <f t="shared" si="310"/>
        <v>#VALUE!</v>
      </c>
      <c r="BV177" s="115" t="e">
        <f t="shared" si="310"/>
        <v>#VALUE!</v>
      </c>
      <c r="BW177" s="115" t="e">
        <f t="shared" si="310"/>
        <v>#VALUE!</v>
      </c>
      <c r="BX177" s="115" t="e">
        <f t="shared" si="311"/>
        <v>#VALUE!</v>
      </c>
      <c r="BY177" s="115" t="e">
        <f t="shared" si="311"/>
        <v>#VALUE!</v>
      </c>
      <c r="BZ177" s="115" t="e">
        <f t="shared" si="311"/>
        <v>#VALUE!</v>
      </c>
      <c r="CA177" s="115" t="e">
        <f t="shared" si="311"/>
        <v>#VALUE!</v>
      </c>
      <c r="CB177" s="115" t="e">
        <f t="shared" si="311"/>
        <v>#VALUE!</v>
      </c>
      <c r="CC177" s="115" t="e">
        <f t="shared" si="311"/>
        <v>#VALUE!</v>
      </c>
      <c r="CD177" s="115" t="e">
        <f t="shared" si="311"/>
        <v>#VALUE!</v>
      </c>
      <c r="CE177" s="115" t="e">
        <f t="shared" si="311"/>
        <v>#VALUE!</v>
      </c>
      <c r="CF177" s="115" t="e">
        <f t="shared" si="311"/>
        <v>#VALUE!</v>
      </c>
      <c r="CG177" s="115" t="e">
        <f t="shared" si="311"/>
        <v>#VALUE!</v>
      </c>
      <c r="CH177" s="115" t="e">
        <f t="shared" si="312"/>
        <v>#VALUE!</v>
      </c>
      <c r="CI177" s="115" t="e">
        <f t="shared" si="312"/>
        <v>#VALUE!</v>
      </c>
      <c r="CJ177" s="115" t="e">
        <f t="shared" si="312"/>
        <v>#VALUE!</v>
      </c>
      <c r="CK177" s="115" t="e">
        <f t="shared" si="312"/>
        <v>#VALUE!</v>
      </c>
      <c r="CL177" s="115" t="e">
        <f t="shared" si="312"/>
        <v>#VALUE!</v>
      </c>
      <c r="CM177" s="115" t="e">
        <f t="shared" si="312"/>
        <v>#VALUE!</v>
      </c>
      <c r="CN177" s="115" t="e">
        <f t="shared" si="312"/>
        <v>#VALUE!</v>
      </c>
      <c r="CO177" s="115" t="e">
        <f t="shared" si="312"/>
        <v>#VALUE!</v>
      </c>
      <c r="CP177" s="115" t="e">
        <f t="shared" si="312"/>
        <v>#VALUE!</v>
      </c>
      <c r="CQ177" s="115" t="e">
        <f t="shared" si="312"/>
        <v>#VALUE!</v>
      </c>
      <c r="CR177" s="115" t="e">
        <f t="shared" si="313"/>
        <v>#VALUE!</v>
      </c>
      <c r="CS177" s="115" t="e">
        <f t="shared" si="313"/>
        <v>#VALUE!</v>
      </c>
      <c r="CT177" s="115" t="e">
        <f t="shared" si="313"/>
        <v>#VALUE!</v>
      </c>
      <c r="CU177" s="115" t="e">
        <f t="shared" si="313"/>
        <v>#VALUE!</v>
      </c>
      <c r="CV177" s="115" t="e">
        <f t="shared" si="313"/>
        <v>#VALUE!</v>
      </c>
      <c r="CW177" s="115" t="e">
        <f t="shared" si="313"/>
        <v>#VALUE!</v>
      </c>
      <c r="CX177" s="115" t="e">
        <f t="shared" si="313"/>
        <v>#VALUE!</v>
      </c>
      <c r="CY177" s="115" t="e">
        <f t="shared" si="313"/>
        <v>#VALUE!</v>
      </c>
      <c r="CZ177" s="115" t="e">
        <f t="shared" si="313"/>
        <v>#VALUE!</v>
      </c>
      <c r="DA177" s="115" t="e">
        <f t="shared" si="313"/>
        <v>#VALUE!</v>
      </c>
      <c r="DB177" s="115" t="e">
        <f t="shared" si="314"/>
        <v>#VALUE!</v>
      </c>
      <c r="DC177" s="115" t="e">
        <f t="shared" si="314"/>
        <v>#VALUE!</v>
      </c>
      <c r="DD177" s="115" t="e">
        <f t="shared" si="314"/>
        <v>#VALUE!</v>
      </c>
      <c r="DE177" s="115" t="e">
        <f t="shared" si="314"/>
        <v>#VALUE!</v>
      </c>
      <c r="DF177" s="115" t="e">
        <f t="shared" si="314"/>
        <v>#VALUE!</v>
      </c>
      <c r="DG177" s="115" t="e">
        <f t="shared" si="314"/>
        <v>#VALUE!</v>
      </c>
      <c r="DH177" s="115" t="e">
        <f t="shared" si="314"/>
        <v>#VALUE!</v>
      </c>
      <c r="DI177" s="115" t="e">
        <f t="shared" si="314"/>
        <v>#VALUE!</v>
      </c>
      <c r="DJ177" s="115" t="e">
        <f t="shared" si="314"/>
        <v>#VALUE!</v>
      </c>
      <c r="DK177" s="115" t="e">
        <f t="shared" si="314"/>
        <v>#VALUE!</v>
      </c>
      <c r="DL177" s="115" t="e">
        <f t="shared" si="314"/>
        <v>#VALUE!</v>
      </c>
      <c r="DM177" s="115" t="e">
        <f t="shared" si="314"/>
        <v>#VALUE!</v>
      </c>
    </row>
    <row r="178" spans="1:117" ht="15" customHeight="1" thickBot="1">
      <c r="A178" s="55">
        <v>18700</v>
      </c>
      <c r="B178" s="194" t="s">
        <v>728</v>
      </c>
      <c r="C178" s="194" t="s">
        <v>942</v>
      </c>
      <c r="D178" s="194" t="s">
        <v>145</v>
      </c>
      <c r="E178" s="194" t="s">
        <v>146</v>
      </c>
      <c r="F178" s="194" t="s">
        <v>1137</v>
      </c>
      <c r="G178" s="291" t="e">
        <f t="shared" si="304"/>
        <v>#VALUE!</v>
      </c>
      <c r="H178" s="292" t="e">
        <f>VLOOKUP("E5.C",Errichtungskosten,12,0) *VLOOKUP("PFAKT",Instandsetzung,5,0)</f>
        <v>#VALUE!</v>
      </c>
      <c r="I178" s="168"/>
      <c r="J178" s="194" t="s">
        <v>850</v>
      </c>
      <c r="K178" s="385">
        <f>IF(ISNUMBER(VLOOKUP(E178,Nutzungsdauern,5,0)),VLOOKUP(E178,Nutzungsdauern,5,0),1000)</f>
        <v>25</v>
      </c>
      <c r="L178" s="379" t="s">
        <v>356</v>
      </c>
      <c r="M178" s="325">
        <f>VLOOKUP(L178,Finanzielle_Parameter,5,0)</f>
        <v>2.77</v>
      </c>
      <c r="N178" s="380">
        <f>(1+VLOOKUP(L178,Finanzielle_Parameter,5,0)/100)/(1+VLOOKUP("R",Finanzielle_Parameter,5,0)/100)</f>
        <v>1.0105211406096364</v>
      </c>
      <c r="O178" s="381" t="e">
        <f t="shared" si="305"/>
        <v>#VALUE!</v>
      </c>
      <c r="P178" s="169" t="s">
        <v>103</v>
      </c>
      <c r="Q178" s="114" t="e">
        <f t="shared" si="305"/>
        <v>#VALUE!</v>
      </c>
      <c r="R178" s="115" t="e">
        <f t="shared" si="305"/>
        <v>#VALUE!</v>
      </c>
      <c r="S178" s="115" t="e">
        <f t="shared" si="305"/>
        <v>#VALUE!</v>
      </c>
      <c r="T178" s="115" t="e">
        <f t="shared" si="305"/>
        <v>#VALUE!</v>
      </c>
      <c r="U178" s="115" t="e">
        <f t="shared" si="305"/>
        <v>#VALUE!</v>
      </c>
      <c r="V178" s="115" t="e">
        <f t="shared" si="305"/>
        <v>#VALUE!</v>
      </c>
      <c r="W178" s="115" t="e">
        <f t="shared" si="305"/>
        <v>#VALUE!</v>
      </c>
      <c r="X178" s="115" t="e">
        <f t="shared" si="305"/>
        <v>#VALUE!</v>
      </c>
      <c r="Y178" s="115" t="e">
        <f t="shared" si="305"/>
        <v>#VALUE!</v>
      </c>
      <c r="Z178" s="115" t="e">
        <f t="shared" si="306"/>
        <v>#VALUE!</v>
      </c>
      <c r="AA178" s="115" t="e">
        <f t="shared" si="306"/>
        <v>#VALUE!</v>
      </c>
      <c r="AB178" s="115" t="e">
        <f t="shared" si="306"/>
        <v>#VALUE!</v>
      </c>
      <c r="AC178" s="115" t="e">
        <f t="shared" si="306"/>
        <v>#VALUE!</v>
      </c>
      <c r="AD178" s="115" t="e">
        <f t="shared" si="306"/>
        <v>#VALUE!</v>
      </c>
      <c r="AE178" s="115" t="e">
        <f t="shared" si="306"/>
        <v>#VALUE!</v>
      </c>
      <c r="AF178" s="115" t="e">
        <f t="shared" si="306"/>
        <v>#VALUE!</v>
      </c>
      <c r="AG178" s="115" t="e">
        <f t="shared" si="306"/>
        <v>#VALUE!</v>
      </c>
      <c r="AH178" s="115" t="e">
        <f t="shared" si="306"/>
        <v>#VALUE!</v>
      </c>
      <c r="AI178" s="115" t="e">
        <f t="shared" si="306"/>
        <v>#VALUE!</v>
      </c>
      <c r="AJ178" s="115" t="e">
        <f t="shared" si="307"/>
        <v>#VALUE!</v>
      </c>
      <c r="AK178" s="115" t="e">
        <f t="shared" si="307"/>
        <v>#VALUE!</v>
      </c>
      <c r="AL178" s="115" t="e">
        <f t="shared" si="307"/>
        <v>#VALUE!</v>
      </c>
      <c r="AM178" s="115" t="e">
        <f t="shared" si="307"/>
        <v>#VALUE!</v>
      </c>
      <c r="AN178" s="115" t="e">
        <f t="shared" si="307"/>
        <v>#VALUE!</v>
      </c>
      <c r="AO178" s="115" t="e">
        <f t="shared" si="307"/>
        <v>#VALUE!</v>
      </c>
      <c r="AP178" s="115" t="e">
        <f t="shared" si="307"/>
        <v>#VALUE!</v>
      </c>
      <c r="AQ178" s="115" t="e">
        <f t="shared" si="307"/>
        <v>#VALUE!</v>
      </c>
      <c r="AR178" s="115" t="e">
        <f t="shared" si="307"/>
        <v>#VALUE!</v>
      </c>
      <c r="AS178" s="115" t="e">
        <f t="shared" si="307"/>
        <v>#VALUE!</v>
      </c>
      <c r="AT178" s="115" t="e">
        <f t="shared" si="308"/>
        <v>#VALUE!</v>
      </c>
      <c r="AU178" s="115" t="e">
        <f t="shared" si="308"/>
        <v>#VALUE!</v>
      </c>
      <c r="AV178" s="115" t="e">
        <f t="shared" si="308"/>
        <v>#VALUE!</v>
      </c>
      <c r="AW178" s="115" t="e">
        <f t="shared" si="308"/>
        <v>#VALUE!</v>
      </c>
      <c r="AX178" s="115" t="e">
        <f t="shared" si="308"/>
        <v>#VALUE!</v>
      </c>
      <c r="AY178" s="115" t="e">
        <f t="shared" si="308"/>
        <v>#VALUE!</v>
      </c>
      <c r="AZ178" s="115" t="e">
        <f t="shared" si="308"/>
        <v>#VALUE!</v>
      </c>
      <c r="BA178" s="115" t="e">
        <f t="shared" si="308"/>
        <v>#VALUE!</v>
      </c>
      <c r="BB178" s="115" t="e">
        <f t="shared" si="308"/>
        <v>#VALUE!</v>
      </c>
      <c r="BC178" s="115" t="e">
        <f t="shared" si="308"/>
        <v>#VALUE!</v>
      </c>
      <c r="BD178" s="115" t="e">
        <f t="shared" si="309"/>
        <v>#VALUE!</v>
      </c>
      <c r="BE178" s="115" t="e">
        <f t="shared" si="309"/>
        <v>#VALUE!</v>
      </c>
      <c r="BF178" s="115" t="e">
        <f t="shared" si="309"/>
        <v>#VALUE!</v>
      </c>
      <c r="BG178" s="115" t="e">
        <f t="shared" si="309"/>
        <v>#VALUE!</v>
      </c>
      <c r="BH178" s="115" t="e">
        <f t="shared" si="309"/>
        <v>#VALUE!</v>
      </c>
      <c r="BI178" s="115" t="e">
        <f t="shared" si="309"/>
        <v>#VALUE!</v>
      </c>
      <c r="BJ178" s="115" t="e">
        <f t="shared" si="309"/>
        <v>#VALUE!</v>
      </c>
      <c r="BK178" s="115" t="e">
        <f t="shared" si="309"/>
        <v>#VALUE!</v>
      </c>
      <c r="BL178" s="115" t="e">
        <f t="shared" si="309"/>
        <v>#VALUE!</v>
      </c>
      <c r="BM178" s="115" t="e">
        <f t="shared" si="309"/>
        <v>#VALUE!</v>
      </c>
      <c r="BN178" s="115" t="e">
        <f t="shared" si="310"/>
        <v>#VALUE!</v>
      </c>
      <c r="BO178" s="115" t="e">
        <f t="shared" si="310"/>
        <v>#VALUE!</v>
      </c>
      <c r="BP178" s="115" t="e">
        <f t="shared" si="310"/>
        <v>#VALUE!</v>
      </c>
      <c r="BQ178" s="115" t="e">
        <f t="shared" si="310"/>
        <v>#VALUE!</v>
      </c>
      <c r="BR178" s="115" t="e">
        <f t="shared" si="310"/>
        <v>#VALUE!</v>
      </c>
      <c r="BS178" s="115" t="e">
        <f t="shared" si="310"/>
        <v>#VALUE!</v>
      </c>
      <c r="BT178" s="115" t="e">
        <f t="shared" si="310"/>
        <v>#VALUE!</v>
      </c>
      <c r="BU178" s="115" t="e">
        <f t="shared" si="310"/>
        <v>#VALUE!</v>
      </c>
      <c r="BV178" s="115" t="e">
        <f t="shared" si="310"/>
        <v>#VALUE!</v>
      </c>
      <c r="BW178" s="115" t="e">
        <f t="shared" si="310"/>
        <v>#VALUE!</v>
      </c>
      <c r="BX178" s="115" t="e">
        <f t="shared" si="311"/>
        <v>#VALUE!</v>
      </c>
      <c r="BY178" s="115" t="e">
        <f t="shared" si="311"/>
        <v>#VALUE!</v>
      </c>
      <c r="BZ178" s="115" t="e">
        <f t="shared" si="311"/>
        <v>#VALUE!</v>
      </c>
      <c r="CA178" s="115" t="e">
        <f t="shared" si="311"/>
        <v>#VALUE!</v>
      </c>
      <c r="CB178" s="115" t="e">
        <f t="shared" si="311"/>
        <v>#VALUE!</v>
      </c>
      <c r="CC178" s="115" t="e">
        <f t="shared" si="311"/>
        <v>#VALUE!</v>
      </c>
      <c r="CD178" s="115" t="e">
        <f t="shared" si="311"/>
        <v>#VALUE!</v>
      </c>
      <c r="CE178" s="115" t="e">
        <f t="shared" si="311"/>
        <v>#VALUE!</v>
      </c>
      <c r="CF178" s="115" t="e">
        <f t="shared" si="311"/>
        <v>#VALUE!</v>
      </c>
      <c r="CG178" s="115" t="e">
        <f t="shared" si="311"/>
        <v>#VALUE!</v>
      </c>
      <c r="CH178" s="115" t="e">
        <f t="shared" si="312"/>
        <v>#VALUE!</v>
      </c>
      <c r="CI178" s="115" t="e">
        <f t="shared" si="312"/>
        <v>#VALUE!</v>
      </c>
      <c r="CJ178" s="115" t="e">
        <f t="shared" si="312"/>
        <v>#VALUE!</v>
      </c>
      <c r="CK178" s="115" t="e">
        <f t="shared" si="312"/>
        <v>#VALUE!</v>
      </c>
      <c r="CL178" s="115" t="e">
        <f t="shared" si="312"/>
        <v>#VALUE!</v>
      </c>
      <c r="CM178" s="115" t="e">
        <f t="shared" si="312"/>
        <v>#VALUE!</v>
      </c>
      <c r="CN178" s="115" t="e">
        <f t="shared" si="312"/>
        <v>#VALUE!</v>
      </c>
      <c r="CO178" s="115" t="e">
        <f t="shared" si="312"/>
        <v>#VALUE!</v>
      </c>
      <c r="CP178" s="115" t="e">
        <f t="shared" si="312"/>
        <v>#VALUE!</v>
      </c>
      <c r="CQ178" s="115" t="e">
        <f t="shared" si="312"/>
        <v>#VALUE!</v>
      </c>
      <c r="CR178" s="115" t="e">
        <f t="shared" si="313"/>
        <v>#VALUE!</v>
      </c>
      <c r="CS178" s="115" t="e">
        <f t="shared" si="313"/>
        <v>#VALUE!</v>
      </c>
      <c r="CT178" s="115" t="e">
        <f t="shared" si="313"/>
        <v>#VALUE!</v>
      </c>
      <c r="CU178" s="115" t="e">
        <f t="shared" si="313"/>
        <v>#VALUE!</v>
      </c>
      <c r="CV178" s="115" t="e">
        <f t="shared" si="313"/>
        <v>#VALUE!</v>
      </c>
      <c r="CW178" s="115" t="e">
        <f t="shared" si="313"/>
        <v>#VALUE!</v>
      </c>
      <c r="CX178" s="115" t="e">
        <f t="shared" si="313"/>
        <v>#VALUE!</v>
      </c>
      <c r="CY178" s="115" t="e">
        <f t="shared" si="313"/>
        <v>#VALUE!</v>
      </c>
      <c r="CZ178" s="115" t="e">
        <f t="shared" si="313"/>
        <v>#VALUE!</v>
      </c>
      <c r="DA178" s="115" t="e">
        <f t="shared" si="313"/>
        <v>#VALUE!</v>
      </c>
      <c r="DB178" s="115" t="e">
        <f t="shared" si="314"/>
        <v>#VALUE!</v>
      </c>
      <c r="DC178" s="115" t="e">
        <f t="shared" si="314"/>
        <v>#VALUE!</v>
      </c>
      <c r="DD178" s="115" t="e">
        <f t="shared" si="314"/>
        <v>#VALUE!</v>
      </c>
      <c r="DE178" s="115" t="e">
        <f t="shared" si="314"/>
        <v>#VALUE!</v>
      </c>
      <c r="DF178" s="115" t="e">
        <f t="shared" si="314"/>
        <v>#VALUE!</v>
      </c>
      <c r="DG178" s="115" t="e">
        <f t="shared" si="314"/>
        <v>#VALUE!</v>
      </c>
      <c r="DH178" s="115" t="e">
        <f t="shared" si="314"/>
        <v>#VALUE!</v>
      </c>
      <c r="DI178" s="115" t="e">
        <f t="shared" si="314"/>
        <v>#VALUE!</v>
      </c>
      <c r="DJ178" s="115" t="e">
        <f t="shared" si="314"/>
        <v>#VALUE!</v>
      </c>
      <c r="DK178" s="115" t="e">
        <f t="shared" si="314"/>
        <v>#VALUE!</v>
      </c>
      <c r="DL178" s="115" t="e">
        <f t="shared" si="314"/>
        <v>#VALUE!</v>
      </c>
      <c r="DM178" s="115" t="e">
        <f t="shared" si="314"/>
        <v>#VALUE!</v>
      </c>
    </row>
    <row r="179" spans="1:117" ht="15" customHeight="1" thickBot="1">
      <c r="A179" s="55">
        <v>18800</v>
      </c>
      <c r="B179" s="194" t="s">
        <v>728</v>
      </c>
      <c r="C179" s="194" t="s">
        <v>943</v>
      </c>
      <c r="D179" s="194" t="s">
        <v>944</v>
      </c>
      <c r="E179" s="194" t="s">
        <v>144</v>
      </c>
      <c r="F179" s="194" t="s">
        <v>1138</v>
      </c>
      <c r="G179" s="291" t="e">
        <f t="shared" si="304"/>
        <v>#VALUE!</v>
      </c>
      <c r="H179" s="292" t="e">
        <f>VLOOKUP("E5.S",Errichtungskosten,12,0) *VLOOKUP("PFAKT",Instandsetzung,5,0)</f>
        <v>#VALUE!</v>
      </c>
      <c r="I179" s="168"/>
      <c r="J179" s="194" t="s">
        <v>850</v>
      </c>
      <c r="K179" s="385">
        <f>IF(ISNUMBER(VLOOKUP(E179,Nutzungsdauern,5,0)),VLOOKUP(E179,Nutzungsdauern,5,0),1000)</f>
        <v>25</v>
      </c>
      <c r="L179" s="379" t="s">
        <v>356</v>
      </c>
      <c r="M179" s="325">
        <f>VLOOKUP(L179,Finanzielle_Parameter,5,0)</f>
        <v>2.77</v>
      </c>
      <c r="N179" s="380">
        <f>(1+VLOOKUP(L179,Finanzielle_Parameter,5,0)/100)/(1+VLOOKUP("R",Finanzielle_Parameter,5,0)/100)</f>
        <v>1.0105211406096364</v>
      </c>
      <c r="O179" s="381" t="e">
        <f t="shared" si="305"/>
        <v>#VALUE!</v>
      </c>
      <c r="P179" s="169" t="s">
        <v>103</v>
      </c>
      <c r="Q179" s="114" t="e">
        <f t="shared" si="305"/>
        <v>#VALUE!</v>
      </c>
      <c r="R179" s="115" t="e">
        <f t="shared" si="305"/>
        <v>#VALUE!</v>
      </c>
      <c r="S179" s="115" t="e">
        <f t="shared" si="305"/>
        <v>#VALUE!</v>
      </c>
      <c r="T179" s="115" t="e">
        <f t="shared" si="305"/>
        <v>#VALUE!</v>
      </c>
      <c r="U179" s="115" t="e">
        <f t="shared" si="305"/>
        <v>#VALUE!</v>
      </c>
      <c r="V179" s="115" t="e">
        <f t="shared" si="305"/>
        <v>#VALUE!</v>
      </c>
      <c r="W179" s="115" t="e">
        <f t="shared" si="305"/>
        <v>#VALUE!</v>
      </c>
      <c r="X179" s="115" t="e">
        <f t="shared" si="305"/>
        <v>#VALUE!</v>
      </c>
      <c r="Y179" s="115" t="e">
        <f t="shared" si="305"/>
        <v>#VALUE!</v>
      </c>
      <c r="Z179" s="115" t="e">
        <f t="shared" si="306"/>
        <v>#VALUE!</v>
      </c>
      <c r="AA179" s="115" t="e">
        <f t="shared" si="306"/>
        <v>#VALUE!</v>
      </c>
      <c r="AB179" s="115" t="e">
        <f t="shared" si="306"/>
        <v>#VALUE!</v>
      </c>
      <c r="AC179" s="115" t="e">
        <f t="shared" si="306"/>
        <v>#VALUE!</v>
      </c>
      <c r="AD179" s="115" t="e">
        <f t="shared" si="306"/>
        <v>#VALUE!</v>
      </c>
      <c r="AE179" s="115" t="e">
        <f t="shared" si="306"/>
        <v>#VALUE!</v>
      </c>
      <c r="AF179" s="115" t="e">
        <f t="shared" si="306"/>
        <v>#VALUE!</v>
      </c>
      <c r="AG179" s="115" t="e">
        <f t="shared" si="306"/>
        <v>#VALUE!</v>
      </c>
      <c r="AH179" s="115" t="e">
        <f t="shared" si="306"/>
        <v>#VALUE!</v>
      </c>
      <c r="AI179" s="115" t="e">
        <f t="shared" si="306"/>
        <v>#VALUE!</v>
      </c>
      <c r="AJ179" s="115" t="e">
        <f t="shared" si="307"/>
        <v>#VALUE!</v>
      </c>
      <c r="AK179" s="115" t="e">
        <f t="shared" si="307"/>
        <v>#VALUE!</v>
      </c>
      <c r="AL179" s="115" t="e">
        <f t="shared" si="307"/>
        <v>#VALUE!</v>
      </c>
      <c r="AM179" s="115" t="e">
        <f t="shared" si="307"/>
        <v>#VALUE!</v>
      </c>
      <c r="AN179" s="115" t="e">
        <f t="shared" si="307"/>
        <v>#VALUE!</v>
      </c>
      <c r="AO179" s="115" t="e">
        <f t="shared" si="307"/>
        <v>#VALUE!</v>
      </c>
      <c r="AP179" s="115" t="e">
        <f t="shared" si="307"/>
        <v>#VALUE!</v>
      </c>
      <c r="AQ179" s="115" t="e">
        <f t="shared" si="307"/>
        <v>#VALUE!</v>
      </c>
      <c r="AR179" s="115" t="e">
        <f t="shared" si="307"/>
        <v>#VALUE!</v>
      </c>
      <c r="AS179" s="115" t="e">
        <f t="shared" si="307"/>
        <v>#VALUE!</v>
      </c>
      <c r="AT179" s="115" t="e">
        <f t="shared" si="308"/>
        <v>#VALUE!</v>
      </c>
      <c r="AU179" s="115" t="e">
        <f t="shared" si="308"/>
        <v>#VALUE!</v>
      </c>
      <c r="AV179" s="115" t="e">
        <f t="shared" si="308"/>
        <v>#VALUE!</v>
      </c>
      <c r="AW179" s="115" t="e">
        <f t="shared" si="308"/>
        <v>#VALUE!</v>
      </c>
      <c r="AX179" s="115" t="e">
        <f t="shared" si="308"/>
        <v>#VALUE!</v>
      </c>
      <c r="AY179" s="115" t="e">
        <f t="shared" si="308"/>
        <v>#VALUE!</v>
      </c>
      <c r="AZ179" s="115" t="e">
        <f t="shared" si="308"/>
        <v>#VALUE!</v>
      </c>
      <c r="BA179" s="115" t="e">
        <f t="shared" si="308"/>
        <v>#VALUE!</v>
      </c>
      <c r="BB179" s="115" t="e">
        <f t="shared" si="308"/>
        <v>#VALUE!</v>
      </c>
      <c r="BC179" s="115" t="e">
        <f t="shared" si="308"/>
        <v>#VALUE!</v>
      </c>
      <c r="BD179" s="115" t="e">
        <f t="shared" si="309"/>
        <v>#VALUE!</v>
      </c>
      <c r="BE179" s="115" t="e">
        <f t="shared" si="309"/>
        <v>#VALUE!</v>
      </c>
      <c r="BF179" s="115" t="e">
        <f t="shared" si="309"/>
        <v>#VALUE!</v>
      </c>
      <c r="BG179" s="115" t="e">
        <f t="shared" si="309"/>
        <v>#VALUE!</v>
      </c>
      <c r="BH179" s="115" t="e">
        <f t="shared" si="309"/>
        <v>#VALUE!</v>
      </c>
      <c r="BI179" s="115" t="e">
        <f t="shared" si="309"/>
        <v>#VALUE!</v>
      </c>
      <c r="BJ179" s="115" t="e">
        <f t="shared" si="309"/>
        <v>#VALUE!</v>
      </c>
      <c r="BK179" s="115" t="e">
        <f t="shared" si="309"/>
        <v>#VALUE!</v>
      </c>
      <c r="BL179" s="115" t="e">
        <f t="shared" si="309"/>
        <v>#VALUE!</v>
      </c>
      <c r="BM179" s="115" t="e">
        <f t="shared" si="309"/>
        <v>#VALUE!</v>
      </c>
      <c r="BN179" s="115" t="e">
        <f t="shared" si="310"/>
        <v>#VALUE!</v>
      </c>
      <c r="BO179" s="115" t="e">
        <f t="shared" si="310"/>
        <v>#VALUE!</v>
      </c>
      <c r="BP179" s="115" t="e">
        <f t="shared" si="310"/>
        <v>#VALUE!</v>
      </c>
      <c r="BQ179" s="115" t="e">
        <f t="shared" si="310"/>
        <v>#VALUE!</v>
      </c>
      <c r="BR179" s="115" t="e">
        <f t="shared" si="310"/>
        <v>#VALUE!</v>
      </c>
      <c r="BS179" s="115" t="e">
        <f t="shared" si="310"/>
        <v>#VALUE!</v>
      </c>
      <c r="BT179" s="115" t="e">
        <f t="shared" si="310"/>
        <v>#VALUE!</v>
      </c>
      <c r="BU179" s="115" t="e">
        <f t="shared" si="310"/>
        <v>#VALUE!</v>
      </c>
      <c r="BV179" s="115" t="e">
        <f t="shared" si="310"/>
        <v>#VALUE!</v>
      </c>
      <c r="BW179" s="115" t="e">
        <f t="shared" si="310"/>
        <v>#VALUE!</v>
      </c>
      <c r="BX179" s="115" t="e">
        <f t="shared" si="311"/>
        <v>#VALUE!</v>
      </c>
      <c r="BY179" s="115" t="e">
        <f t="shared" si="311"/>
        <v>#VALUE!</v>
      </c>
      <c r="BZ179" s="115" t="e">
        <f t="shared" si="311"/>
        <v>#VALUE!</v>
      </c>
      <c r="CA179" s="115" t="e">
        <f t="shared" si="311"/>
        <v>#VALUE!</v>
      </c>
      <c r="CB179" s="115" t="e">
        <f t="shared" si="311"/>
        <v>#VALUE!</v>
      </c>
      <c r="CC179" s="115" t="e">
        <f t="shared" si="311"/>
        <v>#VALUE!</v>
      </c>
      <c r="CD179" s="115" t="e">
        <f t="shared" si="311"/>
        <v>#VALUE!</v>
      </c>
      <c r="CE179" s="115" t="e">
        <f t="shared" si="311"/>
        <v>#VALUE!</v>
      </c>
      <c r="CF179" s="115" t="e">
        <f t="shared" si="311"/>
        <v>#VALUE!</v>
      </c>
      <c r="CG179" s="115" t="e">
        <f t="shared" si="311"/>
        <v>#VALUE!</v>
      </c>
      <c r="CH179" s="115" t="e">
        <f t="shared" si="312"/>
        <v>#VALUE!</v>
      </c>
      <c r="CI179" s="115" t="e">
        <f t="shared" si="312"/>
        <v>#VALUE!</v>
      </c>
      <c r="CJ179" s="115" t="e">
        <f t="shared" si="312"/>
        <v>#VALUE!</v>
      </c>
      <c r="CK179" s="115" t="e">
        <f t="shared" si="312"/>
        <v>#VALUE!</v>
      </c>
      <c r="CL179" s="115" t="e">
        <f t="shared" si="312"/>
        <v>#VALUE!</v>
      </c>
      <c r="CM179" s="115" t="e">
        <f t="shared" si="312"/>
        <v>#VALUE!</v>
      </c>
      <c r="CN179" s="115" t="e">
        <f t="shared" si="312"/>
        <v>#VALUE!</v>
      </c>
      <c r="CO179" s="115" t="e">
        <f t="shared" si="312"/>
        <v>#VALUE!</v>
      </c>
      <c r="CP179" s="115" t="e">
        <f t="shared" si="312"/>
        <v>#VALUE!</v>
      </c>
      <c r="CQ179" s="115" t="e">
        <f t="shared" si="312"/>
        <v>#VALUE!</v>
      </c>
      <c r="CR179" s="115" t="e">
        <f t="shared" si="313"/>
        <v>#VALUE!</v>
      </c>
      <c r="CS179" s="115" t="e">
        <f t="shared" si="313"/>
        <v>#VALUE!</v>
      </c>
      <c r="CT179" s="115" t="e">
        <f t="shared" si="313"/>
        <v>#VALUE!</v>
      </c>
      <c r="CU179" s="115" t="e">
        <f t="shared" si="313"/>
        <v>#VALUE!</v>
      </c>
      <c r="CV179" s="115" t="e">
        <f t="shared" si="313"/>
        <v>#VALUE!</v>
      </c>
      <c r="CW179" s="115" t="e">
        <f t="shared" si="313"/>
        <v>#VALUE!</v>
      </c>
      <c r="CX179" s="115" t="e">
        <f t="shared" si="313"/>
        <v>#VALUE!</v>
      </c>
      <c r="CY179" s="115" t="e">
        <f t="shared" si="313"/>
        <v>#VALUE!</v>
      </c>
      <c r="CZ179" s="115" t="e">
        <f t="shared" si="313"/>
        <v>#VALUE!</v>
      </c>
      <c r="DA179" s="115" t="e">
        <f t="shared" si="313"/>
        <v>#VALUE!</v>
      </c>
      <c r="DB179" s="115" t="e">
        <f t="shared" si="314"/>
        <v>#VALUE!</v>
      </c>
      <c r="DC179" s="115" t="e">
        <f t="shared" si="314"/>
        <v>#VALUE!</v>
      </c>
      <c r="DD179" s="115" t="e">
        <f t="shared" si="314"/>
        <v>#VALUE!</v>
      </c>
      <c r="DE179" s="115" t="e">
        <f t="shared" si="314"/>
        <v>#VALUE!</v>
      </c>
      <c r="DF179" s="115" t="e">
        <f t="shared" si="314"/>
        <v>#VALUE!</v>
      </c>
      <c r="DG179" s="115" t="e">
        <f t="shared" si="314"/>
        <v>#VALUE!</v>
      </c>
      <c r="DH179" s="115" t="e">
        <f t="shared" si="314"/>
        <v>#VALUE!</v>
      </c>
      <c r="DI179" s="115" t="e">
        <f t="shared" si="314"/>
        <v>#VALUE!</v>
      </c>
      <c r="DJ179" s="115" t="e">
        <f t="shared" si="314"/>
        <v>#VALUE!</v>
      </c>
      <c r="DK179" s="115" t="e">
        <f t="shared" si="314"/>
        <v>#VALUE!</v>
      </c>
      <c r="DL179" s="115" t="e">
        <f t="shared" si="314"/>
        <v>#VALUE!</v>
      </c>
      <c r="DM179" s="115" t="e">
        <f t="shared" si="314"/>
        <v>#VALUE!</v>
      </c>
    </row>
    <row r="180" spans="1:117" ht="15" customHeight="1" thickBot="1">
      <c r="A180" s="293">
        <v>19000</v>
      </c>
      <c r="B180" s="172" t="s">
        <v>743</v>
      </c>
      <c r="C180" s="172" t="s">
        <v>945</v>
      </c>
      <c r="D180" s="172" t="s">
        <v>141</v>
      </c>
      <c r="E180" s="172"/>
      <c r="F180" s="172"/>
      <c r="G180" s="172"/>
      <c r="H180" s="172"/>
      <c r="I180" s="172"/>
      <c r="J180" s="172"/>
      <c r="K180" s="386"/>
      <c r="L180" s="172"/>
      <c r="M180" s="293"/>
      <c r="N180" s="293"/>
      <c r="O180" s="376" t="e">
        <f>SUM(O181:O185)</f>
        <v>#VALUE!</v>
      </c>
      <c r="P180" s="377" t="s">
        <v>103</v>
      </c>
      <c r="Q180" s="116"/>
      <c r="R180" s="116"/>
      <c r="S180" s="116"/>
      <c r="T180" s="116"/>
      <c r="U180" s="116"/>
      <c r="V180" s="116"/>
      <c r="W180" s="116"/>
      <c r="X180" s="116"/>
      <c r="Y180" s="116"/>
      <c r="Z180" s="116"/>
      <c r="AA180" s="116"/>
      <c r="AB180" s="116"/>
      <c r="AC180" s="116"/>
      <c r="AD180" s="116"/>
      <c r="AE180" s="116"/>
      <c r="AF180" s="116"/>
      <c r="AG180" s="116"/>
      <c r="AH180" s="116"/>
      <c r="AI180" s="116"/>
      <c r="AJ180" s="116"/>
      <c r="AK180" s="116"/>
      <c r="AL180" s="116"/>
      <c r="AM180" s="116"/>
      <c r="AN180" s="116"/>
      <c r="AO180" s="116"/>
      <c r="AP180" s="116"/>
      <c r="AQ180" s="116"/>
      <c r="AR180" s="116"/>
      <c r="AS180" s="116"/>
      <c r="AT180" s="116"/>
      <c r="AU180" s="116"/>
      <c r="AV180" s="116"/>
      <c r="AW180" s="116"/>
      <c r="AX180" s="116"/>
      <c r="AY180" s="116"/>
      <c r="AZ180" s="116"/>
      <c r="BA180" s="116"/>
      <c r="BB180" s="116"/>
      <c r="BC180" s="116"/>
      <c r="BD180" s="116"/>
      <c r="BE180" s="116"/>
      <c r="BF180" s="116"/>
      <c r="BG180" s="116"/>
      <c r="BH180" s="116"/>
      <c r="BI180" s="116"/>
      <c r="BJ180" s="116"/>
      <c r="BK180" s="116"/>
      <c r="BL180" s="116"/>
      <c r="BM180" s="116"/>
      <c r="BN180" s="116"/>
      <c r="BO180" s="116"/>
      <c r="BP180" s="116"/>
      <c r="BQ180" s="116"/>
      <c r="BR180" s="116"/>
      <c r="BS180" s="116"/>
      <c r="BT180" s="116"/>
      <c r="BU180" s="116"/>
      <c r="BV180" s="116"/>
      <c r="BW180" s="116"/>
      <c r="BX180" s="116"/>
      <c r="BY180" s="116"/>
      <c r="BZ180" s="116"/>
      <c r="CA180" s="116"/>
      <c r="CB180" s="116"/>
      <c r="CC180" s="116"/>
      <c r="CD180" s="116"/>
      <c r="CE180" s="116"/>
      <c r="CF180" s="116"/>
      <c r="CG180" s="116"/>
      <c r="CH180" s="116"/>
      <c r="CI180" s="116"/>
      <c r="CJ180" s="116"/>
      <c r="CK180" s="116"/>
      <c r="CL180" s="116"/>
      <c r="CM180" s="116"/>
      <c r="CN180" s="116"/>
      <c r="CO180" s="116"/>
      <c r="CP180" s="116"/>
      <c r="CQ180" s="116"/>
      <c r="CR180" s="116"/>
      <c r="CS180" s="116"/>
      <c r="CT180" s="116"/>
      <c r="CU180" s="116"/>
      <c r="CV180" s="116"/>
      <c r="CW180" s="116"/>
      <c r="CX180" s="116"/>
      <c r="CY180" s="116"/>
      <c r="CZ180" s="116"/>
      <c r="DA180" s="116"/>
      <c r="DB180" s="116"/>
      <c r="DC180" s="116"/>
      <c r="DD180" s="116"/>
      <c r="DE180" s="116"/>
      <c r="DF180" s="116"/>
      <c r="DG180" s="116"/>
      <c r="DH180" s="116"/>
      <c r="DI180" s="116"/>
      <c r="DJ180" s="116"/>
      <c r="DK180" s="116"/>
      <c r="DL180" s="116"/>
      <c r="DM180" s="116"/>
    </row>
    <row r="181" spans="1:117" ht="15" customHeight="1" thickBot="1">
      <c r="A181" s="55">
        <v>19100</v>
      </c>
      <c r="B181" s="194" t="s">
        <v>728</v>
      </c>
      <c r="C181" s="194" t="s">
        <v>946</v>
      </c>
      <c r="D181" s="194" t="s">
        <v>947</v>
      </c>
      <c r="E181" s="194" t="s">
        <v>140</v>
      </c>
      <c r="F181" s="194" t="s">
        <v>1139</v>
      </c>
      <c r="G181" s="291" t="e">
        <f t="shared" ref="G181:G186" si="315">IF(I181="",H181,I181)</f>
        <v>#VALUE!</v>
      </c>
      <c r="H181" s="292" t="e">
        <f>VLOOKUP("E6.A",Errichtungskosten,12,0) *VLOOKUP("PFAKT",Instandsetzung,5,0)</f>
        <v>#VALUE!</v>
      </c>
      <c r="I181" s="168"/>
      <c r="J181" s="194" t="s">
        <v>850</v>
      </c>
      <c r="K181" s="385">
        <f>IF(ISNUMBER(VLOOKUP(E181,Nutzungsdauern,5,0)),VLOOKUP(E181,Nutzungsdauern,5,0),1000)</f>
        <v>50</v>
      </c>
      <c r="L181" s="379" t="s">
        <v>356</v>
      </c>
      <c r="M181" s="325">
        <f t="shared" ref="M181:M186" si="316">VLOOKUP(L181,Finanzielle_Parameter,5,0)</f>
        <v>2.77</v>
      </c>
      <c r="N181" s="380">
        <f t="shared" ref="N181:N186" si="317">(1+VLOOKUP(L181,Finanzielle_Parameter,5,0)/100)/(1+VLOOKUP("R",Finanzielle_Parameter,5,0)/100)</f>
        <v>1.0105211406096364</v>
      </c>
      <c r="O181" s="381" t="e">
        <f t="shared" ref="O181:Y186" si="318">IF($N181&lt;&gt;1,$G181*($N181^$K181)*(($N181^($K181*INT(O$2/$K181))-1)/($N181^$K181-1)),$G181*INT(O$2/$K181))</f>
        <v>#VALUE!</v>
      </c>
      <c r="P181" s="169" t="s">
        <v>103</v>
      </c>
      <c r="Q181" s="114" t="e">
        <f t="shared" si="318"/>
        <v>#VALUE!</v>
      </c>
      <c r="R181" s="115" t="e">
        <f t="shared" si="318"/>
        <v>#VALUE!</v>
      </c>
      <c r="S181" s="115" t="e">
        <f t="shared" si="318"/>
        <v>#VALUE!</v>
      </c>
      <c r="T181" s="115" t="e">
        <f t="shared" si="318"/>
        <v>#VALUE!</v>
      </c>
      <c r="U181" s="115" t="e">
        <f t="shared" si="318"/>
        <v>#VALUE!</v>
      </c>
      <c r="V181" s="115" t="e">
        <f t="shared" si="318"/>
        <v>#VALUE!</v>
      </c>
      <c r="W181" s="115" t="e">
        <f t="shared" si="318"/>
        <v>#VALUE!</v>
      </c>
      <c r="X181" s="115" t="e">
        <f t="shared" si="318"/>
        <v>#VALUE!</v>
      </c>
      <c r="Y181" s="115" t="e">
        <f t="shared" si="318"/>
        <v>#VALUE!</v>
      </c>
      <c r="Z181" s="115" t="e">
        <f t="shared" ref="Z181:AI186" si="319">IF($N181&lt;&gt;1,$G181*($N181^$K181)*(($N181^($K181*INT(Z$2/$K181))-1)/($N181^$K181-1)),$G181*INT(Z$2/$K181))</f>
        <v>#VALUE!</v>
      </c>
      <c r="AA181" s="115" t="e">
        <f t="shared" si="319"/>
        <v>#VALUE!</v>
      </c>
      <c r="AB181" s="115" t="e">
        <f t="shared" si="319"/>
        <v>#VALUE!</v>
      </c>
      <c r="AC181" s="115" t="e">
        <f t="shared" si="319"/>
        <v>#VALUE!</v>
      </c>
      <c r="AD181" s="115" t="e">
        <f t="shared" si="319"/>
        <v>#VALUE!</v>
      </c>
      <c r="AE181" s="115" t="e">
        <f t="shared" si="319"/>
        <v>#VALUE!</v>
      </c>
      <c r="AF181" s="115" t="e">
        <f t="shared" si="319"/>
        <v>#VALUE!</v>
      </c>
      <c r="AG181" s="115" t="e">
        <f t="shared" si="319"/>
        <v>#VALUE!</v>
      </c>
      <c r="AH181" s="115" t="e">
        <f t="shared" si="319"/>
        <v>#VALUE!</v>
      </c>
      <c r="AI181" s="115" t="e">
        <f t="shared" si="319"/>
        <v>#VALUE!</v>
      </c>
      <c r="AJ181" s="115" t="e">
        <f t="shared" ref="AJ181:AS186" si="320">IF($N181&lt;&gt;1,$G181*($N181^$K181)*(($N181^($K181*INT(AJ$2/$K181))-1)/($N181^$K181-1)),$G181*INT(AJ$2/$K181))</f>
        <v>#VALUE!</v>
      </c>
      <c r="AK181" s="115" t="e">
        <f t="shared" si="320"/>
        <v>#VALUE!</v>
      </c>
      <c r="AL181" s="115" t="e">
        <f t="shared" si="320"/>
        <v>#VALUE!</v>
      </c>
      <c r="AM181" s="115" t="e">
        <f t="shared" si="320"/>
        <v>#VALUE!</v>
      </c>
      <c r="AN181" s="115" t="e">
        <f t="shared" si="320"/>
        <v>#VALUE!</v>
      </c>
      <c r="AO181" s="115" t="e">
        <f t="shared" si="320"/>
        <v>#VALUE!</v>
      </c>
      <c r="AP181" s="115" t="e">
        <f t="shared" si="320"/>
        <v>#VALUE!</v>
      </c>
      <c r="AQ181" s="115" t="e">
        <f t="shared" si="320"/>
        <v>#VALUE!</v>
      </c>
      <c r="AR181" s="115" t="e">
        <f t="shared" si="320"/>
        <v>#VALUE!</v>
      </c>
      <c r="AS181" s="115" t="e">
        <f t="shared" si="320"/>
        <v>#VALUE!</v>
      </c>
      <c r="AT181" s="115" t="e">
        <f t="shared" ref="AT181:BC186" si="321">IF($N181&lt;&gt;1,$G181*($N181^$K181)*(($N181^($K181*INT(AT$2/$K181))-1)/($N181^$K181-1)),$G181*INT(AT$2/$K181))</f>
        <v>#VALUE!</v>
      </c>
      <c r="AU181" s="115" t="e">
        <f t="shared" si="321"/>
        <v>#VALUE!</v>
      </c>
      <c r="AV181" s="115" t="e">
        <f t="shared" si="321"/>
        <v>#VALUE!</v>
      </c>
      <c r="AW181" s="115" t="e">
        <f t="shared" si="321"/>
        <v>#VALUE!</v>
      </c>
      <c r="AX181" s="115" t="e">
        <f t="shared" si="321"/>
        <v>#VALUE!</v>
      </c>
      <c r="AY181" s="115" t="e">
        <f t="shared" si="321"/>
        <v>#VALUE!</v>
      </c>
      <c r="AZ181" s="115" t="e">
        <f t="shared" si="321"/>
        <v>#VALUE!</v>
      </c>
      <c r="BA181" s="115" t="e">
        <f t="shared" si="321"/>
        <v>#VALUE!</v>
      </c>
      <c r="BB181" s="115" t="e">
        <f t="shared" si="321"/>
        <v>#VALUE!</v>
      </c>
      <c r="BC181" s="115" t="e">
        <f t="shared" si="321"/>
        <v>#VALUE!</v>
      </c>
      <c r="BD181" s="115" t="e">
        <f t="shared" ref="BD181:BM186" si="322">IF($N181&lt;&gt;1,$G181*($N181^$K181)*(($N181^($K181*INT(BD$2/$K181))-1)/($N181^$K181-1)),$G181*INT(BD$2/$K181))</f>
        <v>#VALUE!</v>
      </c>
      <c r="BE181" s="115" t="e">
        <f t="shared" si="322"/>
        <v>#VALUE!</v>
      </c>
      <c r="BF181" s="115" t="e">
        <f t="shared" si="322"/>
        <v>#VALUE!</v>
      </c>
      <c r="BG181" s="115" t="e">
        <f t="shared" si="322"/>
        <v>#VALUE!</v>
      </c>
      <c r="BH181" s="115" t="e">
        <f t="shared" si="322"/>
        <v>#VALUE!</v>
      </c>
      <c r="BI181" s="115" t="e">
        <f t="shared" si="322"/>
        <v>#VALUE!</v>
      </c>
      <c r="BJ181" s="115" t="e">
        <f t="shared" si="322"/>
        <v>#VALUE!</v>
      </c>
      <c r="BK181" s="115" t="e">
        <f t="shared" si="322"/>
        <v>#VALUE!</v>
      </c>
      <c r="BL181" s="115" t="e">
        <f t="shared" si="322"/>
        <v>#VALUE!</v>
      </c>
      <c r="BM181" s="115" t="e">
        <f t="shared" si="322"/>
        <v>#VALUE!</v>
      </c>
      <c r="BN181" s="115" t="e">
        <f t="shared" ref="BN181:BW186" si="323">IF($N181&lt;&gt;1,$G181*($N181^$K181)*(($N181^($K181*INT(BN$2/$K181))-1)/($N181^$K181-1)),$G181*INT(BN$2/$K181))</f>
        <v>#VALUE!</v>
      </c>
      <c r="BO181" s="115" t="e">
        <f t="shared" si="323"/>
        <v>#VALUE!</v>
      </c>
      <c r="BP181" s="115" t="e">
        <f t="shared" si="323"/>
        <v>#VALUE!</v>
      </c>
      <c r="BQ181" s="115" t="e">
        <f t="shared" si="323"/>
        <v>#VALUE!</v>
      </c>
      <c r="BR181" s="115" t="e">
        <f t="shared" si="323"/>
        <v>#VALUE!</v>
      </c>
      <c r="BS181" s="115" t="e">
        <f t="shared" si="323"/>
        <v>#VALUE!</v>
      </c>
      <c r="BT181" s="115" t="e">
        <f t="shared" si="323"/>
        <v>#VALUE!</v>
      </c>
      <c r="BU181" s="115" t="e">
        <f t="shared" si="323"/>
        <v>#VALUE!</v>
      </c>
      <c r="BV181" s="115" t="e">
        <f t="shared" si="323"/>
        <v>#VALUE!</v>
      </c>
      <c r="BW181" s="115" t="e">
        <f t="shared" si="323"/>
        <v>#VALUE!</v>
      </c>
      <c r="BX181" s="115" t="e">
        <f t="shared" ref="BX181:CG186" si="324">IF($N181&lt;&gt;1,$G181*($N181^$K181)*(($N181^($K181*INT(BX$2/$K181))-1)/($N181^$K181-1)),$G181*INT(BX$2/$K181))</f>
        <v>#VALUE!</v>
      </c>
      <c r="BY181" s="115" t="e">
        <f t="shared" si="324"/>
        <v>#VALUE!</v>
      </c>
      <c r="BZ181" s="115" t="e">
        <f t="shared" si="324"/>
        <v>#VALUE!</v>
      </c>
      <c r="CA181" s="115" t="e">
        <f t="shared" si="324"/>
        <v>#VALUE!</v>
      </c>
      <c r="CB181" s="115" t="e">
        <f t="shared" si="324"/>
        <v>#VALUE!</v>
      </c>
      <c r="CC181" s="115" t="e">
        <f t="shared" si="324"/>
        <v>#VALUE!</v>
      </c>
      <c r="CD181" s="115" t="e">
        <f t="shared" si="324"/>
        <v>#VALUE!</v>
      </c>
      <c r="CE181" s="115" t="e">
        <f t="shared" si="324"/>
        <v>#VALUE!</v>
      </c>
      <c r="CF181" s="115" t="e">
        <f t="shared" si="324"/>
        <v>#VALUE!</v>
      </c>
      <c r="CG181" s="115" t="e">
        <f t="shared" si="324"/>
        <v>#VALUE!</v>
      </c>
      <c r="CH181" s="115" t="e">
        <f t="shared" ref="CH181:CQ186" si="325">IF($N181&lt;&gt;1,$G181*($N181^$K181)*(($N181^($K181*INT(CH$2/$K181))-1)/($N181^$K181-1)),$G181*INT(CH$2/$K181))</f>
        <v>#VALUE!</v>
      </c>
      <c r="CI181" s="115" t="e">
        <f t="shared" si="325"/>
        <v>#VALUE!</v>
      </c>
      <c r="CJ181" s="115" t="e">
        <f t="shared" si="325"/>
        <v>#VALUE!</v>
      </c>
      <c r="CK181" s="115" t="e">
        <f t="shared" si="325"/>
        <v>#VALUE!</v>
      </c>
      <c r="CL181" s="115" t="e">
        <f t="shared" si="325"/>
        <v>#VALUE!</v>
      </c>
      <c r="CM181" s="115" t="e">
        <f t="shared" si="325"/>
        <v>#VALUE!</v>
      </c>
      <c r="CN181" s="115" t="e">
        <f t="shared" si="325"/>
        <v>#VALUE!</v>
      </c>
      <c r="CO181" s="115" t="e">
        <f t="shared" si="325"/>
        <v>#VALUE!</v>
      </c>
      <c r="CP181" s="115" t="e">
        <f t="shared" si="325"/>
        <v>#VALUE!</v>
      </c>
      <c r="CQ181" s="115" t="e">
        <f t="shared" si="325"/>
        <v>#VALUE!</v>
      </c>
      <c r="CR181" s="115" t="e">
        <f t="shared" ref="CR181:DA186" si="326">IF($N181&lt;&gt;1,$G181*($N181^$K181)*(($N181^($K181*INT(CR$2/$K181))-1)/($N181^$K181-1)),$G181*INT(CR$2/$K181))</f>
        <v>#VALUE!</v>
      </c>
      <c r="CS181" s="115" t="e">
        <f t="shared" si="326"/>
        <v>#VALUE!</v>
      </c>
      <c r="CT181" s="115" t="e">
        <f t="shared" si="326"/>
        <v>#VALUE!</v>
      </c>
      <c r="CU181" s="115" t="e">
        <f t="shared" si="326"/>
        <v>#VALUE!</v>
      </c>
      <c r="CV181" s="115" t="e">
        <f t="shared" si="326"/>
        <v>#VALUE!</v>
      </c>
      <c r="CW181" s="115" t="e">
        <f t="shared" si="326"/>
        <v>#VALUE!</v>
      </c>
      <c r="CX181" s="115" t="e">
        <f t="shared" si="326"/>
        <v>#VALUE!</v>
      </c>
      <c r="CY181" s="115" t="e">
        <f t="shared" si="326"/>
        <v>#VALUE!</v>
      </c>
      <c r="CZ181" s="115" t="e">
        <f t="shared" si="326"/>
        <v>#VALUE!</v>
      </c>
      <c r="DA181" s="115" t="e">
        <f t="shared" si="326"/>
        <v>#VALUE!</v>
      </c>
      <c r="DB181" s="115" t="e">
        <f t="shared" ref="DB181:DM186" si="327">IF($N181&lt;&gt;1,$G181*($N181^$K181)*(($N181^($K181*INT(DB$2/$K181))-1)/($N181^$K181-1)),$G181*INT(DB$2/$K181))</f>
        <v>#VALUE!</v>
      </c>
      <c r="DC181" s="115" t="e">
        <f t="shared" si="327"/>
        <v>#VALUE!</v>
      </c>
      <c r="DD181" s="115" t="e">
        <f t="shared" si="327"/>
        <v>#VALUE!</v>
      </c>
      <c r="DE181" s="115" t="e">
        <f t="shared" si="327"/>
        <v>#VALUE!</v>
      </c>
      <c r="DF181" s="115" t="e">
        <f t="shared" si="327"/>
        <v>#VALUE!</v>
      </c>
      <c r="DG181" s="115" t="e">
        <f t="shared" si="327"/>
        <v>#VALUE!</v>
      </c>
      <c r="DH181" s="115" t="e">
        <f t="shared" si="327"/>
        <v>#VALUE!</v>
      </c>
      <c r="DI181" s="115" t="e">
        <f t="shared" si="327"/>
        <v>#VALUE!</v>
      </c>
      <c r="DJ181" s="115" t="e">
        <f t="shared" si="327"/>
        <v>#VALUE!</v>
      </c>
      <c r="DK181" s="115" t="e">
        <f t="shared" si="327"/>
        <v>#VALUE!</v>
      </c>
      <c r="DL181" s="115" t="e">
        <f t="shared" si="327"/>
        <v>#VALUE!</v>
      </c>
      <c r="DM181" s="115" t="e">
        <f t="shared" si="327"/>
        <v>#VALUE!</v>
      </c>
    </row>
    <row r="182" spans="1:117" ht="15" customHeight="1" thickBot="1">
      <c r="A182" s="55">
        <v>19200</v>
      </c>
      <c r="B182" s="194" t="s">
        <v>728</v>
      </c>
      <c r="C182" s="194" t="s">
        <v>948</v>
      </c>
      <c r="D182" s="194" t="s">
        <v>138</v>
      </c>
      <c r="E182" s="194" t="s">
        <v>139</v>
      </c>
      <c r="F182" s="194" t="s">
        <v>1140</v>
      </c>
      <c r="G182" s="291" t="e">
        <f t="shared" si="315"/>
        <v>#VALUE!</v>
      </c>
      <c r="H182" s="292" t="e">
        <f>VLOOKUP("E6.B",Errichtungskosten,12,0) *VLOOKUP("PFAKT",Instandsetzung,5,0)</f>
        <v>#VALUE!</v>
      </c>
      <c r="I182" s="168"/>
      <c r="J182" s="194" t="s">
        <v>850</v>
      </c>
      <c r="K182" s="385">
        <f>IF(ISNUMBER(VLOOKUP(E182,Nutzungsdauern,5,0)),VLOOKUP(E182,Nutzungsdauern,5,0),1000)</f>
        <v>50</v>
      </c>
      <c r="L182" s="379" t="s">
        <v>356</v>
      </c>
      <c r="M182" s="325">
        <f t="shared" si="316"/>
        <v>2.77</v>
      </c>
      <c r="N182" s="380">
        <f t="shared" si="317"/>
        <v>1.0105211406096364</v>
      </c>
      <c r="O182" s="381" t="e">
        <f t="shared" si="318"/>
        <v>#VALUE!</v>
      </c>
      <c r="P182" s="169" t="s">
        <v>103</v>
      </c>
      <c r="Q182" s="114" t="e">
        <f t="shared" si="318"/>
        <v>#VALUE!</v>
      </c>
      <c r="R182" s="115" t="e">
        <f t="shared" si="318"/>
        <v>#VALUE!</v>
      </c>
      <c r="S182" s="115" t="e">
        <f t="shared" si="318"/>
        <v>#VALUE!</v>
      </c>
      <c r="T182" s="115" t="e">
        <f t="shared" si="318"/>
        <v>#VALUE!</v>
      </c>
      <c r="U182" s="115" t="e">
        <f t="shared" si="318"/>
        <v>#VALUE!</v>
      </c>
      <c r="V182" s="115" t="e">
        <f t="shared" si="318"/>
        <v>#VALUE!</v>
      </c>
      <c r="W182" s="115" t="e">
        <f t="shared" si="318"/>
        <v>#VALUE!</v>
      </c>
      <c r="X182" s="115" t="e">
        <f t="shared" si="318"/>
        <v>#VALUE!</v>
      </c>
      <c r="Y182" s="115" t="e">
        <f t="shared" si="318"/>
        <v>#VALUE!</v>
      </c>
      <c r="Z182" s="115" t="e">
        <f t="shared" si="319"/>
        <v>#VALUE!</v>
      </c>
      <c r="AA182" s="115" t="e">
        <f t="shared" si="319"/>
        <v>#VALUE!</v>
      </c>
      <c r="AB182" s="115" t="e">
        <f t="shared" si="319"/>
        <v>#VALUE!</v>
      </c>
      <c r="AC182" s="115" t="e">
        <f t="shared" si="319"/>
        <v>#VALUE!</v>
      </c>
      <c r="AD182" s="115" t="e">
        <f t="shared" si="319"/>
        <v>#VALUE!</v>
      </c>
      <c r="AE182" s="115" t="e">
        <f t="shared" si="319"/>
        <v>#VALUE!</v>
      </c>
      <c r="AF182" s="115" t="e">
        <f t="shared" si="319"/>
        <v>#VALUE!</v>
      </c>
      <c r="AG182" s="115" t="e">
        <f t="shared" si="319"/>
        <v>#VALUE!</v>
      </c>
      <c r="AH182" s="115" t="e">
        <f t="shared" si="319"/>
        <v>#VALUE!</v>
      </c>
      <c r="AI182" s="115" t="e">
        <f t="shared" si="319"/>
        <v>#VALUE!</v>
      </c>
      <c r="AJ182" s="115" t="e">
        <f t="shared" si="320"/>
        <v>#VALUE!</v>
      </c>
      <c r="AK182" s="115" t="e">
        <f t="shared" si="320"/>
        <v>#VALUE!</v>
      </c>
      <c r="AL182" s="115" t="e">
        <f t="shared" si="320"/>
        <v>#VALUE!</v>
      </c>
      <c r="AM182" s="115" t="e">
        <f t="shared" si="320"/>
        <v>#VALUE!</v>
      </c>
      <c r="AN182" s="115" t="e">
        <f t="shared" si="320"/>
        <v>#VALUE!</v>
      </c>
      <c r="AO182" s="115" t="e">
        <f t="shared" si="320"/>
        <v>#VALUE!</v>
      </c>
      <c r="AP182" s="115" t="e">
        <f t="shared" si="320"/>
        <v>#VALUE!</v>
      </c>
      <c r="AQ182" s="115" t="e">
        <f t="shared" si="320"/>
        <v>#VALUE!</v>
      </c>
      <c r="AR182" s="115" t="e">
        <f t="shared" si="320"/>
        <v>#VALUE!</v>
      </c>
      <c r="AS182" s="115" t="e">
        <f t="shared" si="320"/>
        <v>#VALUE!</v>
      </c>
      <c r="AT182" s="115" t="e">
        <f t="shared" si="321"/>
        <v>#VALUE!</v>
      </c>
      <c r="AU182" s="115" t="e">
        <f t="shared" si="321"/>
        <v>#VALUE!</v>
      </c>
      <c r="AV182" s="115" t="e">
        <f t="shared" si="321"/>
        <v>#VALUE!</v>
      </c>
      <c r="AW182" s="115" t="e">
        <f t="shared" si="321"/>
        <v>#VALUE!</v>
      </c>
      <c r="AX182" s="115" t="e">
        <f t="shared" si="321"/>
        <v>#VALUE!</v>
      </c>
      <c r="AY182" s="115" t="e">
        <f t="shared" si="321"/>
        <v>#VALUE!</v>
      </c>
      <c r="AZ182" s="115" t="e">
        <f t="shared" si="321"/>
        <v>#VALUE!</v>
      </c>
      <c r="BA182" s="115" t="e">
        <f t="shared" si="321"/>
        <v>#VALUE!</v>
      </c>
      <c r="BB182" s="115" t="e">
        <f t="shared" si="321"/>
        <v>#VALUE!</v>
      </c>
      <c r="BC182" s="115" t="e">
        <f t="shared" si="321"/>
        <v>#VALUE!</v>
      </c>
      <c r="BD182" s="115" t="e">
        <f t="shared" si="322"/>
        <v>#VALUE!</v>
      </c>
      <c r="BE182" s="115" t="e">
        <f t="shared" si="322"/>
        <v>#VALUE!</v>
      </c>
      <c r="BF182" s="115" t="e">
        <f t="shared" si="322"/>
        <v>#VALUE!</v>
      </c>
      <c r="BG182" s="115" t="e">
        <f t="shared" si="322"/>
        <v>#VALUE!</v>
      </c>
      <c r="BH182" s="115" t="e">
        <f t="shared" si="322"/>
        <v>#VALUE!</v>
      </c>
      <c r="BI182" s="115" t="e">
        <f t="shared" si="322"/>
        <v>#VALUE!</v>
      </c>
      <c r="BJ182" s="115" t="e">
        <f t="shared" si="322"/>
        <v>#VALUE!</v>
      </c>
      <c r="BK182" s="115" t="e">
        <f t="shared" si="322"/>
        <v>#VALUE!</v>
      </c>
      <c r="BL182" s="115" t="e">
        <f t="shared" si="322"/>
        <v>#VALUE!</v>
      </c>
      <c r="BM182" s="115" t="e">
        <f t="shared" si="322"/>
        <v>#VALUE!</v>
      </c>
      <c r="BN182" s="115" t="e">
        <f t="shared" si="323"/>
        <v>#VALUE!</v>
      </c>
      <c r="BO182" s="115" t="e">
        <f t="shared" si="323"/>
        <v>#VALUE!</v>
      </c>
      <c r="BP182" s="115" t="e">
        <f t="shared" si="323"/>
        <v>#VALUE!</v>
      </c>
      <c r="BQ182" s="115" t="e">
        <f t="shared" si="323"/>
        <v>#VALUE!</v>
      </c>
      <c r="BR182" s="115" t="e">
        <f t="shared" si="323"/>
        <v>#VALUE!</v>
      </c>
      <c r="BS182" s="115" t="e">
        <f t="shared" si="323"/>
        <v>#VALUE!</v>
      </c>
      <c r="BT182" s="115" t="e">
        <f t="shared" si="323"/>
        <v>#VALUE!</v>
      </c>
      <c r="BU182" s="115" t="e">
        <f t="shared" si="323"/>
        <v>#VALUE!</v>
      </c>
      <c r="BV182" s="115" t="e">
        <f t="shared" si="323"/>
        <v>#VALUE!</v>
      </c>
      <c r="BW182" s="115" t="e">
        <f t="shared" si="323"/>
        <v>#VALUE!</v>
      </c>
      <c r="BX182" s="115" t="e">
        <f t="shared" si="324"/>
        <v>#VALUE!</v>
      </c>
      <c r="BY182" s="115" t="e">
        <f t="shared" si="324"/>
        <v>#VALUE!</v>
      </c>
      <c r="BZ182" s="115" t="e">
        <f t="shared" si="324"/>
        <v>#VALUE!</v>
      </c>
      <c r="CA182" s="115" t="e">
        <f t="shared" si="324"/>
        <v>#VALUE!</v>
      </c>
      <c r="CB182" s="115" t="e">
        <f t="shared" si="324"/>
        <v>#VALUE!</v>
      </c>
      <c r="CC182" s="115" t="e">
        <f t="shared" si="324"/>
        <v>#VALUE!</v>
      </c>
      <c r="CD182" s="115" t="e">
        <f t="shared" si="324"/>
        <v>#VALUE!</v>
      </c>
      <c r="CE182" s="115" t="e">
        <f t="shared" si="324"/>
        <v>#VALUE!</v>
      </c>
      <c r="CF182" s="115" t="e">
        <f t="shared" si="324"/>
        <v>#VALUE!</v>
      </c>
      <c r="CG182" s="115" t="e">
        <f t="shared" si="324"/>
        <v>#VALUE!</v>
      </c>
      <c r="CH182" s="115" t="e">
        <f t="shared" si="325"/>
        <v>#VALUE!</v>
      </c>
      <c r="CI182" s="115" t="e">
        <f t="shared" si="325"/>
        <v>#VALUE!</v>
      </c>
      <c r="CJ182" s="115" t="e">
        <f t="shared" si="325"/>
        <v>#VALUE!</v>
      </c>
      <c r="CK182" s="115" t="e">
        <f t="shared" si="325"/>
        <v>#VALUE!</v>
      </c>
      <c r="CL182" s="115" t="e">
        <f t="shared" si="325"/>
        <v>#VALUE!</v>
      </c>
      <c r="CM182" s="115" t="e">
        <f t="shared" si="325"/>
        <v>#VALUE!</v>
      </c>
      <c r="CN182" s="115" t="e">
        <f t="shared" si="325"/>
        <v>#VALUE!</v>
      </c>
      <c r="CO182" s="115" t="e">
        <f t="shared" si="325"/>
        <v>#VALUE!</v>
      </c>
      <c r="CP182" s="115" t="e">
        <f t="shared" si="325"/>
        <v>#VALUE!</v>
      </c>
      <c r="CQ182" s="115" t="e">
        <f t="shared" si="325"/>
        <v>#VALUE!</v>
      </c>
      <c r="CR182" s="115" t="e">
        <f t="shared" si="326"/>
        <v>#VALUE!</v>
      </c>
      <c r="CS182" s="115" t="e">
        <f t="shared" si="326"/>
        <v>#VALUE!</v>
      </c>
      <c r="CT182" s="115" t="e">
        <f t="shared" si="326"/>
        <v>#VALUE!</v>
      </c>
      <c r="CU182" s="115" t="e">
        <f t="shared" si="326"/>
        <v>#VALUE!</v>
      </c>
      <c r="CV182" s="115" t="e">
        <f t="shared" si="326"/>
        <v>#VALUE!</v>
      </c>
      <c r="CW182" s="115" t="e">
        <f t="shared" si="326"/>
        <v>#VALUE!</v>
      </c>
      <c r="CX182" s="115" t="e">
        <f t="shared" si="326"/>
        <v>#VALUE!</v>
      </c>
      <c r="CY182" s="115" t="e">
        <f t="shared" si="326"/>
        <v>#VALUE!</v>
      </c>
      <c r="CZ182" s="115" t="e">
        <f t="shared" si="326"/>
        <v>#VALUE!</v>
      </c>
      <c r="DA182" s="115" t="e">
        <f t="shared" si="326"/>
        <v>#VALUE!</v>
      </c>
      <c r="DB182" s="115" t="e">
        <f t="shared" si="327"/>
        <v>#VALUE!</v>
      </c>
      <c r="DC182" s="115" t="e">
        <f t="shared" si="327"/>
        <v>#VALUE!</v>
      </c>
      <c r="DD182" s="115" t="e">
        <f t="shared" si="327"/>
        <v>#VALUE!</v>
      </c>
      <c r="DE182" s="115" t="e">
        <f t="shared" si="327"/>
        <v>#VALUE!</v>
      </c>
      <c r="DF182" s="115" t="e">
        <f t="shared" si="327"/>
        <v>#VALUE!</v>
      </c>
      <c r="DG182" s="115" t="e">
        <f t="shared" si="327"/>
        <v>#VALUE!</v>
      </c>
      <c r="DH182" s="115" t="e">
        <f t="shared" si="327"/>
        <v>#VALUE!</v>
      </c>
      <c r="DI182" s="115" t="e">
        <f t="shared" si="327"/>
        <v>#VALUE!</v>
      </c>
      <c r="DJ182" s="115" t="e">
        <f t="shared" si="327"/>
        <v>#VALUE!</v>
      </c>
      <c r="DK182" s="115" t="e">
        <f t="shared" si="327"/>
        <v>#VALUE!</v>
      </c>
      <c r="DL182" s="115" t="e">
        <f t="shared" si="327"/>
        <v>#VALUE!</v>
      </c>
      <c r="DM182" s="115" t="e">
        <f t="shared" si="327"/>
        <v>#VALUE!</v>
      </c>
    </row>
    <row r="183" spans="1:117" ht="15" customHeight="1" thickBot="1">
      <c r="A183" s="55">
        <v>19300</v>
      </c>
      <c r="B183" s="194" t="s">
        <v>728</v>
      </c>
      <c r="C183" s="194" t="s">
        <v>949</v>
      </c>
      <c r="D183" s="194" t="s">
        <v>136</v>
      </c>
      <c r="E183" s="194" t="s">
        <v>137</v>
      </c>
      <c r="F183" s="194" t="s">
        <v>1141</v>
      </c>
      <c r="G183" s="291" t="e">
        <f t="shared" si="315"/>
        <v>#VALUE!</v>
      </c>
      <c r="H183" s="292" t="e">
        <f>VLOOKUP("E6.C",Errichtungskosten,12,0) *VLOOKUP("PFAKT",Instandsetzung,5,0)</f>
        <v>#VALUE!</v>
      </c>
      <c r="I183" s="168"/>
      <c r="J183" s="194" t="s">
        <v>850</v>
      </c>
      <c r="K183" s="385">
        <f>IF(ISNUMBER(VLOOKUP(E183,Nutzungsdauern,5,0)),VLOOKUP(E183,Nutzungsdauern,5,0),1000)</f>
        <v>37</v>
      </c>
      <c r="L183" s="379" t="s">
        <v>356</v>
      </c>
      <c r="M183" s="325">
        <f t="shared" si="316"/>
        <v>2.77</v>
      </c>
      <c r="N183" s="380">
        <f t="shared" si="317"/>
        <v>1.0105211406096364</v>
      </c>
      <c r="O183" s="381" t="e">
        <f t="shared" si="318"/>
        <v>#VALUE!</v>
      </c>
      <c r="P183" s="169" t="s">
        <v>103</v>
      </c>
      <c r="Q183" s="114" t="e">
        <f t="shared" si="318"/>
        <v>#VALUE!</v>
      </c>
      <c r="R183" s="115" t="e">
        <f t="shared" si="318"/>
        <v>#VALUE!</v>
      </c>
      <c r="S183" s="115" t="e">
        <f t="shared" si="318"/>
        <v>#VALUE!</v>
      </c>
      <c r="T183" s="115" t="e">
        <f t="shared" si="318"/>
        <v>#VALUE!</v>
      </c>
      <c r="U183" s="115" t="e">
        <f t="shared" si="318"/>
        <v>#VALUE!</v>
      </c>
      <c r="V183" s="115" t="e">
        <f t="shared" si="318"/>
        <v>#VALUE!</v>
      </c>
      <c r="W183" s="115" t="e">
        <f t="shared" si="318"/>
        <v>#VALUE!</v>
      </c>
      <c r="X183" s="115" t="e">
        <f t="shared" si="318"/>
        <v>#VALUE!</v>
      </c>
      <c r="Y183" s="115" t="e">
        <f t="shared" si="318"/>
        <v>#VALUE!</v>
      </c>
      <c r="Z183" s="115" t="e">
        <f t="shared" si="319"/>
        <v>#VALUE!</v>
      </c>
      <c r="AA183" s="115" t="e">
        <f t="shared" si="319"/>
        <v>#VALUE!</v>
      </c>
      <c r="AB183" s="115" t="e">
        <f t="shared" si="319"/>
        <v>#VALUE!</v>
      </c>
      <c r="AC183" s="115" t="e">
        <f t="shared" si="319"/>
        <v>#VALUE!</v>
      </c>
      <c r="AD183" s="115" t="e">
        <f t="shared" si="319"/>
        <v>#VALUE!</v>
      </c>
      <c r="AE183" s="115" t="e">
        <f t="shared" si="319"/>
        <v>#VALUE!</v>
      </c>
      <c r="AF183" s="115" t="e">
        <f t="shared" si="319"/>
        <v>#VALUE!</v>
      </c>
      <c r="AG183" s="115" t="e">
        <f t="shared" si="319"/>
        <v>#VALUE!</v>
      </c>
      <c r="AH183" s="115" t="e">
        <f t="shared" si="319"/>
        <v>#VALUE!</v>
      </c>
      <c r="AI183" s="115" t="e">
        <f t="shared" si="319"/>
        <v>#VALUE!</v>
      </c>
      <c r="AJ183" s="115" t="e">
        <f t="shared" si="320"/>
        <v>#VALUE!</v>
      </c>
      <c r="AK183" s="115" t="e">
        <f t="shared" si="320"/>
        <v>#VALUE!</v>
      </c>
      <c r="AL183" s="115" t="e">
        <f t="shared" si="320"/>
        <v>#VALUE!</v>
      </c>
      <c r="AM183" s="115" t="e">
        <f t="shared" si="320"/>
        <v>#VALUE!</v>
      </c>
      <c r="AN183" s="115" t="e">
        <f t="shared" si="320"/>
        <v>#VALUE!</v>
      </c>
      <c r="AO183" s="115" t="e">
        <f t="shared" si="320"/>
        <v>#VALUE!</v>
      </c>
      <c r="AP183" s="115" t="e">
        <f t="shared" si="320"/>
        <v>#VALUE!</v>
      </c>
      <c r="AQ183" s="115" t="e">
        <f t="shared" si="320"/>
        <v>#VALUE!</v>
      </c>
      <c r="AR183" s="115" t="e">
        <f t="shared" si="320"/>
        <v>#VALUE!</v>
      </c>
      <c r="AS183" s="115" t="e">
        <f t="shared" si="320"/>
        <v>#VALUE!</v>
      </c>
      <c r="AT183" s="115" t="e">
        <f t="shared" si="321"/>
        <v>#VALUE!</v>
      </c>
      <c r="AU183" s="115" t="e">
        <f t="shared" si="321"/>
        <v>#VALUE!</v>
      </c>
      <c r="AV183" s="115" t="e">
        <f t="shared" si="321"/>
        <v>#VALUE!</v>
      </c>
      <c r="AW183" s="115" t="e">
        <f t="shared" si="321"/>
        <v>#VALUE!</v>
      </c>
      <c r="AX183" s="115" t="e">
        <f t="shared" si="321"/>
        <v>#VALUE!</v>
      </c>
      <c r="AY183" s="115" t="e">
        <f t="shared" si="321"/>
        <v>#VALUE!</v>
      </c>
      <c r="AZ183" s="115" t="e">
        <f t="shared" si="321"/>
        <v>#VALUE!</v>
      </c>
      <c r="BA183" s="115" t="e">
        <f t="shared" si="321"/>
        <v>#VALUE!</v>
      </c>
      <c r="BB183" s="115" t="e">
        <f t="shared" si="321"/>
        <v>#VALUE!</v>
      </c>
      <c r="BC183" s="115" t="e">
        <f t="shared" si="321"/>
        <v>#VALUE!</v>
      </c>
      <c r="BD183" s="115" t="e">
        <f t="shared" si="322"/>
        <v>#VALUE!</v>
      </c>
      <c r="BE183" s="115" t="e">
        <f t="shared" si="322"/>
        <v>#VALUE!</v>
      </c>
      <c r="BF183" s="115" t="e">
        <f t="shared" si="322"/>
        <v>#VALUE!</v>
      </c>
      <c r="BG183" s="115" t="e">
        <f t="shared" si="322"/>
        <v>#VALUE!</v>
      </c>
      <c r="BH183" s="115" t="e">
        <f t="shared" si="322"/>
        <v>#VALUE!</v>
      </c>
      <c r="BI183" s="115" t="e">
        <f t="shared" si="322"/>
        <v>#VALUE!</v>
      </c>
      <c r="BJ183" s="115" t="e">
        <f t="shared" si="322"/>
        <v>#VALUE!</v>
      </c>
      <c r="BK183" s="115" t="e">
        <f t="shared" si="322"/>
        <v>#VALUE!</v>
      </c>
      <c r="BL183" s="115" t="e">
        <f t="shared" si="322"/>
        <v>#VALUE!</v>
      </c>
      <c r="BM183" s="115" t="e">
        <f t="shared" si="322"/>
        <v>#VALUE!</v>
      </c>
      <c r="BN183" s="115" t="e">
        <f t="shared" si="323"/>
        <v>#VALUE!</v>
      </c>
      <c r="BO183" s="115" t="e">
        <f t="shared" si="323"/>
        <v>#VALUE!</v>
      </c>
      <c r="BP183" s="115" t="e">
        <f t="shared" si="323"/>
        <v>#VALUE!</v>
      </c>
      <c r="BQ183" s="115" t="e">
        <f t="shared" si="323"/>
        <v>#VALUE!</v>
      </c>
      <c r="BR183" s="115" t="e">
        <f t="shared" si="323"/>
        <v>#VALUE!</v>
      </c>
      <c r="BS183" s="115" t="e">
        <f t="shared" si="323"/>
        <v>#VALUE!</v>
      </c>
      <c r="BT183" s="115" t="e">
        <f t="shared" si="323"/>
        <v>#VALUE!</v>
      </c>
      <c r="BU183" s="115" t="e">
        <f t="shared" si="323"/>
        <v>#VALUE!</v>
      </c>
      <c r="BV183" s="115" t="e">
        <f t="shared" si="323"/>
        <v>#VALUE!</v>
      </c>
      <c r="BW183" s="115" t="e">
        <f t="shared" si="323"/>
        <v>#VALUE!</v>
      </c>
      <c r="BX183" s="115" t="e">
        <f t="shared" si="324"/>
        <v>#VALUE!</v>
      </c>
      <c r="BY183" s="115" t="e">
        <f t="shared" si="324"/>
        <v>#VALUE!</v>
      </c>
      <c r="BZ183" s="115" t="e">
        <f t="shared" si="324"/>
        <v>#VALUE!</v>
      </c>
      <c r="CA183" s="115" t="e">
        <f t="shared" si="324"/>
        <v>#VALUE!</v>
      </c>
      <c r="CB183" s="115" t="e">
        <f t="shared" si="324"/>
        <v>#VALUE!</v>
      </c>
      <c r="CC183" s="115" t="e">
        <f t="shared" si="324"/>
        <v>#VALUE!</v>
      </c>
      <c r="CD183" s="115" t="e">
        <f t="shared" si="324"/>
        <v>#VALUE!</v>
      </c>
      <c r="CE183" s="115" t="e">
        <f t="shared" si="324"/>
        <v>#VALUE!</v>
      </c>
      <c r="CF183" s="115" t="e">
        <f t="shared" si="324"/>
        <v>#VALUE!</v>
      </c>
      <c r="CG183" s="115" t="e">
        <f t="shared" si="324"/>
        <v>#VALUE!</v>
      </c>
      <c r="CH183" s="115" t="e">
        <f t="shared" si="325"/>
        <v>#VALUE!</v>
      </c>
      <c r="CI183" s="115" t="e">
        <f t="shared" si="325"/>
        <v>#VALUE!</v>
      </c>
      <c r="CJ183" s="115" t="e">
        <f t="shared" si="325"/>
        <v>#VALUE!</v>
      </c>
      <c r="CK183" s="115" t="e">
        <f t="shared" si="325"/>
        <v>#VALUE!</v>
      </c>
      <c r="CL183" s="115" t="e">
        <f t="shared" si="325"/>
        <v>#VALUE!</v>
      </c>
      <c r="CM183" s="115" t="e">
        <f t="shared" si="325"/>
        <v>#VALUE!</v>
      </c>
      <c r="CN183" s="115" t="e">
        <f t="shared" si="325"/>
        <v>#VALUE!</v>
      </c>
      <c r="CO183" s="115" t="e">
        <f t="shared" si="325"/>
        <v>#VALUE!</v>
      </c>
      <c r="CP183" s="115" t="e">
        <f t="shared" si="325"/>
        <v>#VALUE!</v>
      </c>
      <c r="CQ183" s="115" t="e">
        <f t="shared" si="325"/>
        <v>#VALUE!</v>
      </c>
      <c r="CR183" s="115" t="e">
        <f t="shared" si="326"/>
        <v>#VALUE!</v>
      </c>
      <c r="CS183" s="115" t="e">
        <f t="shared" si="326"/>
        <v>#VALUE!</v>
      </c>
      <c r="CT183" s="115" t="e">
        <f t="shared" si="326"/>
        <v>#VALUE!</v>
      </c>
      <c r="CU183" s="115" t="e">
        <f t="shared" si="326"/>
        <v>#VALUE!</v>
      </c>
      <c r="CV183" s="115" t="e">
        <f t="shared" si="326"/>
        <v>#VALUE!</v>
      </c>
      <c r="CW183" s="115" t="e">
        <f t="shared" si="326"/>
        <v>#VALUE!</v>
      </c>
      <c r="CX183" s="115" t="e">
        <f t="shared" si="326"/>
        <v>#VALUE!</v>
      </c>
      <c r="CY183" s="115" t="e">
        <f t="shared" si="326"/>
        <v>#VALUE!</v>
      </c>
      <c r="CZ183" s="115" t="e">
        <f t="shared" si="326"/>
        <v>#VALUE!</v>
      </c>
      <c r="DA183" s="115" t="e">
        <f t="shared" si="326"/>
        <v>#VALUE!</v>
      </c>
      <c r="DB183" s="115" t="e">
        <f t="shared" si="327"/>
        <v>#VALUE!</v>
      </c>
      <c r="DC183" s="115" t="e">
        <f t="shared" si="327"/>
        <v>#VALUE!</v>
      </c>
      <c r="DD183" s="115" t="e">
        <f t="shared" si="327"/>
        <v>#VALUE!</v>
      </c>
      <c r="DE183" s="115" t="e">
        <f t="shared" si="327"/>
        <v>#VALUE!</v>
      </c>
      <c r="DF183" s="115" t="e">
        <f t="shared" si="327"/>
        <v>#VALUE!</v>
      </c>
      <c r="DG183" s="115" t="e">
        <f t="shared" si="327"/>
        <v>#VALUE!</v>
      </c>
      <c r="DH183" s="115" t="e">
        <f t="shared" si="327"/>
        <v>#VALUE!</v>
      </c>
      <c r="DI183" s="115" t="e">
        <f t="shared" si="327"/>
        <v>#VALUE!</v>
      </c>
      <c r="DJ183" s="115" t="e">
        <f t="shared" si="327"/>
        <v>#VALUE!</v>
      </c>
      <c r="DK183" s="115" t="e">
        <f t="shared" si="327"/>
        <v>#VALUE!</v>
      </c>
      <c r="DL183" s="115" t="e">
        <f t="shared" si="327"/>
        <v>#VALUE!</v>
      </c>
      <c r="DM183" s="115" t="e">
        <f t="shared" si="327"/>
        <v>#VALUE!</v>
      </c>
    </row>
    <row r="184" spans="1:117" ht="15" customHeight="1" thickBot="1">
      <c r="A184" s="55">
        <v>19400</v>
      </c>
      <c r="B184" s="194" t="s">
        <v>728</v>
      </c>
      <c r="C184" s="194" t="s">
        <v>950</v>
      </c>
      <c r="D184" s="194" t="s">
        <v>480</v>
      </c>
      <c r="E184" s="194" t="s">
        <v>135</v>
      </c>
      <c r="F184" s="194" t="s">
        <v>1142</v>
      </c>
      <c r="G184" s="291" t="e">
        <f t="shared" si="315"/>
        <v>#VALUE!</v>
      </c>
      <c r="H184" s="292" t="e">
        <f>VLOOKUP("E6.D",Errichtungskosten,12,0) *VLOOKUP("PFAKT",Instandsetzung,5,0)</f>
        <v>#VALUE!</v>
      </c>
      <c r="I184" s="168"/>
      <c r="J184" s="194" t="s">
        <v>850</v>
      </c>
      <c r="K184" s="385">
        <f>IF(ISNUMBER(VLOOKUP(E184,Nutzungsdauern,5,0)),VLOOKUP(E184,Nutzungsdauern,5,0),1000)</f>
        <v>30</v>
      </c>
      <c r="L184" s="379" t="s">
        <v>356</v>
      </c>
      <c r="M184" s="325">
        <f t="shared" si="316"/>
        <v>2.77</v>
      </c>
      <c r="N184" s="380">
        <f t="shared" si="317"/>
        <v>1.0105211406096364</v>
      </c>
      <c r="O184" s="381" t="e">
        <f t="shared" si="318"/>
        <v>#VALUE!</v>
      </c>
      <c r="P184" s="169" t="s">
        <v>103</v>
      </c>
      <c r="Q184" s="114" t="e">
        <f t="shared" si="318"/>
        <v>#VALUE!</v>
      </c>
      <c r="R184" s="115" t="e">
        <f t="shared" si="318"/>
        <v>#VALUE!</v>
      </c>
      <c r="S184" s="115" t="e">
        <f t="shared" si="318"/>
        <v>#VALUE!</v>
      </c>
      <c r="T184" s="115" t="e">
        <f t="shared" si="318"/>
        <v>#VALUE!</v>
      </c>
      <c r="U184" s="115" t="e">
        <f t="shared" si="318"/>
        <v>#VALUE!</v>
      </c>
      <c r="V184" s="115" t="e">
        <f t="shared" si="318"/>
        <v>#VALUE!</v>
      </c>
      <c r="W184" s="115" t="e">
        <f t="shared" si="318"/>
        <v>#VALUE!</v>
      </c>
      <c r="X184" s="115" t="e">
        <f t="shared" si="318"/>
        <v>#VALUE!</v>
      </c>
      <c r="Y184" s="115" t="e">
        <f t="shared" si="318"/>
        <v>#VALUE!</v>
      </c>
      <c r="Z184" s="115" t="e">
        <f t="shared" si="319"/>
        <v>#VALUE!</v>
      </c>
      <c r="AA184" s="115" t="e">
        <f t="shared" si="319"/>
        <v>#VALUE!</v>
      </c>
      <c r="AB184" s="115" t="e">
        <f t="shared" si="319"/>
        <v>#VALUE!</v>
      </c>
      <c r="AC184" s="115" t="e">
        <f t="shared" si="319"/>
        <v>#VALUE!</v>
      </c>
      <c r="AD184" s="115" t="e">
        <f t="shared" si="319"/>
        <v>#VALUE!</v>
      </c>
      <c r="AE184" s="115" t="e">
        <f t="shared" si="319"/>
        <v>#VALUE!</v>
      </c>
      <c r="AF184" s="115" t="e">
        <f t="shared" si="319"/>
        <v>#VALUE!</v>
      </c>
      <c r="AG184" s="115" t="e">
        <f t="shared" si="319"/>
        <v>#VALUE!</v>
      </c>
      <c r="AH184" s="115" t="e">
        <f t="shared" si="319"/>
        <v>#VALUE!</v>
      </c>
      <c r="AI184" s="115" t="e">
        <f t="shared" si="319"/>
        <v>#VALUE!</v>
      </c>
      <c r="AJ184" s="115" t="e">
        <f t="shared" si="320"/>
        <v>#VALUE!</v>
      </c>
      <c r="AK184" s="115" t="e">
        <f t="shared" si="320"/>
        <v>#VALUE!</v>
      </c>
      <c r="AL184" s="115" t="e">
        <f t="shared" si="320"/>
        <v>#VALUE!</v>
      </c>
      <c r="AM184" s="115" t="e">
        <f t="shared" si="320"/>
        <v>#VALUE!</v>
      </c>
      <c r="AN184" s="115" t="e">
        <f t="shared" si="320"/>
        <v>#VALUE!</v>
      </c>
      <c r="AO184" s="115" t="e">
        <f t="shared" si="320"/>
        <v>#VALUE!</v>
      </c>
      <c r="AP184" s="115" t="e">
        <f t="shared" si="320"/>
        <v>#VALUE!</v>
      </c>
      <c r="AQ184" s="115" t="e">
        <f t="shared" si="320"/>
        <v>#VALUE!</v>
      </c>
      <c r="AR184" s="115" t="e">
        <f t="shared" si="320"/>
        <v>#VALUE!</v>
      </c>
      <c r="AS184" s="115" t="e">
        <f t="shared" si="320"/>
        <v>#VALUE!</v>
      </c>
      <c r="AT184" s="115" t="e">
        <f t="shared" si="321"/>
        <v>#VALUE!</v>
      </c>
      <c r="AU184" s="115" t="e">
        <f t="shared" si="321"/>
        <v>#VALUE!</v>
      </c>
      <c r="AV184" s="115" t="e">
        <f t="shared" si="321"/>
        <v>#VALUE!</v>
      </c>
      <c r="AW184" s="115" t="e">
        <f t="shared" si="321"/>
        <v>#VALUE!</v>
      </c>
      <c r="AX184" s="115" t="e">
        <f t="shared" si="321"/>
        <v>#VALUE!</v>
      </c>
      <c r="AY184" s="115" t="e">
        <f t="shared" si="321"/>
        <v>#VALUE!</v>
      </c>
      <c r="AZ184" s="115" t="e">
        <f t="shared" si="321"/>
        <v>#VALUE!</v>
      </c>
      <c r="BA184" s="115" t="e">
        <f t="shared" si="321"/>
        <v>#VALUE!</v>
      </c>
      <c r="BB184" s="115" t="e">
        <f t="shared" si="321"/>
        <v>#VALUE!</v>
      </c>
      <c r="BC184" s="115" t="e">
        <f t="shared" si="321"/>
        <v>#VALUE!</v>
      </c>
      <c r="BD184" s="115" t="e">
        <f t="shared" si="322"/>
        <v>#VALUE!</v>
      </c>
      <c r="BE184" s="115" t="e">
        <f t="shared" si="322"/>
        <v>#VALUE!</v>
      </c>
      <c r="BF184" s="115" t="e">
        <f t="shared" si="322"/>
        <v>#VALUE!</v>
      </c>
      <c r="BG184" s="115" t="e">
        <f t="shared" si="322"/>
        <v>#VALUE!</v>
      </c>
      <c r="BH184" s="115" t="e">
        <f t="shared" si="322"/>
        <v>#VALUE!</v>
      </c>
      <c r="BI184" s="115" t="e">
        <f t="shared" si="322"/>
        <v>#VALUE!</v>
      </c>
      <c r="BJ184" s="115" t="e">
        <f t="shared" si="322"/>
        <v>#VALUE!</v>
      </c>
      <c r="BK184" s="115" t="e">
        <f t="shared" si="322"/>
        <v>#VALUE!</v>
      </c>
      <c r="BL184" s="115" t="e">
        <f t="shared" si="322"/>
        <v>#VALUE!</v>
      </c>
      <c r="BM184" s="115" t="e">
        <f t="shared" si="322"/>
        <v>#VALUE!</v>
      </c>
      <c r="BN184" s="115" t="e">
        <f t="shared" si="323"/>
        <v>#VALUE!</v>
      </c>
      <c r="BO184" s="115" t="e">
        <f t="shared" si="323"/>
        <v>#VALUE!</v>
      </c>
      <c r="BP184" s="115" t="e">
        <f t="shared" si="323"/>
        <v>#VALUE!</v>
      </c>
      <c r="BQ184" s="115" t="e">
        <f t="shared" si="323"/>
        <v>#VALUE!</v>
      </c>
      <c r="BR184" s="115" t="e">
        <f t="shared" si="323"/>
        <v>#VALUE!</v>
      </c>
      <c r="BS184" s="115" t="e">
        <f t="shared" si="323"/>
        <v>#VALUE!</v>
      </c>
      <c r="BT184" s="115" t="e">
        <f t="shared" si="323"/>
        <v>#VALUE!</v>
      </c>
      <c r="BU184" s="115" t="e">
        <f t="shared" si="323"/>
        <v>#VALUE!</v>
      </c>
      <c r="BV184" s="115" t="e">
        <f t="shared" si="323"/>
        <v>#VALUE!</v>
      </c>
      <c r="BW184" s="115" t="e">
        <f t="shared" si="323"/>
        <v>#VALUE!</v>
      </c>
      <c r="BX184" s="115" t="e">
        <f t="shared" si="324"/>
        <v>#VALUE!</v>
      </c>
      <c r="BY184" s="115" t="e">
        <f t="shared" si="324"/>
        <v>#VALUE!</v>
      </c>
      <c r="BZ184" s="115" t="e">
        <f t="shared" si="324"/>
        <v>#VALUE!</v>
      </c>
      <c r="CA184" s="115" t="e">
        <f t="shared" si="324"/>
        <v>#VALUE!</v>
      </c>
      <c r="CB184" s="115" t="e">
        <f t="shared" si="324"/>
        <v>#VALUE!</v>
      </c>
      <c r="CC184" s="115" t="e">
        <f t="shared" si="324"/>
        <v>#VALUE!</v>
      </c>
      <c r="CD184" s="115" t="e">
        <f t="shared" si="324"/>
        <v>#VALUE!</v>
      </c>
      <c r="CE184" s="115" t="e">
        <f t="shared" si="324"/>
        <v>#VALUE!</v>
      </c>
      <c r="CF184" s="115" t="e">
        <f t="shared" si="324"/>
        <v>#VALUE!</v>
      </c>
      <c r="CG184" s="115" t="e">
        <f t="shared" si="324"/>
        <v>#VALUE!</v>
      </c>
      <c r="CH184" s="115" t="e">
        <f t="shared" si="325"/>
        <v>#VALUE!</v>
      </c>
      <c r="CI184" s="115" t="e">
        <f t="shared" si="325"/>
        <v>#VALUE!</v>
      </c>
      <c r="CJ184" s="115" t="e">
        <f t="shared" si="325"/>
        <v>#VALUE!</v>
      </c>
      <c r="CK184" s="115" t="e">
        <f t="shared" si="325"/>
        <v>#VALUE!</v>
      </c>
      <c r="CL184" s="115" t="e">
        <f t="shared" si="325"/>
        <v>#VALUE!</v>
      </c>
      <c r="CM184" s="115" t="e">
        <f t="shared" si="325"/>
        <v>#VALUE!</v>
      </c>
      <c r="CN184" s="115" t="e">
        <f t="shared" si="325"/>
        <v>#VALUE!</v>
      </c>
      <c r="CO184" s="115" t="e">
        <f t="shared" si="325"/>
        <v>#VALUE!</v>
      </c>
      <c r="CP184" s="115" t="e">
        <f t="shared" si="325"/>
        <v>#VALUE!</v>
      </c>
      <c r="CQ184" s="115" t="e">
        <f t="shared" si="325"/>
        <v>#VALUE!</v>
      </c>
      <c r="CR184" s="115" t="e">
        <f t="shared" si="326"/>
        <v>#VALUE!</v>
      </c>
      <c r="CS184" s="115" t="e">
        <f t="shared" si="326"/>
        <v>#VALUE!</v>
      </c>
      <c r="CT184" s="115" t="e">
        <f t="shared" si="326"/>
        <v>#VALUE!</v>
      </c>
      <c r="CU184" s="115" t="e">
        <f t="shared" si="326"/>
        <v>#VALUE!</v>
      </c>
      <c r="CV184" s="115" t="e">
        <f t="shared" si="326"/>
        <v>#VALUE!</v>
      </c>
      <c r="CW184" s="115" t="e">
        <f t="shared" si="326"/>
        <v>#VALUE!</v>
      </c>
      <c r="CX184" s="115" t="e">
        <f t="shared" si="326"/>
        <v>#VALUE!</v>
      </c>
      <c r="CY184" s="115" t="e">
        <f t="shared" si="326"/>
        <v>#VALUE!</v>
      </c>
      <c r="CZ184" s="115" t="e">
        <f t="shared" si="326"/>
        <v>#VALUE!</v>
      </c>
      <c r="DA184" s="115" t="e">
        <f t="shared" si="326"/>
        <v>#VALUE!</v>
      </c>
      <c r="DB184" s="115" t="e">
        <f t="shared" si="327"/>
        <v>#VALUE!</v>
      </c>
      <c r="DC184" s="115" t="e">
        <f t="shared" si="327"/>
        <v>#VALUE!</v>
      </c>
      <c r="DD184" s="115" t="e">
        <f t="shared" si="327"/>
        <v>#VALUE!</v>
      </c>
      <c r="DE184" s="115" t="e">
        <f t="shared" si="327"/>
        <v>#VALUE!</v>
      </c>
      <c r="DF184" s="115" t="e">
        <f t="shared" si="327"/>
        <v>#VALUE!</v>
      </c>
      <c r="DG184" s="115" t="e">
        <f t="shared" si="327"/>
        <v>#VALUE!</v>
      </c>
      <c r="DH184" s="115" t="e">
        <f t="shared" si="327"/>
        <v>#VALUE!</v>
      </c>
      <c r="DI184" s="115" t="e">
        <f t="shared" si="327"/>
        <v>#VALUE!</v>
      </c>
      <c r="DJ184" s="115" t="e">
        <f t="shared" si="327"/>
        <v>#VALUE!</v>
      </c>
      <c r="DK184" s="115" t="e">
        <f t="shared" si="327"/>
        <v>#VALUE!</v>
      </c>
      <c r="DL184" s="115" t="e">
        <f t="shared" si="327"/>
        <v>#VALUE!</v>
      </c>
      <c r="DM184" s="115" t="e">
        <f t="shared" si="327"/>
        <v>#VALUE!</v>
      </c>
    </row>
    <row r="185" spans="1:117" ht="15" customHeight="1" thickBot="1">
      <c r="A185" s="55">
        <v>19500</v>
      </c>
      <c r="B185" s="194" t="s">
        <v>728</v>
      </c>
      <c r="C185" s="194" t="s">
        <v>951</v>
      </c>
      <c r="D185" s="194" t="s">
        <v>952</v>
      </c>
      <c r="E185" s="194" t="s">
        <v>133</v>
      </c>
      <c r="F185" s="194" t="s">
        <v>1143</v>
      </c>
      <c r="G185" s="291" t="e">
        <f t="shared" si="315"/>
        <v>#VALUE!</v>
      </c>
      <c r="H185" s="292" t="e">
        <f>VLOOKUP("E6.S",Errichtungskosten,12,0) *VLOOKUP("PFAKT",Instandsetzung,5,0)</f>
        <v>#VALUE!</v>
      </c>
      <c r="I185" s="168"/>
      <c r="J185" s="194" t="s">
        <v>850</v>
      </c>
      <c r="K185" s="385">
        <f>IF(ISNUMBER(VLOOKUP(E185,Nutzungsdauern,5,0)),VLOOKUP(E185,Nutzungsdauern,5,0),1000)</f>
        <v>50</v>
      </c>
      <c r="L185" s="379" t="s">
        <v>356</v>
      </c>
      <c r="M185" s="325">
        <f t="shared" si="316"/>
        <v>2.77</v>
      </c>
      <c r="N185" s="380">
        <f t="shared" si="317"/>
        <v>1.0105211406096364</v>
      </c>
      <c r="O185" s="381" t="e">
        <f t="shared" si="318"/>
        <v>#VALUE!</v>
      </c>
      <c r="P185" s="169" t="s">
        <v>103</v>
      </c>
      <c r="Q185" s="114" t="e">
        <f t="shared" si="318"/>
        <v>#VALUE!</v>
      </c>
      <c r="R185" s="115" t="e">
        <f t="shared" si="318"/>
        <v>#VALUE!</v>
      </c>
      <c r="S185" s="115" t="e">
        <f t="shared" si="318"/>
        <v>#VALUE!</v>
      </c>
      <c r="T185" s="115" t="e">
        <f t="shared" si="318"/>
        <v>#VALUE!</v>
      </c>
      <c r="U185" s="115" t="e">
        <f t="shared" si="318"/>
        <v>#VALUE!</v>
      </c>
      <c r="V185" s="115" t="e">
        <f t="shared" si="318"/>
        <v>#VALUE!</v>
      </c>
      <c r="W185" s="115" t="e">
        <f t="shared" si="318"/>
        <v>#VALUE!</v>
      </c>
      <c r="X185" s="115" t="e">
        <f t="shared" si="318"/>
        <v>#VALUE!</v>
      </c>
      <c r="Y185" s="115" t="e">
        <f t="shared" si="318"/>
        <v>#VALUE!</v>
      </c>
      <c r="Z185" s="115" t="e">
        <f t="shared" si="319"/>
        <v>#VALUE!</v>
      </c>
      <c r="AA185" s="115" t="e">
        <f t="shared" si="319"/>
        <v>#VALUE!</v>
      </c>
      <c r="AB185" s="115" t="e">
        <f t="shared" si="319"/>
        <v>#VALUE!</v>
      </c>
      <c r="AC185" s="115" t="e">
        <f t="shared" si="319"/>
        <v>#VALUE!</v>
      </c>
      <c r="AD185" s="115" t="e">
        <f t="shared" si="319"/>
        <v>#VALUE!</v>
      </c>
      <c r="AE185" s="115" t="e">
        <f t="shared" si="319"/>
        <v>#VALUE!</v>
      </c>
      <c r="AF185" s="115" t="e">
        <f t="shared" si="319"/>
        <v>#VALUE!</v>
      </c>
      <c r="AG185" s="115" t="e">
        <f t="shared" si="319"/>
        <v>#VALUE!</v>
      </c>
      <c r="AH185" s="115" t="e">
        <f t="shared" si="319"/>
        <v>#VALUE!</v>
      </c>
      <c r="AI185" s="115" t="e">
        <f t="shared" si="319"/>
        <v>#VALUE!</v>
      </c>
      <c r="AJ185" s="115" t="e">
        <f t="shared" si="320"/>
        <v>#VALUE!</v>
      </c>
      <c r="AK185" s="115" t="e">
        <f t="shared" si="320"/>
        <v>#VALUE!</v>
      </c>
      <c r="AL185" s="115" t="e">
        <f t="shared" si="320"/>
        <v>#VALUE!</v>
      </c>
      <c r="AM185" s="115" t="e">
        <f t="shared" si="320"/>
        <v>#VALUE!</v>
      </c>
      <c r="AN185" s="115" t="e">
        <f t="shared" si="320"/>
        <v>#VALUE!</v>
      </c>
      <c r="AO185" s="115" t="e">
        <f t="shared" si="320"/>
        <v>#VALUE!</v>
      </c>
      <c r="AP185" s="115" t="e">
        <f t="shared" si="320"/>
        <v>#VALUE!</v>
      </c>
      <c r="AQ185" s="115" t="e">
        <f t="shared" si="320"/>
        <v>#VALUE!</v>
      </c>
      <c r="AR185" s="115" t="e">
        <f t="shared" si="320"/>
        <v>#VALUE!</v>
      </c>
      <c r="AS185" s="115" t="e">
        <f t="shared" si="320"/>
        <v>#VALUE!</v>
      </c>
      <c r="AT185" s="115" t="e">
        <f t="shared" si="321"/>
        <v>#VALUE!</v>
      </c>
      <c r="AU185" s="115" t="e">
        <f t="shared" si="321"/>
        <v>#VALUE!</v>
      </c>
      <c r="AV185" s="115" t="e">
        <f t="shared" si="321"/>
        <v>#VALUE!</v>
      </c>
      <c r="AW185" s="115" t="e">
        <f t="shared" si="321"/>
        <v>#VALUE!</v>
      </c>
      <c r="AX185" s="115" t="e">
        <f t="shared" si="321"/>
        <v>#VALUE!</v>
      </c>
      <c r="AY185" s="115" t="e">
        <f t="shared" si="321"/>
        <v>#VALUE!</v>
      </c>
      <c r="AZ185" s="115" t="e">
        <f t="shared" si="321"/>
        <v>#VALUE!</v>
      </c>
      <c r="BA185" s="115" t="e">
        <f t="shared" si="321"/>
        <v>#VALUE!</v>
      </c>
      <c r="BB185" s="115" t="e">
        <f t="shared" si="321"/>
        <v>#VALUE!</v>
      </c>
      <c r="BC185" s="115" t="e">
        <f t="shared" si="321"/>
        <v>#VALUE!</v>
      </c>
      <c r="BD185" s="115" t="e">
        <f t="shared" si="322"/>
        <v>#VALUE!</v>
      </c>
      <c r="BE185" s="115" t="e">
        <f t="shared" si="322"/>
        <v>#VALUE!</v>
      </c>
      <c r="BF185" s="115" t="e">
        <f t="shared" si="322"/>
        <v>#VALUE!</v>
      </c>
      <c r="BG185" s="115" t="e">
        <f t="shared" si="322"/>
        <v>#VALUE!</v>
      </c>
      <c r="BH185" s="115" t="e">
        <f t="shared" si="322"/>
        <v>#VALUE!</v>
      </c>
      <c r="BI185" s="115" t="e">
        <f t="shared" si="322"/>
        <v>#VALUE!</v>
      </c>
      <c r="BJ185" s="115" t="e">
        <f t="shared" si="322"/>
        <v>#VALUE!</v>
      </c>
      <c r="BK185" s="115" t="e">
        <f t="shared" si="322"/>
        <v>#VALUE!</v>
      </c>
      <c r="BL185" s="115" t="e">
        <f t="shared" si="322"/>
        <v>#VALUE!</v>
      </c>
      <c r="BM185" s="115" t="e">
        <f t="shared" si="322"/>
        <v>#VALUE!</v>
      </c>
      <c r="BN185" s="115" t="e">
        <f t="shared" si="323"/>
        <v>#VALUE!</v>
      </c>
      <c r="BO185" s="115" t="e">
        <f t="shared" si="323"/>
        <v>#VALUE!</v>
      </c>
      <c r="BP185" s="115" t="e">
        <f t="shared" si="323"/>
        <v>#VALUE!</v>
      </c>
      <c r="BQ185" s="115" t="e">
        <f t="shared" si="323"/>
        <v>#VALUE!</v>
      </c>
      <c r="BR185" s="115" t="e">
        <f t="shared" si="323"/>
        <v>#VALUE!</v>
      </c>
      <c r="BS185" s="115" t="e">
        <f t="shared" si="323"/>
        <v>#VALUE!</v>
      </c>
      <c r="BT185" s="115" t="e">
        <f t="shared" si="323"/>
        <v>#VALUE!</v>
      </c>
      <c r="BU185" s="115" t="e">
        <f t="shared" si="323"/>
        <v>#VALUE!</v>
      </c>
      <c r="BV185" s="115" t="e">
        <f t="shared" si="323"/>
        <v>#VALUE!</v>
      </c>
      <c r="BW185" s="115" t="e">
        <f t="shared" si="323"/>
        <v>#VALUE!</v>
      </c>
      <c r="BX185" s="115" t="e">
        <f t="shared" si="324"/>
        <v>#VALUE!</v>
      </c>
      <c r="BY185" s="115" t="e">
        <f t="shared" si="324"/>
        <v>#VALUE!</v>
      </c>
      <c r="BZ185" s="115" t="e">
        <f t="shared" si="324"/>
        <v>#VALUE!</v>
      </c>
      <c r="CA185" s="115" t="e">
        <f t="shared" si="324"/>
        <v>#VALUE!</v>
      </c>
      <c r="CB185" s="115" t="e">
        <f t="shared" si="324"/>
        <v>#VALUE!</v>
      </c>
      <c r="CC185" s="115" t="e">
        <f t="shared" si="324"/>
        <v>#VALUE!</v>
      </c>
      <c r="CD185" s="115" t="e">
        <f t="shared" si="324"/>
        <v>#VALUE!</v>
      </c>
      <c r="CE185" s="115" t="e">
        <f t="shared" si="324"/>
        <v>#VALUE!</v>
      </c>
      <c r="CF185" s="115" t="e">
        <f t="shared" si="324"/>
        <v>#VALUE!</v>
      </c>
      <c r="CG185" s="115" t="e">
        <f t="shared" si="324"/>
        <v>#VALUE!</v>
      </c>
      <c r="CH185" s="115" t="e">
        <f t="shared" si="325"/>
        <v>#VALUE!</v>
      </c>
      <c r="CI185" s="115" t="e">
        <f t="shared" si="325"/>
        <v>#VALUE!</v>
      </c>
      <c r="CJ185" s="115" t="e">
        <f t="shared" si="325"/>
        <v>#VALUE!</v>
      </c>
      <c r="CK185" s="115" t="e">
        <f t="shared" si="325"/>
        <v>#VALUE!</v>
      </c>
      <c r="CL185" s="115" t="e">
        <f t="shared" si="325"/>
        <v>#VALUE!</v>
      </c>
      <c r="CM185" s="115" t="e">
        <f t="shared" si="325"/>
        <v>#VALUE!</v>
      </c>
      <c r="CN185" s="115" t="e">
        <f t="shared" si="325"/>
        <v>#VALUE!</v>
      </c>
      <c r="CO185" s="115" t="e">
        <f t="shared" si="325"/>
        <v>#VALUE!</v>
      </c>
      <c r="CP185" s="115" t="e">
        <f t="shared" si="325"/>
        <v>#VALUE!</v>
      </c>
      <c r="CQ185" s="115" t="e">
        <f t="shared" si="325"/>
        <v>#VALUE!</v>
      </c>
      <c r="CR185" s="115" t="e">
        <f t="shared" si="326"/>
        <v>#VALUE!</v>
      </c>
      <c r="CS185" s="115" t="e">
        <f t="shared" si="326"/>
        <v>#VALUE!</v>
      </c>
      <c r="CT185" s="115" t="e">
        <f t="shared" si="326"/>
        <v>#VALUE!</v>
      </c>
      <c r="CU185" s="115" t="e">
        <f t="shared" si="326"/>
        <v>#VALUE!</v>
      </c>
      <c r="CV185" s="115" t="e">
        <f t="shared" si="326"/>
        <v>#VALUE!</v>
      </c>
      <c r="CW185" s="115" t="e">
        <f t="shared" si="326"/>
        <v>#VALUE!</v>
      </c>
      <c r="CX185" s="115" t="e">
        <f t="shared" si="326"/>
        <v>#VALUE!</v>
      </c>
      <c r="CY185" s="115" t="e">
        <f t="shared" si="326"/>
        <v>#VALUE!</v>
      </c>
      <c r="CZ185" s="115" t="e">
        <f t="shared" si="326"/>
        <v>#VALUE!</v>
      </c>
      <c r="DA185" s="115" t="e">
        <f t="shared" si="326"/>
        <v>#VALUE!</v>
      </c>
      <c r="DB185" s="115" t="e">
        <f t="shared" si="327"/>
        <v>#VALUE!</v>
      </c>
      <c r="DC185" s="115" t="e">
        <f t="shared" si="327"/>
        <v>#VALUE!</v>
      </c>
      <c r="DD185" s="115" t="e">
        <f t="shared" si="327"/>
        <v>#VALUE!</v>
      </c>
      <c r="DE185" s="115" t="e">
        <f t="shared" si="327"/>
        <v>#VALUE!</v>
      </c>
      <c r="DF185" s="115" t="e">
        <f t="shared" si="327"/>
        <v>#VALUE!</v>
      </c>
      <c r="DG185" s="115" t="e">
        <f t="shared" si="327"/>
        <v>#VALUE!</v>
      </c>
      <c r="DH185" s="115" t="e">
        <f t="shared" si="327"/>
        <v>#VALUE!</v>
      </c>
      <c r="DI185" s="115" t="e">
        <f t="shared" si="327"/>
        <v>#VALUE!</v>
      </c>
      <c r="DJ185" s="115" t="e">
        <f t="shared" si="327"/>
        <v>#VALUE!</v>
      </c>
      <c r="DK185" s="115" t="e">
        <f t="shared" si="327"/>
        <v>#VALUE!</v>
      </c>
      <c r="DL185" s="115" t="e">
        <f t="shared" si="327"/>
        <v>#VALUE!</v>
      </c>
      <c r="DM185" s="115" t="e">
        <f t="shared" si="327"/>
        <v>#VALUE!</v>
      </c>
    </row>
    <row r="186" spans="1:117" ht="15" customHeight="1" thickBot="1">
      <c r="A186" s="55">
        <v>19700</v>
      </c>
      <c r="B186" s="194" t="s">
        <v>728</v>
      </c>
      <c r="C186" s="194" t="s">
        <v>953</v>
      </c>
      <c r="D186" s="194" t="s">
        <v>954</v>
      </c>
      <c r="E186" s="194"/>
      <c r="F186" s="194"/>
      <c r="G186" s="291">
        <f t="shared" si="315"/>
        <v>0</v>
      </c>
      <c r="H186" s="292">
        <v>0</v>
      </c>
      <c r="I186" s="306"/>
      <c r="J186" s="194" t="s">
        <v>103</v>
      </c>
      <c r="K186" s="385">
        <f>VLOOKUP("LEBENT",Allgemeine_Angaben,5,0)</f>
        <v>30</v>
      </c>
      <c r="L186" s="379" t="s">
        <v>359</v>
      </c>
      <c r="M186" s="325">
        <f t="shared" si="316"/>
        <v>2.25</v>
      </c>
      <c r="N186" s="380">
        <f t="shared" si="317"/>
        <v>1.0054080629301869</v>
      </c>
      <c r="O186" s="381">
        <f t="shared" si="318"/>
        <v>0</v>
      </c>
      <c r="P186" s="169" t="s">
        <v>103</v>
      </c>
      <c r="Q186" s="114">
        <f t="shared" si="318"/>
        <v>0</v>
      </c>
      <c r="R186" s="115">
        <f t="shared" si="318"/>
        <v>0</v>
      </c>
      <c r="S186" s="115">
        <f t="shared" si="318"/>
        <v>0</v>
      </c>
      <c r="T186" s="115">
        <f t="shared" si="318"/>
        <v>0</v>
      </c>
      <c r="U186" s="115">
        <f t="shared" si="318"/>
        <v>0</v>
      </c>
      <c r="V186" s="115">
        <f t="shared" si="318"/>
        <v>0</v>
      </c>
      <c r="W186" s="115">
        <f t="shared" si="318"/>
        <v>0</v>
      </c>
      <c r="X186" s="115">
        <f t="shared" si="318"/>
        <v>0</v>
      </c>
      <c r="Y186" s="115">
        <f t="shared" si="318"/>
        <v>0</v>
      </c>
      <c r="Z186" s="115">
        <f t="shared" si="319"/>
        <v>0</v>
      </c>
      <c r="AA186" s="115">
        <f t="shared" si="319"/>
        <v>0</v>
      </c>
      <c r="AB186" s="115">
        <f t="shared" si="319"/>
        <v>0</v>
      </c>
      <c r="AC186" s="115">
        <f t="shared" si="319"/>
        <v>0</v>
      </c>
      <c r="AD186" s="115">
        <f t="shared" si="319"/>
        <v>0</v>
      </c>
      <c r="AE186" s="115">
        <f t="shared" si="319"/>
        <v>0</v>
      </c>
      <c r="AF186" s="115">
        <f t="shared" si="319"/>
        <v>0</v>
      </c>
      <c r="AG186" s="115">
        <f t="shared" si="319"/>
        <v>0</v>
      </c>
      <c r="AH186" s="115">
        <f t="shared" si="319"/>
        <v>0</v>
      </c>
      <c r="AI186" s="115">
        <f t="shared" si="319"/>
        <v>0</v>
      </c>
      <c r="AJ186" s="115">
        <f t="shared" si="320"/>
        <v>0</v>
      </c>
      <c r="AK186" s="115">
        <f t="shared" si="320"/>
        <v>0</v>
      </c>
      <c r="AL186" s="115">
        <f t="shared" si="320"/>
        <v>0</v>
      </c>
      <c r="AM186" s="115">
        <f t="shared" si="320"/>
        <v>0</v>
      </c>
      <c r="AN186" s="115">
        <f t="shared" si="320"/>
        <v>0</v>
      </c>
      <c r="AO186" s="115">
        <f t="shared" si="320"/>
        <v>0</v>
      </c>
      <c r="AP186" s="115">
        <f t="shared" si="320"/>
        <v>0</v>
      </c>
      <c r="AQ186" s="115">
        <f t="shared" si="320"/>
        <v>0</v>
      </c>
      <c r="AR186" s="115">
        <f t="shared" si="320"/>
        <v>0</v>
      </c>
      <c r="AS186" s="115">
        <f t="shared" si="320"/>
        <v>0</v>
      </c>
      <c r="AT186" s="115">
        <f t="shared" si="321"/>
        <v>0</v>
      </c>
      <c r="AU186" s="115">
        <f t="shared" si="321"/>
        <v>0</v>
      </c>
      <c r="AV186" s="115" t="e">
        <f t="shared" si="321"/>
        <v>#VALUE!</v>
      </c>
      <c r="AW186" s="115" t="e">
        <f t="shared" si="321"/>
        <v>#VALUE!</v>
      </c>
      <c r="AX186" s="115" t="e">
        <f t="shared" si="321"/>
        <v>#VALUE!</v>
      </c>
      <c r="AY186" s="115" t="e">
        <f t="shared" si="321"/>
        <v>#VALUE!</v>
      </c>
      <c r="AZ186" s="115" t="e">
        <f t="shared" si="321"/>
        <v>#VALUE!</v>
      </c>
      <c r="BA186" s="115" t="e">
        <f t="shared" si="321"/>
        <v>#VALUE!</v>
      </c>
      <c r="BB186" s="115" t="e">
        <f t="shared" si="321"/>
        <v>#VALUE!</v>
      </c>
      <c r="BC186" s="115" t="e">
        <f t="shared" si="321"/>
        <v>#VALUE!</v>
      </c>
      <c r="BD186" s="115" t="e">
        <f t="shared" si="322"/>
        <v>#VALUE!</v>
      </c>
      <c r="BE186" s="115" t="e">
        <f t="shared" si="322"/>
        <v>#VALUE!</v>
      </c>
      <c r="BF186" s="115" t="e">
        <f t="shared" si="322"/>
        <v>#VALUE!</v>
      </c>
      <c r="BG186" s="115" t="e">
        <f t="shared" si="322"/>
        <v>#VALUE!</v>
      </c>
      <c r="BH186" s="115" t="e">
        <f t="shared" si="322"/>
        <v>#VALUE!</v>
      </c>
      <c r="BI186" s="115" t="e">
        <f t="shared" si="322"/>
        <v>#VALUE!</v>
      </c>
      <c r="BJ186" s="115" t="e">
        <f t="shared" si="322"/>
        <v>#VALUE!</v>
      </c>
      <c r="BK186" s="115" t="e">
        <f t="shared" si="322"/>
        <v>#VALUE!</v>
      </c>
      <c r="BL186" s="115" t="e">
        <f t="shared" si="322"/>
        <v>#VALUE!</v>
      </c>
      <c r="BM186" s="115" t="e">
        <f t="shared" si="322"/>
        <v>#VALUE!</v>
      </c>
      <c r="BN186" s="115" t="e">
        <f t="shared" si="323"/>
        <v>#VALUE!</v>
      </c>
      <c r="BO186" s="115" t="e">
        <f t="shared" si="323"/>
        <v>#VALUE!</v>
      </c>
      <c r="BP186" s="115" t="e">
        <f t="shared" si="323"/>
        <v>#VALUE!</v>
      </c>
      <c r="BQ186" s="115" t="e">
        <f t="shared" si="323"/>
        <v>#VALUE!</v>
      </c>
      <c r="BR186" s="115" t="e">
        <f t="shared" si="323"/>
        <v>#VALUE!</v>
      </c>
      <c r="BS186" s="115" t="e">
        <f t="shared" si="323"/>
        <v>#VALUE!</v>
      </c>
      <c r="BT186" s="115" t="e">
        <f t="shared" si="323"/>
        <v>#VALUE!</v>
      </c>
      <c r="BU186" s="115" t="e">
        <f t="shared" si="323"/>
        <v>#VALUE!</v>
      </c>
      <c r="BV186" s="115" t="e">
        <f t="shared" si="323"/>
        <v>#VALUE!</v>
      </c>
      <c r="BW186" s="115" t="e">
        <f t="shared" si="323"/>
        <v>#VALUE!</v>
      </c>
      <c r="BX186" s="115" t="e">
        <f t="shared" si="324"/>
        <v>#VALUE!</v>
      </c>
      <c r="BY186" s="115" t="e">
        <f t="shared" si="324"/>
        <v>#VALUE!</v>
      </c>
      <c r="BZ186" s="115" t="e">
        <f t="shared" si="324"/>
        <v>#VALUE!</v>
      </c>
      <c r="CA186" s="115" t="e">
        <f t="shared" si="324"/>
        <v>#VALUE!</v>
      </c>
      <c r="CB186" s="115" t="e">
        <f t="shared" si="324"/>
        <v>#VALUE!</v>
      </c>
      <c r="CC186" s="115" t="e">
        <f t="shared" si="324"/>
        <v>#VALUE!</v>
      </c>
      <c r="CD186" s="115" t="e">
        <f t="shared" si="324"/>
        <v>#VALUE!</v>
      </c>
      <c r="CE186" s="115" t="e">
        <f t="shared" si="324"/>
        <v>#VALUE!</v>
      </c>
      <c r="CF186" s="115" t="e">
        <f t="shared" si="324"/>
        <v>#VALUE!</v>
      </c>
      <c r="CG186" s="115" t="e">
        <f t="shared" si="324"/>
        <v>#VALUE!</v>
      </c>
      <c r="CH186" s="115" t="e">
        <f t="shared" si="325"/>
        <v>#VALUE!</v>
      </c>
      <c r="CI186" s="115" t="e">
        <f t="shared" si="325"/>
        <v>#VALUE!</v>
      </c>
      <c r="CJ186" s="115" t="e">
        <f t="shared" si="325"/>
        <v>#VALUE!</v>
      </c>
      <c r="CK186" s="115" t="e">
        <f t="shared" si="325"/>
        <v>#VALUE!</v>
      </c>
      <c r="CL186" s="115" t="e">
        <f t="shared" si="325"/>
        <v>#VALUE!</v>
      </c>
      <c r="CM186" s="115" t="e">
        <f t="shared" si="325"/>
        <v>#VALUE!</v>
      </c>
      <c r="CN186" s="115" t="e">
        <f t="shared" si="325"/>
        <v>#VALUE!</v>
      </c>
      <c r="CO186" s="115" t="e">
        <f t="shared" si="325"/>
        <v>#VALUE!</v>
      </c>
      <c r="CP186" s="115" t="e">
        <f t="shared" si="325"/>
        <v>#VALUE!</v>
      </c>
      <c r="CQ186" s="115" t="e">
        <f t="shared" si="325"/>
        <v>#VALUE!</v>
      </c>
      <c r="CR186" s="115" t="e">
        <f t="shared" si="326"/>
        <v>#VALUE!</v>
      </c>
      <c r="CS186" s="115" t="e">
        <f t="shared" si="326"/>
        <v>#VALUE!</v>
      </c>
      <c r="CT186" s="115" t="e">
        <f t="shared" si="326"/>
        <v>#VALUE!</v>
      </c>
      <c r="CU186" s="115" t="e">
        <f t="shared" si="326"/>
        <v>#VALUE!</v>
      </c>
      <c r="CV186" s="115" t="e">
        <f t="shared" si="326"/>
        <v>#VALUE!</v>
      </c>
      <c r="CW186" s="115" t="e">
        <f t="shared" si="326"/>
        <v>#VALUE!</v>
      </c>
      <c r="CX186" s="115" t="e">
        <f t="shared" si="326"/>
        <v>#VALUE!</v>
      </c>
      <c r="CY186" s="115" t="e">
        <f t="shared" si="326"/>
        <v>#VALUE!</v>
      </c>
      <c r="CZ186" s="115" t="e">
        <f t="shared" si="326"/>
        <v>#VALUE!</v>
      </c>
      <c r="DA186" s="115" t="e">
        <f t="shared" si="326"/>
        <v>#VALUE!</v>
      </c>
      <c r="DB186" s="115" t="e">
        <f t="shared" si="327"/>
        <v>#VALUE!</v>
      </c>
      <c r="DC186" s="115" t="e">
        <f t="shared" si="327"/>
        <v>#VALUE!</v>
      </c>
      <c r="DD186" s="115" t="e">
        <f t="shared" si="327"/>
        <v>#VALUE!</v>
      </c>
      <c r="DE186" s="115" t="e">
        <f t="shared" si="327"/>
        <v>#VALUE!</v>
      </c>
      <c r="DF186" s="115" t="e">
        <f t="shared" si="327"/>
        <v>#VALUE!</v>
      </c>
      <c r="DG186" s="115" t="e">
        <f t="shared" si="327"/>
        <v>#VALUE!</v>
      </c>
      <c r="DH186" s="115" t="e">
        <f t="shared" si="327"/>
        <v>#VALUE!</v>
      </c>
      <c r="DI186" s="115" t="e">
        <f t="shared" si="327"/>
        <v>#VALUE!</v>
      </c>
      <c r="DJ186" s="115" t="e">
        <f t="shared" si="327"/>
        <v>#VALUE!</v>
      </c>
      <c r="DK186" s="115" t="e">
        <f t="shared" si="327"/>
        <v>#VALUE!</v>
      </c>
      <c r="DL186" s="115" t="e">
        <f t="shared" si="327"/>
        <v>#VALUE!</v>
      </c>
      <c r="DM186" s="115" t="e">
        <f t="shared" si="327"/>
        <v>#VALUE!</v>
      </c>
    </row>
    <row r="187" spans="1:117" ht="15" customHeight="1" thickBot="1">
      <c r="A187" s="293">
        <v>19900</v>
      </c>
      <c r="B187" s="172" t="s">
        <v>724</v>
      </c>
      <c r="C187" s="172" t="s">
        <v>956</v>
      </c>
      <c r="D187" s="172" t="s">
        <v>198</v>
      </c>
      <c r="E187" s="172"/>
      <c r="F187" s="172" t="s">
        <v>117</v>
      </c>
      <c r="G187" s="171">
        <f>SUM(G188)</f>
        <v>0</v>
      </c>
      <c r="H187" s="171"/>
      <c r="I187" s="171"/>
      <c r="J187" s="172" t="s">
        <v>103</v>
      </c>
      <c r="K187" s="386"/>
      <c r="L187" s="172"/>
      <c r="M187" s="293"/>
      <c r="N187" s="293"/>
      <c r="O187" s="376">
        <f>SUM(O188)</f>
        <v>0</v>
      </c>
      <c r="P187" s="377" t="s">
        <v>103</v>
      </c>
      <c r="Q187" s="116"/>
      <c r="R187" s="116"/>
      <c r="S187" s="116"/>
      <c r="T187" s="116"/>
      <c r="U187" s="116"/>
      <c r="V187" s="116"/>
      <c r="W187" s="116"/>
      <c r="X187" s="116"/>
      <c r="Y187" s="116"/>
      <c r="Z187" s="116"/>
      <c r="AA187" s="116"/>
      <c r="AB187" s="116"/>
      <c r="AC187" s="116"/>
      <c r="AD187" s="116"/>
      <c r="AE187" s="116"/>
      <c r="AF187" s="116"/>
      <c r="AG187" s="116"/>
      <c r="AH187" s="116"/>
      <c r="AI187" s="116"/>
      <c r="AJ187" s="116"/>
      <c r="AK187" s="116"/>
      <c r="AL187" s="116"/>
      <c r="AM187" s="116"/>
      <c r="AN187" s="116"/>
      <c r="AO187" s="116"/>
      <c r="AP187" s="116"/>
      <c r="AQ187" s="116"/>
      <c r="AR187" s="116"/>
      <c r="AS187" s="116"/>
      <c r="AT187" s="116"/>
      <c r="AU187" s="116"/>
      <c r="AV187" s="116"/>
      <c r="AW187" s="116"/>
      <c r="AX187" s="116"/>
      <c r="AY187" s="116"/>
      <c r="AZ187" s="116"/>
      <c r="BA187" s="116"/>
      <c r="BB187" s="116"/>
      <c r="BC187" s="116"/>
      <c r="BD187" s="116"/>
      <c r="BE187" s="116"/>
      <c r="BF187" s="116"/>
      <c r="BG187" s="116"/>
      <c r="BH187" s="116"/>
      <c r="BI187" s="116"/>
      <c r="BJ187" s="116"/>
      <c r="BK187" s="116"/>
      <c r="BL187" s="116"/>
      <c r="BM187" s="116"/>
      <c r="BN187" s="116"/>
      <c r="BO187" s="116"/>
      <c r="BP187" s="116"/>
      <c r="BQ187" s="116"/>
      <c r="BR187" s="116"/>
      <c r="BS187" s="116"/>
      <c r="BT187" s="116"/>
      <c r="BU187" s="116"/>
      <c r="BV187" s="116"/>
      <c r="BW187" s="116"/>
      <c r="BX187" s="116"/>
      <c r="BY187" s="116"/>
      <c r="BZ187" s="116"/>
      <c r="CA187" s="116"/>
      <c r="CB187" s="116"/>
      <c r="CC187" s="116"/>
      <c r="CD187" s="116"/>
      <c r="CE187" s="116"/>
      <c r="CF187" s="116"/>
      <c r="CG187" s="116"/>
      <c r="CH187" s="116"/>
      <c r="CI187" s="116"/>
      <c r="CJ187" s="116"/>
      <c r="CK187" s="116"/>
      <c r="CL187" s="116"/>
      <c r="CM187" s="116"/>
      <c r="CN187" s="116"/>
      <c r="CO187" s="116"/>
      <c r="CP187" s="116"/>
      <c r="CQ187" s="116"/>
      <c r="CR187" s="116"/>
      <c r="CS187" s="116"/>
      <c r="CT187" s="116"/>
      <c r="CU187" s="116"/>
      <c r="CV187" s="116"/>
      <c r="CW187" s="116"/>
      <c r="CX187" s="116"/>
      <c r="CY187" s="116"/>
      <c r="CZ187" s="116"/>
      <c r="DA187" s="116"/>
      <c r="DB187" s="116"/>
      <c r="DC187" s="116"/>
      <c r="DD187" s="116"/>
      <c r="DE187" s="116"/>
      <c r="DF187" s="116"/>
      <c r="DG187" s="116"/>
      <c r="DH187" s="116"/>
      <c r="DI187" s="116"/>
      <c r="DJ187" s="116"/>
      <c r="DK187" s="116"/>
      <c r="DL187" s="116"/>
      <c r="DM187" s="116"/>
    </row>
    <row r="188" spans="1:117" ht="15" customHeight="1" thickBot="1">
      <c r="A188" s="55">
        <v>20000</v>
      </c>
      <c r="B188" s="194" t="s">
        <v>728</v>
      </c>
      <c r="C188" s="194" t="s">
        <v>957</v>
      </c>
      <c r="D188" s="194" t="s">
        <v>198</v>
      </c>
      <c r="E188" s="194"/>
      <c r="F188" s="194"/>
      <c r="G188" s="291">
        <f t="shared" ref="G188" si="328">IF(I188="",H188,I188)</f>
        <v>0</v>
      </c>
      <c r="H188" s="292">
        <v>0</v>
      </c>
      <c r="I188" s="306"/>
      <c r="J188" s="194" t="s">
        <v>103</v>
      </c>
      <c r="K188" s="385">
        <f>VLOOKUP("LEBENT",Allgemeine_Angaben,5,0)</f>
        <v>30</v>
      </c>
      <c r="L188" s="379" t="s">
        <v>359</v>
      </c>
      <c r="M188" s="325">
        <f>VLOOKUP(L188,Finanzielle_Parameter,5,0)</f>
        <v>2.25</v>
      </c>
      <c r="N188" s="380">
        <f>(1+VLOOKUP(L188,Finanzielle_Parameter,5,0)/100)/(1+VLOOKUP("R",Finanzielle_Parameter,5,0)/100)</f>
        <v>1.0054080629301869</v>
      </c>
      <c r="O188" s="381">
        <f t="shared" ref="O188:AU188" si="329">IF($N188&lt;&gt;1,$G188*($N188^$K188)*(($N188^($K188*INT(O$2/$K188))-1)/($N188^$K188-1)),$G188*INT(O$2/$K188))</f>
        <v>0</v>
      </c>
      <c r="P188" s="169" t="s">
        <v>103</v>
      </c>
      <c r="Q188" s="114">
        <f t="shared" si="329"/>
        <v>0</v>
      </c>
      <c r="R188" s="115">
        <f t="shared" si="329"/>
        <v>0</v>
      </c>
      <c r="S188" s="115">
        <f t="shared" si="329"/>
        <v>0</v>
      </c>
      <c r="T188" s="115">
        <f t="shared" si="329"/>
        <v>0</v>
      </c>
      <c r="U188" s="115">
        <f t="shared" si="329"/>
        <v>0</v>
      </c>
      <c r="V188" s="115">
        <f t="shared" si="329"/>
        <v>0</v>
      </c>
      <c r="W188" s="115">
        <f t="shared" si="329"/>
        <v>0</v>
      </c>
      <c r="X188" s="115">
        <f t="shared" si="329"/>
        <v>0</v>
      </c>
      <c r="Y188" s="115">
        <f t="shared" si="329"/>
        <v>0</v>
      </c>
      <c r="Z188" s="115">
        <f t="shared" si="329"/>
        <v>0</v>
      </c>
      <c r="AA188" s="115">
        <f t="shared" si="329"/>
        <v>0</v>
      </c>
      <c r="AB188" s="115">
        <f t="shared" si="329"/>
        <v>0</v>
      </c>
      <c r="AC188" s="115">
        <f t="shared" si="329"/>
        <v>0</v>
      </c>
      <c r="AD188" s="115">
        <f t="shared" si="329"/>
        <v>0</v>
      </c>
      <c r="AE188" s="115">
        <f t="shared" si="329"/>
        <v>0</v>
      </c>
      <c r="AF188" s="115">
        <f t="shared" si="329"/>
        <v>0</v>
      </c>
      <c r="AG188" s="115">
        <f t="shared" si="329"/>
        <v>0</v>
      </c>
      <c r="AH188" s="115">
        <f t="shared" si="329"/>
        <v>0</v>
      </c>
      <c r="AI188" s="115">
        <f t="shared" si="329"/>
        <v>0</v>
      </c>
      <c r="AJ188" s="115">
        <f t="shared" si="329"/>
        <v>0</v>
      </c>
      <c r="AK188" s="115">
        <f t="shared" si="329"/>
        <v>0</v>
      </c>
      <c r="AL188" s="115">
        <f t="shared" si="329"/>
        <v>0</v>
      </c>
      <c r="AM188" s="115">
        <f t="shared" si="329"/>
        <v>0</v>
      </c>
      <c r="AN188" s="115">
        <f t="shared" si="329"/>
        <v>0</v>
      </c>
      <c r="AO188" s="115">
        <f t="shared" si="329"/>
        <v>0</v>
      </c>
      <c r="AP188" s="115">
        <f t="shared" si="329"/>
        <v>0</v>
      </c>
      <c r="AQ188" s="115">
        <f t="shared" si="329"/>
        <v>0</v>
      </c>
      <c r="AR188" s="115">
        <f t="shared" si="329"/>
        <v>0</v>
      </c>
      <c r="AS188" s="115">
        <f t="shared" si="329"/>
        <v>0</v>
      </c>
      <c r="AT188" s="115">
        <f t="shared" si="329"/>
        <v>0</v>
      </c>
      <c r="AU188" s="115">
        <f t="shared" si="329"/>
        <v>0</v>
      </c>
      <c r="AV188" s="115" t="e">
        <f t="shared" ref="AV188:CA188" si="330">IF($N188&lt;&gt;1,$G188*($N188^$K188)*(($N188^($K188*INT(AV$2/$K188))-1)/($N188^$K188-1)),$G188*INT(AV$2/$K188))</f>
        <v>#VALUE!</v>
      </c>
      <c r="AW188" s="115" t="e">
        <f t="shared" si="330"/>
        <v>#VALUE!</v>
      </c>
      <c r="AX188" s="115" t="e">
        <f t="shared" si="330"/>
        <v>#VALUE!</v>
      </c>
      <c r="AY188" s="115" t="e">
        <f t="shared" si="330"/>
        <v>#VALUE!</v>
      </c>
      <c r="AZ188" s="115" t="e">
        <f t="shared" si="330"/>
        <v>#VALUE!</v>
      </c>
      <c r="BA188" s="115" t="e">
        <f t="shared" si="330"/>
        <v>#VALUE!</v>
      </c>
      <c r="BB188" s="115" t="e">
        <f t="shared" si="330"/>
        <v>#VALUE!</v>
      </c>
      <c r="BC188" s="115" t="e">
        <f t="shared" si="330"/>
        <v>#VALUE!</v>
      </c>
      <c r="BD188" s="115" t="e">
        <f t="shared" si="330"/>
        <v>#VALUE!</v>
      </c>
      <c r="BE188" s="115" t="e">
        <f t="shared" si="330"/>
        <v>#VALUE!</v>
      </c>
      <c r="BF188" s="115" t="e">
        <f t="shared" si="330"/>
        <v>#VALUE!</v>
      </c>
      <c r="BG188" s="115" t="e">
        <f t="shared" si="330"/>
        <v>#VALUE!</v>
      </c>
      <c r="BH188" s="115" t="e">
        <f t="shared" si="330"/>
        <v>#VALUE!</v>
      </c>
      <c r="BI188" s="115" t="e">
        <f t="shared" si="330"/>
        <v>#VALUE!</v>
      </c>
      <c r="BJ188" s="115" t="e">
        <f t="shared" si="330"/>
        <v>#VALUE!</v>
      </c>
      <c r="BK188" s="115" t="e">
        <f t="shared" si="330"/>
        <v>#VALUE!</v>
      </c>
      <c r="BL188" s="115" t="e">
        <f t="shared" si="330"/>
        <v>#VALUE!</v>
      </c>
      <c r="BM188" s="115" t="e">
        <f t="shared" si="330"/>
        <v>#VALUE!</v>
      </c>
      <c r="BN188" s="115" t="e">
        <f t="shared" si="330"/>
        <v>#VALUE!</v>
      </c>
      <c r="BO188" s="115" t="e">
        <f t="shared" si="330"/>
        <v>#VALUE!</v>
      </c>
      <c r="BP188" s="115" t="e">
        <f t="shared" si="330"/>
        <v>#VALUE!</v>
      </c>
      <c r="BQ188" s="115" t="e">
        <f t="shared" si="330"/>
        <v>#VALUE!</v>
      </c>
      <c r="BR188" s="115" t="e">
        <f t="shared" si="330"/>
        <v>#VALUE!</v>
      </c>
      <c r="BS188" s="115" t="e">
        <f t="shared" si="330"/>
        <v>#VALUE!</v>
      </c>
      <c r="BT188" s="115" t="e">
        <f t="shared" si="330"/>
        <v>#VALUE!</v>
      </c>
      <c r="BU188" s="115" t="e">
        <f t="shared" si="330"/>
        <v>#VALUE!</v>
      </c>
      <c r="BV188" s="115" t="e">
        <f t="shared" si="330"/>
        <v>#VALUE!</v>
      </c>
      <c r="BW188" s="115" t="e">
        <f t="shared" si="330"/>
        <v>#VALUE!</v>
      </c>
      <c r="BX188" s="115" t="e">
        <f t="shared" si="330"/>
        <v>#VALUE!</v>
      </c>
      <c r="BY188" s="115" t="e">
        <f t="shared" si="330"/>
        <v>#VALUE!</v>
      </c>
      <c r="BZ188" s="115" t="e">
        <f t="shared" si="330"/>
        <v>#VALUE!</v>
      </c>
      <c r="CA188" s="115" t="e">
        <f t="shared" si="330"/>
        <v>#VALUE!</v>
      </c>
      <c r="CB188" s="115" t="e">
        <f t="shared" ref="CB188:DG188" si="331">IF($N188&lt;&gt;1,$G188*($N188^$K188)*(($N188^($K188*INT(CB$2/$K188))-1)/($N188^$K188-1)),$G188*INT(CB$2/$K188))</f>
        <v>#VALUE!</v>
      </c>
      <c r="CC188" s="115" t="e">
        <f t="shared" si="331"/>
        <v>#VALUE!</v>
      </c>
      <c r="CD188" s="115" t="e">
        <f t="shared" si="331"/>
        <v>#VALUE!</v>
      </c>
      <c r="CE188" s="115" t="e">
        <f t="shared" si="331"/>
        <v>#VALUE!</v>
      </c>
      <c r="CF188" s="115" t="e">
        <f t="shared" si="331"/>
        <v>#VALUE!</v>
      </c>
      <c r="CG188" s="115" t="e">
        <f t="shared" si="331"/>
        <v>#VALUE!</v>
      </c>
      <c r="CH188" s="115" t="e">
        <f t="shared" si="331"/>
        <v>#VALUE!</v>
      </c>
      <c r="CI188" s="115" t="e">
        <f t="shared" si="331"/>
        <v>#VALUE!</v>
      </c>
      <c r="CJ188" s="115" t="e">
        <f t="shared" si="331"/>
        <v>#VALUE!</v>
      </c>
      <c r="CK188" s="115" t="e">
        <f t="shared" si="331"/>
        <v>#VALUE!</v>
      </c>
      <c r="CL188" s="115" t="e">
        <f t="shared" si="331"/>
        <v>#VALUE!</v>
      </c>
      <c r="CM188" s="115" t="e">
        <f t="shared" si="331"/>
        <v>#VALUE!</v>
      </c>
      <c r="CN188" s="115" t="e">
        <f t="shared" si="331"/>
        <v>#VALUE!</v>
      </c>
      <c r="CO188" s="115" t="e">
        <f t="shared" si="331"/>
        <v>#VALUE!</v>
      </c>
      <c r="CP188" s="115" t="e">
        <f t="shared" si="331"/>
        <v>#VALUE!</v>
      </c>
      <c r="CQ188" s="115" t="e">
        <f t="shared" si="331"/>
        <v>#VALUE!</v>
      </c>
      <c r="CR188" s="115" t="e">
        <f t="shared" si="331"/>
        <v>#VALUE!</v>
      </c>
      <c r="CS188" s="115" t="e">
        <f t="shared" si="331"/>
        <v>#VALUE!</v>
      </c>
      <c r="CT188" s="115" t="e">
        <f t="shared" si="331"/>
        <v>#VALUE!</v>
      </c>
      <c r="CU188" s="115" t="e">
        <f t="shared" si="331"/>
        <v>#VALUE!</v>
      </c>
      <c r="CV188" s="115" t="e">
        <f t="shared" si="331"/>
        <v>#VALUE!</v>
      </c>
      <c r="CW188" s="115" t="e">
        <f t="shared" si="331"/>
        <v>#VALUE!</v>
      </c>
      <c r="CX188" s="115" t="e">
        <f t="shared" si="331"/>
        <v>#VALUE!</v>
      </c>
      <c r="CY188" s="115" t="e">
        <f t="shared" si="331"/>
        <v>#VALUE!</v>
      </c>
      <c r="CZ188" s="115" t="e">
        <f t="shared" si="331"/>
        <v>#VALUE!</v>
      </c>
      <c r="DA188" s="115" t="e">
        <f t="shared" si="331"/>
        <v>#VALUE!</v>
      </c>
      <c r="DB188" s="115" t="e">
        <f t="shared" si="331"/>
        <v>#VALUE!</v>
      </c>
      <c r="DC188" s="115" t="e">
        <f t="shared" si="331"/>
        <v>#VALUE!</v>
      </c>
      <c r="DD188" s="115" t="e">
        <f t="shared" si="331"/>
        <v>#VALUE!</v>
      </c>
      <c r="DE188" s="115" t="e">
        <f t="shared" si="331"/>
        <v>#VALUE!</v>
      </c>
      <c r="DF188" s="115" t="e">
        <f t="shared" si="331"/>
        <v>#VALUE!</v>
      </c>
      <c r="DG188" s="115" t="e">
        <f t="shared" si="331"/>
        <v>#VALUE!</v>
      </c>
      <c r="DH188" s="115" t="e">
        <f t="shared" ref="DH188:DM188" si="332">IF($N188&lt;&gt;1,$G188*($N188^$K188)*(($N188^($K188*INT(DH$2/$K188))-1)/($N188^$K188-1)),$G188*INT(DH$2/$K188))</f>
        <v>#VALUE!</v>
      </c>
      <c r="DI188" s="115" t="e">
        <f t="shared" si="332"/>
        <v>#VALUE!</v>
      </c>
      <c r="DJ188" s="115" t="e">
        <f t="shared" si="332"/>
        <v>#VALUE!</v>
      </c>
      <c r="DK188" s="115" t="e">
        <f t="shared" si="332"/>
        <v>#VALUE!</v>
      </c>
      <c r="DL188" s="115" t="e">
        <f t="shared" si="332"/>
        <v>#VALUE!</v>
      </c>
      <c r="DM188" s="115" t="e">
        <f t="shared" si="332"/>
        <v>#VALUE!</v>
      </c>
    </row>
    <row r="189" spans="1:117" ht="15" customHeight="1" thickBot="1">
      <c r="A189" s="293">
        <v>20200</v>
      </c>
      <c r="B189" s="172" t="s">
        <v>724</v>
      </c>
      <c r="C189" s="172" t="s">
        <v>958</v>
      </c>
      <c r="D189" s="172" t="s">
        <v>959</v>
      </c>
      <c r="E189" s="172"/>
      <c r="F189" s="172" t="s">
        <v>117</v>
      </c>
      <c r="G189" s="171" t="e">
        <f>SUM(G190:G192)</f>
        <v>#VALUE!</v>
      </c>
      <c r="H189" s="171"/>
      <c r="I189" s="171"/>
      <c r="J189" s="172" t="s">
        <v>103</v>
      </c>
      <c r="K189" s="386"/>
      <c r="L189" s="172"/>
      <c r="M189" s="293"/>
      <c r="N189" s="293"/>
      <c r="O189" s="376" t="e">
        <f>SUM(O190:O192)</f>
        <v>#VALUE!</v>
      </c>
      <c r="P189" s="377" t="s">
        <v>103</v>
      </c>
      <c r="Q189" s="116"/>
      <c r="R189" s="116"/>
      <c r="S189" s="116"/>
      <c r="T189" s="116"/>
      <c r="U189" s="116"/>
      <c r="V189" s="116"/>
      <c r="W189" s="116"/>
      <c r="X189" s="116"/>
      <c r="Y189" s="116"/>
      <c r="Z189" s="116"/>
      <c r="AA189" s="116"/>
      <c r="AB189" s="116"/>
      <c r="AC189" s="116"/>
      <c r="AD189" s="116"/>
      <c r="AE189" s="116"/>
      <c r="AF189" s="116"/>
      <c r="AG189" s="116"/>
      <c r="AH189" s="116"/>
      <c r="AI189" s="116"/>
      <c r="AJ189" s="116"/>
      <c r="AK189" s="116"/>
      <c r="AL189" s="116"/>
      <c r="AM189" s="116"/>
      <c r="AN189" s="116"/>
      <c r="AO189" s="116"/>
      <c r="AP189" s="116"/>
      <c r="AQ189" s="116"/>
      <c r="AR189" s="116"/>
      <c r="AS189" s="116"/>
      <c r="AT189" s="116"/>
      <c r="AU189" s="116"/>
      <c r="AV189" s="116"/>
      <c r="AW189" s="116"/>
      <c r="AX189" s="116"/>
      <c r="AY189" s="116"/>
      <c r="AZ189" s="116"/>
      <c r="BA189" s="116"/>
      <c r="BB189" s="116"/>
      <c r="BC189" s="116"/>
      <c r="BD189" s="116"/>
      <c r="BE189" s="116"/>
      <c r="BF189" s="116"/>
      <c r="BG189" s="116"/>
      <c r="BH189" s="116"/>
      <c r="BI189" s="116"/>
      <c r="BJ189" s="116"/>
      <c r="BK189" s="116"/>
      <c r="BL189" s="116"/>
      <c r="BM189" s="116"/>
      <c r="BN189" s="116"/>
      <c r="BO189" s="116"/>
      <c r="BP189" s="116"/>
      <c r="BQ189" s="116"/>
      <c r="BR189" s="116"/>
      <c r="BS189" s="116"/>
      <c r="BT189" s="116"/>
      <c r="BU189" s="116"/>
      <c r="BV189" s="116"/>
      <c r="BW189" s="116"/>
      <c r="BX189" s="116"/>
      <c r="BY189" s="116"/>
      <c r="BZ189" s="116"/>
      <c r="CA189" s="116"/>
      <c r="CB189" s="116"/>
      <c r="CC189" s="116"/>
      <c r="CD189" s="116"/>
      <c r="CE189" s="116"/>
      <c r="CF189" s="116"/>
      <c r="CG189" s="116"/>
      <c r="CH189" s="116"/>
      <c r="CI189" s="116"/>
      <c r="CJ189" s="116"/>
      <c r="CK189" s="116"/>
      <c r="CL189" s="116"/>
      <c r="CM189" s="116"/>
      <c r="CN189" s="116"/>
      <c r="CO189" s="116"/>
      <c r="CP189" s="116"/>
      <c r="CQ189" s="116"/>
      <c r="CR189" s="116"/>
      <c r="CS189" s="116"/>
      <c r="CT189" s="116"/>
      <c r="CU189" s="116"/>
      <c r="CV189" s="116"/>
      <c r="CW189" s="116"/>
      <c r="CX189" s="116"/>
      <c r="CY189" s="116"/>
      <c r="CZ189" s="116"/>
      <c r="DA189" s="116"/>
      <c r="DB189" s="116"/>
      <c r="DC189" s="116"/>
      <c r="DD189" s="116"/>
      <c r="DE189" s="116"/>
      <c r="DF189" s="116"/>
      <c r="DG189" s="116"/>
      <c r="DH189" s="116"/>
      <c r="DI189" s="116"/>
      <c r="DJ189" s="116"/>
      <c r="DK189" s="116"/>
      <c r="DL189" s="116"/>
      <c r="DM189" s="116"/>
    </row>
    <row r="190" spans="1:117" ht="15" customHeight="1" thickBot="1">
      <c r="A190" s="55">
        <v>20300</v>
      </c>
      <c r="B190" s="194" t="s">
        <v>728</v>
      </c>
      <c r="C190" s="194" t="s">
        <v>960</v>
      </c>
      <c r="D190" s="194" t="s">
        <v>961</v>
      </c>
      <c r="E190" s="194"/>
      <c r="F190" s="194" t="s">
        <v>962</v>
      </c>
      <c r="G190" s="291" t="e">
        <f t="shared" ref="G190:G192" si="333">IF(I190="",H190,I190)</f>
        <v>#VALUE!</v>
      </c>
      <c r="H190" s="292" t="e">
        <f>VLOOKUP("AB_ENTS_GESAMT",Abbruch_Entsorgung,5,0) *VLOOKUP("PFAKT",Instandsetzung,5,0) - VLOOKUP( "AB_ENTS_GESAMT",Abbruch_Entsorgung,5,0)</f>
        <v>#VALUE!</v>
      </c>
      <c r="I190" s="168"/>
      <c r="J190" s="194" t="s">
        <v>103</v>
      </c>
      <c r="K190" s="385">
        <f>VLOOKUP("LEBENT",Allgemeine_Angaben,5,0)</f>
        <v>30</v>
      </c>
      <c r="L190" s="379" t="s">
        <v>359</v>
      </c>
      <c r="M190" s="325">
        <f>VLOOKUP(L190,Finanzielle_Parameter,5,0)</f>
        <v>2.25</v>
      </c>
      <c r="N190" s="380">
        <f>(1+VLOOKUP(L190,Finanzielle_Parameter,5,0)/100)/(1+VLOOKUP("R",Finanzielle_Parameter,5,0)/100)</f>
        <v>1.0054080629301869</v>
      </c>
      <c r="O190" s="381" t="e">
        <f t="shared" ref="O190:Y192" si="334">IF($N190&lt;&gt;1,$G190*($N190^$K190)*(($N190^($K190*INT(O$2/$K190))-1)/($N190^$K190-1)),$G190*INT(O$2/$K190))</f>
        <v>#VALUE!</v>
      </c>
      <c r="P190" s="169" t="s">
        <v>103</v>
      </c>
      <c r="Q190" s="114" t="e">
        <f t="shared" si="334"/>
        <v>#VALUE!</v>
      </c>
      <c r="R190" s="115" t="e">
        <f t="shared" si="334"/>
        <v>#VALUE!</v>
      </c>
      <c r="S190" s="115" t="e">
        <f t="shared" si="334"/>
        <v>#VALUE!</v>
      </c>
      <c r="T190" s="115" t="e">
        <f t="shared" si="334"/>
        <v>#VALUE!</v>
      </c>
      <c r="U190" s="115" t="e">
        <f t="shared" si="334"/>
        <v>#VALUE!</v>
      </c>
      <c r="V190" s="115" t="e">
        <f t="shared" si="334"/>
        <v>#VALUE!</v>
      </c>
      <c r="W190" s="115" t="e">
        <f t="shared" si="334"/>
        <v>#VALUE!</v>
      </c>
      <c r="X190" s="115" t="e">
        <f t="shared" si="334"/>
        <v>#VALUE!</v>
      </c>
      <c r="Y190" s="115" t="e">
        <f t="shared" si="334"/>
        <v>#VALUE!</v>
      </c>
      <c r="Z190" s="115" t="e">
        <f t="shared" ref="Z190:AI192" si="335">IF($N190&lt;&gt;1,$G190*($N190^$K190)*(($N190^($K190*INT(Z$2/$K190))-1)/($N190^$K190-1)),$G190*INT(Z$2/$K190))</f>
        <v>#VALUE!</v>
      </c>
      <c r="AA190" s="115" t="e">
        <f t="shared" si="335"/>
        <v>#VALUE!</v>
      </c>
      <c r="AB190" s="115" t="e">
        <f t="shared" si="335"/>
        <v>#VALUE!</v>
      </c>
      <c r="AC190" s="115" t="e">
        <f t="shared" si="335"/>
        <v>#VALUE!</v>
      </c>
      <c r="AD190" s="115" t="e">
        <f t="shared" si="335"/>
        <v>#VALUE!</v>
      </c>
      <c r="AE190" s="115" t="e">
        <f t="shared" si="335"/>
        <v>#VALUE!</v>
      </c>
      <c r="AF190" s="115" t="e">
        <f t="shared" si="335"/>
        <v>#VALUE!</v>
      </c>
      <c r="AG190" s="115" t="e">
        <f t="shared" si="335"/>
        <v>#VALUE!</v>
      </c>
      <c r="AH190" s="115" t="e">
        <f t="shared" si="335"/>
        <v>#VALUE!</v>
      </c>
      <c r="AI190" s="115" t="e">
        <f t="shared" si="335"/>
        <v>#VALUE!</v>
      </c>
      <c r="AJ190" s="115" t="e">
        <f t="shared" ref="AJ190:AS192" si="336">IF($N190&lt;&gt;1,$G190*($N190^$K190)*(($N190^($K190*INT(AJ$2/$K190))-1)/($N190^$K190-1)),$G190*INT(AJ$2/$K190))</f>
        <v>#VALUE!</v>
      </c>
      <c r="AK190" s="115" t="e">
        <f t="shared" si="336"/>
        <v>#VALUE!</v>
      </c>
      <c r="AL190" s="115" t="e">
        <f t="shared" si="336"/>
        <v>#VALUE!</v>
      </c>
      <c r="AM190" s="115" t="e">
        <f t="shared" si="336"/>
        <v>#VALUE!</v>
      </c>
      <c r="AN190" s="115" t="e">
        <f t="shared" si="336"/>
        <v>#VALUE!</v>
      </c>
      <c r="AO190" s="115" t="e">
        <f t="shared" si="336"/>
        <v>#VALUE!</v>
      </c>
      <c r="AP190" s="115" t="e">
        <f t="shared" si="336"/>
        <v>#VALUE!</v>
      </c>
      <c r="AQ190" s="115" t="e">
        <f t="shared" si="336"/>
        <v>#VALUE!</v>
      </c>
      <c r="AR190" s="115" t="e">
        <f t="shared" si="336"/>
        <v>#VALUE!</v>
      </c>
      <c r="AS190" s="115" t="e">
        <f t="shared" si="336"/>
        <v>#VALUE!</v>
      </c>
      <c r="AT190" s="115" t="e">
        <f t="shared" ref="AT190:BC192" si="337">IF($N190&lt;&gt;1,$G190*($N190^$K190)*(($N190^($K190*INT(AT$2/$K190))-1)/($N190^$K190-1)),$G190*INT(AT$2/$K190))</f>
        <v>#VALUE!</v>
      </c>
      <c r="AU190" s="115" t="e">
        <f t="shared" si="337"/>
        <v>#VALUE!</v>
      </c>
      <c r="AV190" s="115" t="e">
        <f t="shared" si="337"/>
        <v>#VALUE!</v>
      </c>
      <c r="AW190" s="115" t="e">
        <f t="shared" si="337"/>
        <v>#VALUE!</v>
      </c>
      <c r="AX190" s="115" t="e">
        <f t="shared" si="337"/>
        <v>#VALUE!</v>
      </c>
      <c r="AY190" s="115" t="e">
        <f t="shared" si="337"/>
        <v>#VALUE!</v>
      </c>
      <c r="AZ190" s="115" t="e">
        <f t="shared" si="337"/>
        <v>#VALUE!</v>
      </c>
      <c r="BA190" s="115" t="e">
        <f t="shared" si="337"/>
        <v>#VALUE!</v>
      </c>
      <c r="BB190" s="115" t="e">
        <f t="shared" si="337"/>
        <v>#VALUE!</v>
      </c>
      <c r="BC190" s="115" t="e">
        <f t="shared" si="337"/>
        <v>#VALUE!</v>
      </c>
      <c r="BD190" s="115" t="e">
        <f t="shared" ref="BD190:BM192" si="338">IF($N190&lt;&gt;1,$G190*($N190^$K190)*(($N190^($K190*INT(BD$2/$K190))-1)/($N190^$K190-1)),$G190*INT(BD$2/$K190))</f>
        <v>#VALUE!</v>
      </c>
      <c r="BE190" s="115" t="e">
        <f t="shared" si="338"/>
        <v>#VALUE!</v>
      </c>
      <c r="BF190" s="115" t="e">
        <f t="shared" si="338"/>
        <v>#VALUE!</v>
      </c>
      <c r="BG190" s="115" t="e">
        <f t="shared" si="338"/>
        <v>#VALUE!</v>
      </c>
      <c r="BH190" s="115" t="e">
        <f t="shared" si="338"/>
        <v>#VALUE!</v>
      </c>
      <c r="BI190" s="115" t="e">
        <f t="shared" si="338"/>
        <v>#VALUE!</v>
      </c>
      <c r="BJ190" s="115" t="e">
        <f t="shared" si="338"/>
        <v>#VALUE!</v>
      </c>
      <c r="BK190" s="115" t="e">
        <f t="shared" si="338"/>
        <v>#VALUE!</v>
      </c>
      <c r="BL190" s="115" t="e">
        <f t="shared" si="338"/>
        <v>#VALUE!</v>
      </c>
      <c r="BM190" s="115" t="e">
        <f t="shared" si="338"/>
        <v>#VALUE!</v>
      </c>
      <c r="BN190" s="115" t="e">
        <f t="shared" ref="BN190:BW192" si="339">IF($N190&lt;&gt;1,$G190*($N190^$K190)*(($N190^($K190*INT(BN$2/$K190))-1)/($N190^$K190-1)),$G190*INT(BN$2/$K190))</f>
        <v>#VALUE!</v>
      </c>
      <c r="BO190" s="115" t="e">
        <f t="shared" si="339"/>
        <v>#VALUE!</v>
      </c>
      <c r="BP190" s="115" t="e">
        <f t="shared" si="339"/>
        <v>#VALUE!</v>
      </c>
      <c r="BQ190" s="115" t="e">
        <f t="shared" si="339"/>
        <v>#VALUE!</v>
      </c>
      <c r="BR190" s="115" t="e">
        <f t="shared" si="339"/>
        <v>#VALUE!</v>
      </c>
      <c r="BS190" s="115" t="e">
        <f t="shared" si="339"/>
        <v>#VALUE!</v>
      </c>
      <c r="BT190" s="115" t="e">
        <f t="shared" si="339"/>
        <v>#VALUE!</v>
      </c>
      <c r="BU190" s="115" t="e">
        <f t="shared" si="339"/>
        <v>#VALUE!</v>
      </c>
      <c r="BV190" s="115" t="e">
        <f t="shared" si="339"/>
        <v>#VALUE!</v>
      </c>
      <c r="BW190" s="115" t="e">
        <f t="shared" si="339"/>
        <v>#VALUE!</v>
      </c>
      <c r="BX190" s="115" t="e">
        <f t="shared" ref="BX190:CG192" si="340">IF($N190&lt;&gt;1,$G190*($N190^$K190)*(($N190^($K190*INT(BX$2/$K190))-1)/($N190^$K190-1)),$G190*INT(BX$2/$K190))</f>
        <v>#VALUE!</v>
      </c>
      <c r="BY190" s="115" t="e">
        <f t="shared" si="340"/>
        <v>#VALUE!</v>
      </c>
      <c r="BZ190" s="115" t="e">
        <f t="shared" si="340"/>
        <v>#VALUE!</v>
      </c>
      <c r="CA190" s="115" t="e">
        <f t="shared" si="340"/>
        <v>#VALUE!</v>
      </c>
      <c r="CB190" s="115" t="e">
        <f t="shared" si="340"/>
        <v>#VALUE!</v>
      </c>
      <c r="CC190" s="115" t="e">
        <f t="shared" si="340"/>
        <v>#VALUE!</v>
      </c>
      <c r="CD190" s="115" t="e">
        <f t="shared" si="340"/>
        <v>#VALUE!</v>
      </c>
      <c r="CE190" s="115" t="e">
        <f t="shared" si="340"/>
        <v>#VALUE!</v>
      </c>
      <c r="CF190" s="115" t="e">
        <f t="shared" si="340"/>
        <v>#VALUE!</v>
      </c>
      <c r="CG190" s="115" t="e">
        <f t="shared" si="340"/>
        <v>#VALUE!</v>
      </c>
      <c r="CH190" s="115" t="e">
        <f t="shared" ref="CH190:CQ192" si="341">IF($N190&lt;&gt;1,$G190*($N190^$K190)*(($N190^($K190*INT(CH$2/$K190))-1)/($N190^$K190-1)),$G190*INT(CH$2/$K190))</f>
        <v>#VALUE!</v>
      </c>
      <c r="CI190" s="115" t="e">
        <f t="shared" si="341"/>
        <v>#VALUE!</v>
      </c>
      <c r="CJ190" s="115" t="e">
        <f t="shared" si="341"/>
        <v>#VALUE!</v>
      </c>
      <c r="CK190" s="115" t="e">
        <f t="shared" si="341"/>
        <v>#VALUE!</v>
      </c>
      <c r="CL190" s="115" t="e">
        <f t="shared" si="341"/>
        <v>#VALUE!</v>
      </c>
      <c r="CM190" s="115" t="e">
        <f t="shared" si="341"/>
        <v>#VALUE!</v>
      </c>
      <c r="CN190" s="115" t="e">
        <f t="shared" si="341"/>
        <v>#VALUE!</v>
      </c>
      <c r="CO190" s="115" t="e">
        <f t="shared" si="341"/>
        <v>#VALUE!</v>
      </c>
      <c r="CP190" s="115" t="e">
        <f t="shared" si="341"/>
        <v>#VALUE!</v>
      </c>
      <c r="CQ190" s="115" t="e">
        <f t="shared" si="341"/>
        <v>#VALUE!</v>
      </c>
      <c r="CR190" s="115" t="e">
        <f t="shared" ref="CR190:DA192" si="342">IF($N190&lt;&gt;1,$G190*($N190^$K190)*(($N190^($K190*INT(CR$2/$K190))-1)/($N190^$K190-1)),$G190*INT(CR$2/$K190))</f>
        <v>#VALUE!</v>
      </c>
      <c r="CS190" s="115" t="e">
        <f t="shared" si="342"/>
        <v>#VALUE!</v>
      </c>
      <c r="CT190" s="115" t="e">
        <f t="shared" si="342"/>
        <v>#VALUE!</v>
      </c>
      <c r="CU190" s="115" t="e">
        <f t="shared" si="342"/>
        <v>#VALUE!</v>
      </c>
      <c r="CV190" s="115" t="e">
        <f t="shared" si="342"/>
        <v>#VALUE!</v>
      </c>
      <c r="CW190" s="115" t="e">
        <f t="shared" si="342"/>
        <v>#VALUE!</v>
      </c>
      <c r="CX190" s="115" t="e">
        <f t="shared" si="342"/>
        <v>#VALUE!</v>
      </c>
      <c r="CY190" s="115" t="e">
        <f t="shared" si="342"/>
        <v>#VALUE!</v>
      </c>
      <c r="CZ190" s="115" t="e">
        <f t="shared" si="342"/>
        <v>#VALUE!</v>
      </c>
      <c r="DA190" s="115" t="e">
        <f t="shared" si="342"/>
        <v>#VALUE!</v>
      </c>
      <c r="DB190" s="115" t="e">
        <f t="shared" ref="DB190:DM192" si="343">IF($N190&lt;&gt;1,$G190*($N190^$K190)*(($N190^($K190*INT(DB$2/$K190))-1)/($N190^$K190-1)),$G190*INT(DB$2/$K190))</f>
        <v>#VALUE!</v>
      </c>
      <c r="DC190" s="115" t="e">
        <f t="shared" si="343"/>
        <v>#VALUE!</v>
      </c>
      <c r="DD190" s="115" t="e">
        <f t="shared" si="343"/>
        <v>#VALUE!</v>
      </c>
      <c r="DE190" s="115" t="e">
        <f t="shared" si="343"/>
        <v>#VALUE!</v>
      </c>
      <c r="DF190" s="115" t="e">
        <f t="shared" si="343"/>
        <v>#VALUE!</v>
      </c>
      <c r="DG190" s="115" t="e">
        <f t="shared" si="343"/>
        <v>#VALUE!</v>
      </c>
      <c r="DH190" s="115" t="e">
        <f t="shared" si="343"/>
        <v>#VALUE!</v>
      </c>
      <c r="DI190" s="115" t="e">
        <f t="shared" si="343"/>
        <v>#VALUE!</v>
      </c>
      <c r="DJ190" s="115" t="e">
        <f t="shared" si="343"/>
        <v>#VALUE!</v>
      </c>
      <c r="DK190" s="115" t="e">
        <f t="shared" si="343"/>
        <v>#VALUE!</v>
      </c>
      <c r="DL190" s="115" t="e">
        <f t="shared" si="343"/>
        <v>#VALUE!</v>
      </c>
      <c r="DM190" s="115" t="e">
        <f t="shared" si="343"/>
        <v>#VALUE!</v>
      </c>
    </row>
    <row r="191" spans="1:117" ht="15" customHeight="1" thickBot="1">
      <c r="A191" s="55">
        <v>20400</v>
      </c>
      <c r="B191" s="194" t="s">
        <v>728</v>
      </c>
      <c r="C191" s="194" t="s">
        <v>963</v>
      </c>
      <c r="D191" s="194" t="s">
        <v>664</v>
      </c>
      <c r="E191" s="194"/>
      <c r="F191" s="194" t="s">
        <v>712</v>
      </c>
      <c r="G191" s="291">
        <f t="shared" si="333"/>
        <v>0</v>
      </c>
      <c r="H191" s="292">
        <f>VLOOKUP("AB_ENTS_GESAMT",Abbruch_Entsorgung,5,0)</f>
        <v>0</v>
      </c>
      <c r="I191" s="168"/>
      <c r="J191" s="194" t="s">
        <v>103</v>
      </c>
      <c r="K191" s="385">
        <f>VLOOKUP("LEBENT",Allgemeine_Angaben,5,0)</f>
        <v>30</v>
      </c>
      <c r="L191" s="379" t="s">
        <v>356</v>
      </c>
      <c r="M191" s="325">
        <f>VLOOKUP(L191,Finanzielle_Parameter,5,0)</f>
        <v>2.77</v>
      </c>
      <c r="N191" s="380">
        <f>(1+VLOOKUP(L191,Finanzielle_Parameter,5,0)/100)/(1+VLOOKUP("R",Finanzielle_Parameter,5,0)/100)</f>
        <v>1.0105211406096364</v>
      </c>
      <c r="O191" s="381">
        <f t="shared" si="334"/>
        <v>0</v>
      </c>
      <c r="P191" s="169" t="s">
        <v>103</v>
      </c>
      <c r="Q191" s="114">
        <f t="shared" si="334"/>
        <v>0</v>
      </c>
      <c r="R191" s="115">
        <f t="shared" si="334"/>
        <v>0</v>
      </c>
      <c r="S191" s="115">
        <f t="shared" si="334"/>
        <v>0</v>
      </c>
      <c r="T191" s="115">
        <f t="shared" si="334"/>
        <v>0</v>
      </c>
      <c r="U191" s="115">
        <f t="shared" si="334"/>
        <v>0</v>
      </c>
      <c r="V191" s="115">
        <f t="shared" si="334"/>
        <v>0</v>
      </c>
      <c r="W191" s="115">
        <f t="shared" si="334"/>
        <v>0</v>
      </c>
      <c r="X191" s="115">
        <f t="shared" si="334"/>
        <v>0</v>
      </c>
      <c r="Y191" s="115">
        <f t="shared" si="334"/>
        <v>0</v>
      </c>
      <c r="Z191" s="115">
        <f t="shared" si="335"/>
        <v>0</v>
      </c>
      <c r="AA191" s="115">
        <f t="shared" si="335"/>
        <v>0</v>
      </c>
      <c r="AB191" s="115">
        <f t="shared" si="335"/>
        <v>0</v>
      </c>
      <c r="AC191" s="115">
        <f t="shared" si="335"/>
        <v>0</v>
      </c>
      <c r="AD191" s="115">
        <f t="shared" si="335"/>
        <v>0</v>
      </c>
      <c r="AE191" s="115">
        <f t="shared" si="335"/>
        <v>0</v>
      </c>
      <c r="AF191" s="115">
        <f t="shared" si="335"/>
        <v>0</v>
      </c>
      <c r="AG191" s="115">
        <f t="shared" si="335"/>
        <v>0</v>
      </c>
      <c r="AH191" s="115">
        <f t="shared" si="335"/>
        <v>0</v>
      </c>
      <c r="AI191" s="115">
        <f t="shared" si="335"/>
        <v>0</v>
      </c>
      <c r="AJ191" s="115">
        <f t="shared" si="336"/>
        <v>0</v>
      </c>
      <c r="AK191" s="115">
        <f t="shared" si="336"/>
        <v>0</v>
      </c>
      <c r="AL191" s="115">
        <f t="shared" si="336"/>
        <v>0</v>
      </c>
      <c r="AM191" s="115">
        <f t="shared" si="336"/>
        <v>0</v>
      </c>
      <c r="AN191" s="115">
        <f t="shared" si="336"/>
        <v>0</v>
      </c>
      <c r="AO191" s="115">
        <f t="shared" si="336"/>
        <v>0</v>
      </c>
      <c r="AP191" s="115">
        <f t="shared" si="336"/>
        <v>0</v>
      </c>
      <c r="AQ191" s="115">
        <f t="shared" si="336"/>
        <v>0</v>
      </c>
      <c r="AR191" s="115">
        <f t="shared" si="336"/>
        <v>0</v>
      </c>
      <c r="AS191" s="115">
        <f t="shared" si="336"/>
        <v>0</v>
      </c>
      <c r="AT191" s="115">
        <f t="shared" si="337"/>
        <v>0</v>
      </c>
      <c r="AU191" s="115">
        <f t="shared" si="337"/>
        <v>0</v>
      </c>
      <c r="AV191" s="115" t="e">
        <f t="shared" si="337"/>
        <v>#VALUE!</v>
      </c>
      <c r="AW191" s="115" t="e">
        <f t="shared" si="337"/>
        <v>#VALUE!</v>
      </c>
      <c r="AX191" s="115" t="e">
        <f t="shared" si="337"/>
        <v>#VALUE!</v>
      </c>
      <c r="AY191" s="115" t="e">
        <f t="shared" si="337"/>
        <v>#VALUE!</v>
      </c>
      <c r="AZ191" s="115" t="e">
        <f t="shared" si="337"/>
        <v>#VALUE!</v>
      </c>
      <c r="BA191" s="115" t="e">
        <f t="shared" si="337"/>
        <v>#VALUE!</v>
      </c>
      <c r="BB191" s="115" t="e">
        <f t="shared" si="337"/>
        <v>#VALUE!</v>
      </c>
      <c r="BC191" s="115" t="e">
        <f t="shared" si="337"/>
        <v>#VALUE!</v>
      </c>
      <c r="BD191" s="115" t="e">
        <f t="shared" si="338"/>
        <v>#VALUE!</v>
      </c>
      <c r="BE191" s="115" t="e">
        <f t="shared" si="338"/>
        <v>#VALUE!</v>
      </c>
      <c r="BF191" s="115" t="e">
        <f t="shared" si="338"/>
        <v>#VALUE!</v>
      </c>
      <c r="BG191" s="115" t="e">
        <f t="shared" si="338"/>
        <v>#VALUE!</v>
      </c>
      <c r="BH191" s="115" t="e">
        <f t="shared" si="338"/>
        <v>#VALUE!</v>
      </c>
      <c r="BI191" s="115" t="e">
        <f t="shared" si="338"/>
        <v>#VALUE!</v>
      </c>
      <c r="BJ191" s="115" t="e">
        <f t="shared" si="338"/>
        <v>#VALUE!</v>
      </c>
      <c r="BK191" s="115" t="e">
        <f t="shared" si="338"/>
        <v>#VALUE!</v>
      </c>
      <c r="BL191" s="115" t="e">
        <f t="shared" si="338"/>
        <v>#VALUE!</v>
      </c>
      <c r="BM191" s="115" t="e">
        <f t="shared" si="338"/>
        <v>#VALUE!</v>
      </c>
      <c r="BN191" s="115" t="e">
        <f t="shared" si="339"/>
        <v>#VALUE!</v>
      </c>
      <c r="BO191" s="115" t="e">
        <f t="shared" si="339"/>
        <v>#VALUE!</v>
      </c>
      <c r="BP191" s="115" t="e">
        <f t="shared" si="339"/>
        <v>#VALUE!</v>
      </c>
      <c r="BQ191" s="115" t="e">
        <f t="shared" si="339"/>
        <v>#VALUE!</v>
      </c>
      <c r="BR191" s="115" t="e">
        <f t="shared" si="339"/>
        <v>#VALUE!</v>
      </c>
      <c r="BS191" s="115" t="e">
        <f t="shared" si="339"/>
        <v>#VALUE!</v>
      </c>
      <c r="BT191" s="115" t="e">
        <f t="shared" si="339"/>
        <v>#VALUE!</v>
      </c>
      <c r="BU191" s="115" t="e">
        <f t="shared" si="339"/>
        <v>#VALUE!</v>
      </c>
      <c r="BV191" s="115" t="e">
        <f t="shared" si="339"/>
        <v>#VALUE!</v>
      </c>
      <c r="BW191" s="115" t="e">
        <f t="shared" si="339"/>
        <v>#VALUE!</v>
      </c>
      <c r="BX191" s="115" t="e">
        <f t="shared" si="340"/>
        <v>#VALUE!</v>
      </c>
      <c r="BY191" s="115" t="e">
        <f t="shared" si="340"/>
        <v>#VALUE!</v>
      </c>
      <c r="BZ191" s="115" t="e">
        <f t="shared" si="340"/>
        <v>#VALUE!</v>
      </c>
      <c r="CA191" s="115" t="e">
        <f t="shared" si="340"/>
        <v>#VALUE!</v>
      </c>
      <c r="CB191" s="115" t="e">
        <f t="shared" si="340"/>
        <v>#VALUE!</v>
      </c>
      <c r="CC191" s="115" t="e">
        <f t="shared" si="340"/>
        <v>#VALUE!</v>
      </c>
      <c r="CD191" s="115" t="e">
        <f t="shared" si="340"/>
        <v>#VALUE!</v>
      </c>
      <c r="CE191" s="115" t="e">
        <f t="shared" si="340"/>
        <v>#VALUE!</v>
      </c>
      <c r="CF191" s="115" t="e">
        <f t="shared" si="340"/>
        <v>#VALUE!</v>
      </c>
      <c r="CG191" s="115" t="e">
        <f t="shared" si="340"/>
        <v>#VALUE!</v>
      </c>
      <c r="CH191" s="115" t="e">
        <f t="shared" si="341"/>
        <v>#VALUE!</v>
      </c>
      <c r="CI191" s="115" t="e">
        <f t="shared" si="341"/>
        <v>#VALUE!</v>
      </c>
      <c r="CJ191" s="115" t="e">
        <f t="shared" si="341"/>
        <v>#VALUE!</v>
      </c>
      <c r="CK191" s="115" t="e">
        <f t="shared" si="341"/>
        <v>#VALUE!</v>
      </c>
      <c r="CL191" s="115" t="e">
        <f t="shared" si="341"/>
        <v>#VALUE!</v>
      </c>
      <c r="CM191" s="115" t="e">
        <f t="shared" si="341"/>
        <v>#VALUE!</v>
      </c>
      <c r="CN191" s="115" t="e">
        <f t="shared" si="341"/>
        <v>#VALUE!</v>
      </c>
      <c r="CO191" s="115" t="e">
        <f t="shared" si="341"/>
        <v>#VALUE!</v>
      </c>
      <c r="CP191" s="115" t="e">
        <f t="shared" si="341"/>
        <v>#VALUE!</v>
      </c>
      <c r="CQ191" s="115" t="e">
        <f t="shared" si="341"/>
        <v>#VALUE!</v>
      </c>
      <c r="CR191" s="115" t="e">
        <f t="shared" si="342"/>
        <v>#VALUE!</v>
      </c>
      <c r="CS191" s="115" t="e">
        <f t="shared" si="342"/>
        <v>#VALUE!</v>
      </c>
      <c r="CT191" s="115" t="e">
        <f t="shared" si="342"/>
        <v>#VALUE!</v>
      </c>
      <c r="CU191" s="115" t="e">
        <f t="shared" si="342"/>
        <v>#VALUE!</v>
      </c>
      <c r="CV191" s="115" t="e">
        <f t="shared" si="342"/>
        <v>#VALUE!</v>
      </c>
      <c r="CW191" s="115" t="e">
        <f t="shared" si="342"/>
        <v>#VALUE!</v>
      </c>
      <c r="CX191" s="115" t="e">
        <f t="shared" si="342"/>
        <v>#VALUE!</v>
      </c>
      <c r="CY191" s="115" t="e">
        <f t="shared" si="342"/>
        <v>#VALUE!</v>
      </c>
      <c r="CZ191" s="115" t="e">
        <f t="shared" si="342"/>
        <v>#VALUE!</v>
      </c>
      <c r="DA191" s="115" t="e">
        <f t="shared" si="342"/>
        <v>#VALUE!</v>
      </c>
      <c r="DB191" s="115" t="e">
        <f t="shared" si="343"/>
        <v>#VALUE!</v>
      </c>
      <c r="DC191" s="115" t="e">
        <f t="shared" si="343"/>
        <v>#VALUE!</v>
      </c>
      <c r="DD191" s="115" t="e">
        <f t="shared" si="343"/>
        <v>#VALUE!</v>
      </c>
      <c r="DE191" s="115" t="e">
        <f t="shared" si="343"/>
        <v>#VALUE!</v>
      </c>
      <c r="DF191" s="115" t="e">
        <f t="shared" si="343"/>
        <v>#VALUE!</v>
      </c>
      <c r="DG191" s="115" t="e">
        <f t="shared" si="343"/>
        <v>#VALUE!</v>
      </c>
      <c r="DH191" s="115" t="e">
        <f t="shared" si="343"/>
        <v>#VALUE!</v>
      </c>
      <c r="DI191" s="115" t="e">
        <f t="shared" si="343"/>
        <v>#VALUE!</v>
      </c>
      <c r="DJ191" s="115" t="e">
        <f t="shared" si="343"/>
        <v>#VALUE!</v>
      </c>
      <c r="DK191" s="115" t="e">
        <f t="shared" si="343"/>
        <v>#VALUE!</v>
      </c>
      <c r="DL191" s="115" t="e">
        <f t="shared" si="343"/>
        <v>#VALUE!</v>
      </c>
      <c r="DM191" s="115" t="e">
        <f t="shared" si="343"/>
        <v>#VALUE!</v>
      </c>
    </row>
    <row r="192" spans="1:117" ht="15" customHeight="1" thickBot="1">
      <c r="A192" s="55">
        <v>20500</v>
      </c>
      <c r="B192" s="194" t="s">
        <v>728</v>
      </c>
      <c r="C192" s="194" t="s">
        <v>964</v>
      </c>
      <c r="D192" s="194" t="s">
        <v>715</v>
      </c>
      <c r="E192" s="194"/>
      <c r="F192" s="194" t="s">
        <v>965</v>
      </c>
      <c r="G192" s="291">
        <f t="shared" si="333"/>
        <v>0</v>
      </c>
      <c r="H192" s="292">
        <f>VLOOKUP("HVZm2",Abbruch_Entsorgung,5,0)*VLOOKUP("BEFAF",Objektkenndaten,5,0)</f>
        <v>0</v>
      </c>
      <c r="I192" s="168"/>
      <c r="J192" s="194" t="s">
        <v>103</v>
      </c>
      <c r="K192" s="385">
        <f>VLOOKUP("LEBENT",Allgemeine_Angaben,5,0)</f>
        <v>30</v>
      </c>
      <c r="L192" s="379" t="s">
        <v>356</v>
      </c>
      <c r="M192" s="325">
        <f>VLOOKUP(L192,Finanzielle_Parameter,5,0)</f>
        <v>2.77</v>
      </c>
      <c r="N192" s="380">
        <f>(1+VLOOKUP(L192,Finanzielle_Parameter,5,0)/100)/(1+VLOOKUP("R",Finanzielle_Parameter,5,0)/100)</f>
        <v>1.0105211406096364</v>
      </c>
      <c r="O192" s="381">
        <f t="shared" si="334"/>
        <v>0</v>
      </c>
      <c r="P192" s="169" t="s">
        <v>103</v>
      </c>
      <c r="Q192" s="114">
        <f t="shared" si="334"/>
        <v>0</v>
      </c>
      <c r="R192" s="115">
        <f t="shared" si="334"/>
        <v>0</v>
      </c>
      <c r="S192" s="115">
        <f t="shared" si="334"/>
        <v>0</v>
      </c>
      <c r="T192" s="115">
        <f t="shared" si="334"/>
        <v>0</v>
      </c>
      <c r="U192" s="115">
        <f t="shared" si="334"/>
        <v>0</v>
      </c>
      <c r="V192" s="115">
        <f t="shared" si="334"/>
        <v>0</v>
      </c>
      <c r="W192" s="115">
        <f t="shared" si="334"/>
        <v>0</v>
      </c>
      <c r="X192" s="115">
        <f t="shared" si="334"/>
        <v>0</v>
      </c>
      <c r="Y192" s="115">
        <f t="shared" si="334"/>
        <v>0</v>
      </c>
      <c r="Z192" s="115">
        <f t="shared" si="335"/>
        <v>0</v>
      </c>
      <c r="AA192" s="115">
        <f t="shared" si="335"/>
        <v>0</v>
      </c>
      <c r="AB192" s="115">
        <f t="shared" si="335"/>
        <v>0</v>
      </c>
      <c r="AC192" s="115">
        <f t="shared" si="335"/>
        <v>0</v>
      </c>
      <c r="AD192" s="115">
        <f t="shared" si="335"/>
        <v>0</v>
      </c>
      <c r="AE192" s="115">
        <f t="shared" si="335"/>
        <v>0</v>
      </c>
      <c r="AF192" s="115">
        <f t="shared" si="335"/>
        <v>0</v>
      </c>
      <c r="AG192" s="115">
        <f t="shared" si="335"/>
        <v>0</v>
      </c>
      <c r="AH192" s="115">
        <f t="shared" si="335"/>
        <v>0</v>
      </c>
      <c r="AI192" s="115">
        <f t="shared" si="335"/>
        <v>0</v>
      </c>
      <c r="AJ192" s="115">
        <f t="shared" si="336"/>
        <v>0</v>
      </c>
      <c r="AK192" s="115">
        <f t="shared" si="336"/>
        <v>0</v>
      </c>
      <c r="AL192" s="115">
        <f t="shared" si="336"/>
        <v>0</v>
      </c>
      <c r="AM192" s="115">
        <f t="shared" si="336"/>
        <v>0</v>
      </c>
      <c r="AN192" s="115">
        <f t="shared" si="336"/>
        <v>0</v>
      </c>
      <c r="AO192" s="115">
        <f t="shared" si="336"/>
        <v>0</v>
      </c>
      <c r="AP192" s="115">
        <f t="shared" si="336"/>
        <v>0</v>
      </c>
      <c r="AQ192" s="115">
        <f t="shared" si="336"/>
        <v>0</v>
      </c>
      <c r="AR192" s="115">
        <f t="shared" si="336"/>
        <v>0</v>
      </c>
      <c r="AS192" s="115">
        <f t="shared" si="336"/>
        <v>0</v>
      </c>
      <c r="AT192" s="115">
        <f t="shared" si="337"/>
        <v>0</v>
      </c>
      <c r="AU192" s="115">
        <f t="shared" si="337"/>
        <v>0</v>
      </c>
      <c r="AV192" s="115" t="e">
        <f t="shared" si="337"/>
        <v>#VALUE!</v>
      </c>
      <c r="AW192" s="115" t="e">
        <f t="shared" si="337"/>
        <v>#VALUE!</v>
      </c>
      <c r="AX192" s="115" t="e">
        <f t="shared" si="337"/>
        <v>#VALUE!</v>
      </c>
      <c r="AY192" s="115" t="e">
        <f t="shared" si="337"/>
        <v>#VALUE!</v>
      </c>
      <c r="AZ192" s="115" t="e">
        <f t="shared" si="337"/>
        <v>#VALUE!</v>
      </c>
      <c r="BA192" s="115" t="e">
        <f t="shared" si="337"/>
        <v>#VALUE!</v>
      </c>
      <c r="BB192" s="115" t="e">
        <f t="shared" si="337"/>
        <v>#VALUE!</v>
      </c>
      <c r="BC192" s="115" t="e">
        <f t="shared" si="337"/>
        <v>#VALUE!</v>
      </c>
      <c r="BD192" s="115" t="e">
        <f t="shared" si="338"/>
        <v>#VALUE!</v>
      </c>
      <c r="BE192" s="115" t="e">
        <f t="shared" si="338"/>
        <v>#VALUE!</v>
      </c>
      <c r="BF192" s="115" t="e">
        <f t="shared" si="338"/>
        <v>#VALUE!</v>
      </c>
      <c r="BG192" s="115" t="e">
        <f t="shared" si="338"/>
        <v>#VALUE!</v>
      </c>
      <c r="BH192" s="115" t="e">
        <f t="shared" si="338"/>
        <v>#VALUE!</v>
      </c>
      <c r="BI192" s="115" t="e">
        <f t="shared" si="338"/>
        <v>#VALUE!</v>
      </c>
      <c r="BJ192" s="115" t="e">
        <f t="shared" si="338"/>
        <v>#VALUE!</v>
      </c>
      <c r="BK192" s="115" t="e">
        <f t="shared" si="338"/>
        <v>#VALUE!</v>
      </c>
      <c r="BL192" s="115" t="e">
        <f t="shared" si="338"/>
        <v>#VALUE!</v>
      </c>
      <c r="BM192" s="115" t="e">
        <f t="shared" si="338"/>
        <v>#VALUE!</v>
      </c>
      <c r="BN192" s="115" t="e">
        <f t="shared" si="339"/>
        <v>#VALUE!</v>
      </c>
      <c r="BO192" s="115" t="e">
        <f t="shared" si="339"/>
        <v>#VALUE!</v>
      </c>
      <c r="BP192" s="115" t="e">
        <f t="shared" si="339"/>
        <v>#VALUE!</v>
      </c>
      <c r="BQ192" s="115" t="e">
        <f t="shared" si="339"/>
        <v>#VALUE!</v>
      </c>
      <c r="BR192" s="115" t="e">
        <f t="shared" si="339"/>
        <v>#VALUE!</v>
      </c>
      <c r="BS192" s="115" t="e">
        <f t="shared" si="339"/>
        <v>#VALUE!</v>
      </c>
      <c r="BT192" s="115" t="e">
        <f t="shared" si="339"/>
        <v>#VALUE!</v>
      </c>
      <c r="BU192" s="115" t="e">
        <f t="shared" si="339"/>
        <v>#VALUE!</v>
      </c>
      <c r="BV192" s="115" t="e">
        <f t="shared" si="339"/>
        <v>#VALUE!</v>
      </c>
      <c r="BW192" s="115" t="e">
        <f t="shared" si="339"/>
        <v>#VALUE!</v>
      </c>
      <c r="BX192" s="115" t="e">
        <f t="shared" si="340"/>
        <v>#VALUE!</v>
      </c>
      <c r="BY192" s="115" t="e">
        <f t="shared" si="340"/>
        <v>#VALUE!</v>
      </c>
      <c r="BZ192" s="115" t="e">
        <f t="shared" si="340"/>
        <v>#VALUE!</v>
      </c>
      <c r="CA192" s="115" t="e">
        <f t="shared" si="340"/>
        <v>#VALUE!</v>
      </c>
      <c r="CB192" s="115" t="e">
        <f t="shared" si="340"/>
        <v>#VALUE!</v>
      </c>
      <c r="CC192" s="115" t="e">
        <f t="shared" si="340"/>
        <v>#VALUE!</v>
      </c>
      <c r="CD192" s="115" t="e">
        <f t="shared" si="340"/>
        <v>#VALUE!</v>
      </c>
      <c r="CE192" s="115" t="e">
        <f t="shared" si="340"/>
        <v>#VALUE!</v>
      </c>
      <c r="CF192" s="115" t="e">
        <f t="shared" si="340"/>
        <v>#VALUE!</v>
      </c>
      <c r="CG192" s="115" t="e">
        <f t="shared" si="340"/>
        <v>#VALUE!</v>
      </c>
      <c r="CH192" s="115" t="e">
        <f t="shared" si="341"/>
        <v>#VALUE!</v>
      </c>
      <c r="CI192" s="115" t="e">
        <f t="shared" si="341"/>
        <v>#VALUE!</v>
      </c>
      <c r="CJ192" s="115" t="e">
        <f t="shared" si="341"/>
        <v>#VALUE!</v>
      </c>
      <c r="CK192" s="115" t="e">
        <f t="shared" si="341"/>
        <v>#VALUE!</v>
      </c>
      <c r="CL192" s="115" t="e">
        <f t="shared" si="341"/>
        <v>#VALUE!</v>
      </c>
      <c r="CM192" s="115" t="e">
        <f t="shared" si="341"/>
        <v>#VALUE!</v>
      </c>
      <c r="CN192" s="115" t="e">
        <f t="shared" si="341"/>
        <v>#VALUE!</v>
      </c>
      <c r="CO192" s="115" t="e">
        <f t="shared" si="341"/>
        <v>#VALUE!</v>
      </c>
      <c r="CP192" s="115" t="e">
        <f t="shared" si="341"/>
        <v>#VALUE!</v>
      </c>
      <c r="CQ192" s="115" t="e">
        <f t="shared" si="341"/>
        <v>#VALUE!</v>
      </c>
      <c r="CR192" s="115" t="e">
        <f t="shared" si="342"/>
        <v>#VALUE!</v>
      </c>
      <c r="CS192" s="115" t="e">
        <f t="shared" si="342"/>
        <v>#VALUE!</v>
      </c>
      <c r="CT192" s="115" t="e">
        <f t="shared" si="342"/>
        <v>#VALUE!</v>
      </c>
      <c r="CU192" s="115" t="e">
        <f t="shared" si="342"/>
        <v>#VALUE!</v>
      </c>
      <c r="CV192" s="115" t="e">
        <f t="shared" si="342"/>
        <v>#VALUE!</v>
      </c>
      <c r="CW192" s="115" t="e">
        <f t="shared" si="342"/>
        <v>#VALUE!</v>
      </c>
      <c r="CX192" s="115" t="e">
        <f t="shared" si="342"/>
        <v>#VALUE!</v>
      </c>
      <c r="CY192" s="115" t="e">
        <f t="shared" si="342"/>
        <v>#VALUE!</v>
      </c>
      <c r="CZ192" s="115" t="e">
        <f t="shared" si="342"/>
        <v>#VALUE!</v>
      </c>
      <c r="DA192" s="115" t="e">
        <f t="shared" si="342"/>
        <v>#VALUE!</v>
      </c>
      <c r="DB192" s="115" t="e">
        <f t="shared" si="343"/>
        <v>#VALUE!</v>
      </c>
      <c r="DC192" s="115" t="e">
        <f t="shared" si="343"/>
        <v>#VALUE!</v>
      </c>
      <c r="DD192" s="115" t="e">
        <f t="shared" si="343"/>
        <v>#VALUE!</v>
      </c>
      <c r="DE192" s="115" t="e">
        <f t="shared" si="343"/>
        <v>#VALUE!</v>
      </c>
      <c r="DF192" s="115" t="e">
        <f t="shared" si="343"/>
        <v>#VALUE!</v>
      </c>
      <c r="DG192" s="115" t="e">
        <f t="shared" si="343"/>
        <v>#VALUE!</v>
      </c>
      <c r="DH192" s="115" t="e">
        <f t="shared" si="343"/>
        <v>#VALUE!</v>
      </c>
      <c r="DI192" s="115" t="e">
        <f t="shared" si="343"/>
        <v>#VALUE!</v>
      </c>
      <c r="DJ192" s="115" t="e">
        <f t="shared" si="343"/>
        <v>#VALUE!</v>
      </c>
      <c r="DK192" s="115" t="e">
        <f t="shared" si="343"/>
        <v>#VALUE!</v>
      </c>
      <c r="DL192" s="115" t="e">
        <f t="shared" si="343"/>
        <v>#VALUE!</v>
      </c>
      <c r="DM192" s="115" t="e">
        <f t="shared" si="343"/>
        <v>#VALUE!</v>
      </c>
    </row>
    <row r="193" spans="1:117" ht="15" customHeight="1" thickTop="1" thickBot="1">
      <c r="A193" s="293">
        <v>20600</v>
      </c>
      <c r="B193" s="172" t="s">
        <v>721</v>
      </c>
      <c r="C193" s="172"/>
      <c r="D193" s="172" t="s">
        <v>485</v>
      </c>
      <c r="E193" s="172"/>
      <c r="F193" s="172"/>
      <c r="G193" s="623" t="s">
        <v>2647</v>
      </c>
      <c r="H193" s="623"/>
      <c r="I193" s="623"/>
      <c r="J193" s="623"/>
      <c r="K193" s="373"/>
      <c r="L193" s="613" t="s">
        <v>1537</v>
      </c>
      <c r="M193" s="613"/>
      <c r="N193" s="613"/>
      <c r="O193" s="376"/>
      <c r="P193" s="384" t="s">
        <v>103</v>
      </c>
      <c r="Q193" s="116"/>
      <c r="R193" s="116"/>
      <c r="S193" s="116"/>
      <c r="T193" s="116"/>
      <c r="U193" s="116"/>
      <c r="V193" s="116"/>
      <c r="W193" s="116"/>
      <c r="X193" s="116"/>
      <c r="Y193" s="116"/>
      <c r="Z193" s="116"/>
      <c r="AA193" s="116"/>
      <c r="AB193" s="116"/>
      <c r="AC193" s="116"/>
      <c r="AD193" s="116"/>
      <c r="AE193" s="116"/>
      <c r="AF193" s="116"/>
      <c r="AG193" s="116"/>
      <c r="AH193" s="116"/>
      <c r="AI193" s="116"/>
      <c r="AJ193" s="116"/>
      <c r="AK193" s="116"/>
      <c r="AL193" s="116"/>
      <c r="AM193" s="116"/>
      <c r="AN193" s="116"/>
      <c r="AO193" s="116"/>
      <c r="AP193" s="116"/>
      <c r="AQ193" s="116"/>
      <c r="AR193" s="116"/>
      <c r="AS193" s="116"/>
      <c r="AT193" s="116"/>
      <c r="AU193" s="116"/>
      <c r="AV193" s="116"/>
      <c r="AW193" s="116"/>
      <c r="AX193" s="116"/>
      <c r="AY193" s="116"/>
      <c r="AZ193" s="116"/>
      <c r="BA193" s="116"/>
      <c r="BB193" s="116"/>
      <c r="BC193" s="116"/>
      <c r="BD193" s="116"/>
      <c r="BE193" s="116"/>
      <c r="BF193" s="116"/>
      <c r="BG193" s="116"/>
      <c r="BH193" s="116"/>
      <c r="BI193" s="116"/>
      <c r="BJ193" s="116"/>
      <c r="BK193" s="116"/>
      <c r="BL193" s="116"/>
      <c r="BM193" s="116"/>
      <c r="BN193" s="116"/>
      <c r="BO193" s="116"/>
      <c r="BP193" s="116"/>
      <c r="BQ193" s="116"/>
      <c r="BR193" s="116"/>
      <c r="BS193" s="116"/>
      <c r="BT193" s="116"/>
      <c r="BU193" s="116"/>
      <c r="BV193" s="116"/>
      <c r="BW193" s="116"/>
      <c r="BX193" s="116"/>
      <c r="BY193" s="116"/>
      <c r="BZ193" s="116"/>
      <c r="CA193" s="116"/>
      <c r="CB193" s="116"/>
      <c r="CC193" s="116"/>
      <c r="CD193" s="116"/>
      <c r="CE193" s="116"/>
      <c r="CF193" s="116"/>
      <c r="CG193" s="116"/>
      <c r="CH193" s="116"/>
      <c r="CI193" s="116"/>
      <c r="CJ193" s="116"/>
      <c r="CK193" s="116"/>
      <c r="CL193" s="116"/>
      <c r="CM193" s="116"/>
      <c r="CN193" s="116"/>
      <c r="CO193" s="116"/>
      <c r="CP193" s="116"/>
      <c r="CQ193" s="116"/>
      <c r="CR193" s="116"/>
      <c r="CS193" s="116"/>
      <c r="CT193" s="116"/>
      <c r="CU193" s="116"/>
      <c r="CV193" s="116"/>
      <c r="CW193" s="116"/>
      <c r="CX193" s="116"/>
      <c r="CY193" s="116"/>
      <c r="CZ193" s="116"/>
      <c r="DA193" s="116"/>
      <c r="DB193" s="116"/>
      <c r="DC193" s="116"/>
      <c r="DD193" s="116"/>
      <c r="DE193" s="116"/>
      <c r="DF193" s="116"/>
      <c r="DG193" s="116"/>
      <c r="DH193" s="116"/>
      <c r="DI193" s="116"/>
      <c r="DJ193" s="116"/>
      <c r="DK193" s="116"/>
      <c r="DL193" s="116"/>
      <c r="DM193" s="116"/>
    </row>
    <row r="194" spans="1:117" ht="15" customHeight="1" thickTop="1">
      <c r="A194" s="108">
        <v>20700</v>
      </c>
      <c r="B194" s="68" t="s">
        <v>966</v>
      </c>
      <c r="C194" s="68" t="s">
        <v>967</v>
      </c>
      <c r="D194" s="68" t="s">
        <v>968</v>
      </c>
      <c r="E194" s="68"/>
      <c r="F194" s="68" t="s">
        <v>1152</v>
      </c>
      <c r="G194" s="387" t="e">
        <f>VLOOKUP("F1",Folgekosten,5,0)+VLOOKUP("F2",Folgekosten,5,0)+VLOOKUP("F3",Folgekosten,5,0)+VLOOKUP("F4",Folgekosten,5,0)+VLOOKUP("F5",Folgekosten,5,0)</f>
        <v>#N/A</v>
      </c>
      <c r="H194" s="67"/>
      <c r="I194" s="67"/>
      <c r="J194" s="68" t="s">
        <v>727</v>
      </c>
      <c r="K194" s="68"/>
      <c r="L194" s="68"/>
      <c r="M194" s="108"/>
      <c r="N194" s="110"/>
      <c r="O194" s="381" t="e">
        <f>VLOOKUP("F1",Folgekosten,13,0)+VLOOKUP("F2",Folgekosten,13,0)+VLOOKUP("F3",Folgekosten,13,0)+VLOOKUP("F4",Folgekosten,13,0)+VLOOKUP("F5",Folgekosten,13,0)</f>
        <v>#N/A</v>
      </c>
      <c r="P194" s="170" t="s">
        <v>103</v>
      </c>
      <c r="Q194" s="114" t="e">
        <f t="shared" ref="Q194:AV194" si="344">SUM(Q5:Q8,Q10:Q11,Q13:Q27,Q29:Q44,Q47:Q69,Q72:Q75,Q77:Q79,Q81:Q85,Q87:Q88)</f>
        <v>#N/A</v>
      </c>
      <c r="R194" s="115" t="e">
        <f t="shared" si="344"/>
        <v>#N/A</v>
      </c>
      <c r="S194" s="115" t="e">
        <f t="shared" si="344"/>
        <v>#N/A</v>
      </c>
      <c r="T194" s="115" t="e">
        <f t="shared" si="344"/>
        <v>#N/A</v>
      </c>
      <c r="U194" s="115" t="e">
        <f t="shared" si="344"/>
        <v>#N/A</v>
      </c>
      <c r="V194" s="115" t="e">
        <f t="shared" si="344"/>
        <v>#N/A</v>
      </c>
      <c r="W194" s="115" t="e">
        <f t="shared" si="344"/>
        <v>#N/A</v>
      </c>
      <c r="X194" s="115" t="e">
        <f t="shared" si="344"/>
        <v>#N/A</v>
      </c>
      <c r="Y194" s="115" t="e">
        <f t="shared" si="344"/>
        <v>#N/A</v>
      </c>
      <c r="Z194" s="115" t="e">
        <f t="shared" si="344"/>
        <v>#N/A</v>
      </c>
      <c r="AA194" s="115" t="e">
        <f t="shared" si="344"/>
        <v>#N/A</v>
      </c>
      <c r="AB194" s="115" t="e">
        <f t="shared" si="344"/>
        <v>#N/A</v>
      </c>
      <c r="AC194" s="115" t="e">
        <f t="shared" si="344"/>
        <v>#N/A</v>
      </c>
      <c r="AD194" s="115" t="e">
        <f t="shared" si="344"/>
        <v>#N/A</v>
      </c>
      <c r="AE194" s="115" t="e">
        <f t="shared" si="344"/>
        <v>#N/A</v>
      </c>
      <c r="AF194" s="115" t="e">
        <f t="shared" si="344"/>
        <v>#N/A</v>
      </c>
      <c r="AG194" s="115" t="e">
        <f t="shared" si="344"/>
        <v>#N/A</v>
      </c>
      <c r="AH194" s="115" t="e">
        <f t="shared" si="344"/>
        <v>#N/A</v>
      </c>
      <c r="AI194" s="115" t="e">
        <f t="shared" si="344"/>
        <v>#N/A</v>
      </c>
      <c r="AJ194" s="115" t="e">
        <f t="shared" si="344"/>
        <v>#N/A</v>
      </c>
      <c r="AK194" s="115" t="e">
        <f t="shared" si="344"/>
        <v>#N/A</v>
      </c>
      <c r="AL194" s="115" t="e">
        <f t="shared" si="344"/>
        <v>#N/A</v>
      </c>
      <c r="AM194" s="115" t="e">
        <f t="shared" si="344"/>
        <v>#N/A</v>
      </c>
      <c r="AN194" s="115" t="e">
        <f t="shared" si="344"/>
        <v>#N/A</v>
      </c>
      <c r="AO194" s="115" t="e">
        <f t="shared" si="344"/>
        <v>#N/A</v>
      </c>
      <c r="AP194" s="115" t="e">
        <f t="shared" si="344"/>
        <v>#N/A</v>
      </c>
      <c r="AQ194" s="115" t="e">
        <f t="shared" si="344"/>
        <v>#N/A</v>
      </c>
      <c r="AR194" s="115" t="e">
        <f t="shared" si="344"/>
        <v>#N/A</v>
      </c>
      <c r="AS194" s="115" t="e">
        <f t="shared" si="344"/>
        <v>#N/A</v>
      </c>
      <c r="AT194" s="115" t="e">
        <f t="shared" si="344"/>
        <v>#N/A</v>
      </c>
      <c r="AU194" s="115" t="e">
        <f t="shared" si="344"/>
        <v>#N/A</v>
      </c>
      <c r="AV194" s="115" t="e">
        <f t="shared" si="344"/>
        <v>#VALUE!</v>
      </c>
      <c r="AW194" s="115" t="e">
        <f t="shared" ref="AW194:CB194" si="345">SUM(AW5:AW8,AW10:AW11,AW13:AW27,AW29:AW44,AW47:AW69,AW72:AW75,AW77:AW79,AW81:AW85,AW87:AW88)</f>
        <v>#VALUE!</v>
      </c>
      <c r="AX194" s="115" t="e">
        <f t="shared" si="345"/>
        <v>#VALUE!</v>
      </c>
      <c r="AY194" s="115" t="e">
        <f t="shared" si="345"/>
        <v>#VALUE!</v>
      </c>
      <c r="AZ194" s="115" t="e">
        <f t="shared" si="345"/>
        <v>#VALUE!</v>
      </c>
      <c r="BA194" s="115" t="e">
        <f t="shared" si="345"/>
        <v>#VALUE!</v>
      </c>
      <c r="BB194" s="115" t="e">
        <f t="shared" si="345"/>
        <v>#VALUE!</v>
      </c>
      <c r="BC194" s="115" t="e">
        <f t="shared" si="345"/>
        <v>#VALUE!</v>
      </c>
      <c r="BD194" s="115" t="e">
        <f t="shared" si="345"/>
        <v>#VALUE!</v>
      </c>
      <c r="BE194" s="115" t="e">
        <f t="shared" si="345"/>
        <v>#VALUE!</v>
      </c>
      <c r="BF194" s="115" t="e">
        <f t="shared" si="345"/>
        <v>#VALUE!</v>
      </c>
      <c r="BG194" s="115" t="e">
        <f t="shared" si="345"/>
        <v>#VALUE!</v>
      </c>
      <c r="BH194" s="115" t="e">
        <f t="shared" si="345"/>
        <v>#VALUE!</v>
      </c>
      <c r="BI194" s="115" t="e">
        <f t="shared" si="345"/>
        <v>#VALUE!</v>
      </c>
      <c r="BJ194" s="115" t="e">
        <f t="shared" si="345"/>
        <v>#VALUE!</v>
      </c>
      <c r="BK194" s="115" t="e">
        <f t="shared" si="345"/>
        <v>#VALUE!</v>
      </c>
      <c r="BL194" s="115" t="e">
        <f t="shared" si="345"/>
        <v>#VALUE!</v>
      </c>
      <c r="BM194" s="115" t="e">
        <f t="shared" si="345"/>
        <v>#VALUE!</v>
      </c>
      <c r="BN194" s="115" t="e">
        <f t="shared" si="345"/>
        <v>#VALUE!</v>
      </c>
      <c r="BO194" s="115" t="e">
        <f t="shared" si="345"/>
        <v>#VALUE!</v>
      </c>
      <c r="BP194" s="115" t="e">
        <f t="shared" si="345"/>
        <v>#VALUE!</v>
      </c>
      <c r="BQ194" s="115" t="e">
        <f t="shared" si="345"/>
        <v>#VALUE!</v>
      </c>
      <c r="BR194" s="115" t="e">
        <f t="shared" si="345"/>
        <v>#VALUE!</v>
      </c>
      <c r="BS194" s="115" t="e">
        <f t="shared" si="345"/>
        <v>#VALUE!</v>
      </c>
      <c r="BT194" s="115" t="e">
        <f t="shared" si="345"/>
        <v>#VALUE!</v>
      </c>
      <c r="BU194" s="115" t="e">
        <f t="shared" si="345"/>
        <v>#VALUE!</v>
      </c>
      <c r="BV194" s="115" t="e">
        <f t="shared" si="345"/>
        <v>#VALUE!</v>
      </c>
      <c r="BW194" s="115" t="e">
        <f t="shared" si="345"/>
        <v>#VALUE!</v>
      </c>
      <c r="BX194" s="115" t="e">
        <f t="shared" si="345"/>
        <v>#VALUE!</v>
      </c>
      <c r="BY194" s="115" t="e">
        <f t="shared" si="345"/>
        <v>#VALUE!</v>
      </c>
      <c r="BZ194" s="115" t="e">
        <f t="shared" si="345"/>
        <v>#VALUE!</v>
      </c>
      <c r="CA194" s="115" t="e">
        <f t="shared" si="345"/>
        <v>#VALUE!</v>
      </c>
      <c r="CB194" s="115" t="e">
        <f t="shared" si="345"/>
        <v>#VALUE!</v>
      </c>
      <c r="CC194" s="115" t="e">
        <f t="shared" ref="CC194:DM194" si="346">SUM(CC5:CC8,CC10:CC11,CC13:CC27,CC29:CC44,CC47:CC69,CC72:CC75,CC77:CC79,CC81:CC85,CC87:CC88)</f>
        <v>#VALUE!</v>
      </c>
      <c r="CD194" s="115" t="e">
        <f t="shared" si="346"/>
        <v>#VALUE!</v>
      </c>
      <c r="CE194" s="115" t="e">
        <f t="shared" si="346"/>
        <v>#VALUE!</v>
      </c>
      <c r="CF194" s="115" t="e">
        <f t="shared" si="346"/>
        <v>#VALUE!</v>
      </c>
      <c r="CG194" s="115" t="e">
        <f t="shared" si="346"/>
        <v>#VALUE!</v>
      </c>
      <c r="CH194" s="115" t="e">
        <f t="shared" si="346"/>
        <v>#VALUE!</v>
      </c>
      <c r="CI194" s="115" t="e">
        <f t="shared" si="346"/>
        <v>#VALUE!</v>
      </c>
      <c r="CJ194" s="115" t="e">
        <f t="shared" si="346"/>
        <v>#VALUE!</v>
      </c>
      <c r="CK194" s="115" t="e">
        <f t="shared" si="346"/>
        <v>#VALUE!</v>
      </c>
      <c r="CL194" s="115" t="e">
        <f t="shared" si="346"/>
        <v>#VALUE!</v>
      </c>
      <c r="CM194" s="115" t="e">
        <f t="shared" si="346"/>
        <v>#VALUE!</v>
      </c>
      <c r="CN194" s="115" t="e">
        <f t="shared" si="346"/>
        <v>#VALUE!</v>
      </c>
      <c r="CO194" s="115" t="e">
        <f t="shared" si="346"/>
        <v>#VALUE!</v>
      </c>
      <c r="CP194" s="115" t="e">
        <f t="shared" si="346"/>
        <v>#VALUE!</v>
      </c>
      <c r="CQ194" s="115" t="e">
        <f t="shared" si="346"/>
        <v>#VALUE!</v>
      </c>
      <c r="CR194" s="115" t="e">
        <f t="shared" si="346"/>
        <v>#VALUE!</v>
      </c>
      <c r="CS194" s="115" t="e">
        <f t="shared" si="346"/>
        <v>#VALUE!</v>
      </c>
      <c r="CT194" s="115" t="e">
        <f t="shared" si="346"/>
        <v>#VALUE!</v>
      </c>
      <c r="CU194" s="115" t="e">
        <f t="shared" si="346"/>
        <v>#VALUE!</v>
      </c>
      <c r="CV194" s="115" t="e">
        <f t="shared" si="346"/>
        <v>#VALUE!</v>
      </c>
      <c r="CW194" s="115" t="e">
        <f t="shared" si="346"/>
        <v>#VALUE!</v>
      </c>
      <c r="CX194" s="115" t="e">
        <f t="shared" si="346"/>
        <v>#VALUE!</v>
      </c>
      <c r="CY194" s="115" t="e">
        <f t="shared" si="346"/>
        <v>#VALUE!</v>
      </c>
      <c r="CZ194" s="115" t="e">
        <f t="shared" si="346"/>
        <v>#VALUE!</v>
      </c>
      <c r="DA194" s="115" t="e">
        <f t="shared" si="346"/>
        <v>#VALUE!</v>
      </c>
      <c r="DB194" s="115" t="e">
        <f t="shared" si="346"/>
        <v>#VALUE!</v>
      </c>
      <c r="DC194" s="115" t="e">
        <f t="shared" si="346"/>
        <v>#VALUE!</v>
      </c>
      <c r="DD194" s="115" t="e">
        <f t="shared" si="346"/>
        <v>#VALUE!</v>
      </c>
      <c r="DE194" s="115" t="e">
        <f t="shared" si="346"/>
        <v>#VALUE!</v>
      </c>
      <c r="DF194" s="115" t="e">
        <f t="shared" si="346"/>
        <v>#VALUE!</v>
      </c>
      <c r="DG194" s="115" t="e">
        <f t="shared" si="346"/>
        <v>#VALUE!</v>
      </c>
      <c r="DH194" s="115" t="e">
        <f t="shared" si="346"/>
        <v>#VALUE!</v>
      </c>
      <c r="DI194" s="115" t="e">
        <f t="shared" si="346"/>
        <v>#VALUE!</v>
      </c>
      <c r="DJ194" s="115" t="e">
        <f t="shared" si="346"/>
        <v>#VALUE!</v>
      </c>
      <c r="DK194" s="115" t="e">
        <f t="shared" si="346"/>
        <v>#VALUE!</v>
      </c>
      <c r="DL194" s="115" t="e">
        <f t="shared" si="346"/>
        <v>#VALUE!</v>
      </c>
      <c r="DM194" s="115" t="e">
        <f t="shared" si="346"/>
        <v>#VALUE!</v>
      </c>
    </row>
    <row r="195" spans="1:117" ht="15" customHeight="1">
      <c r="A195" s="108">
        <v>20800</v>
      </c>
      <c r="B195" s="68" t="s">
        <v>966</v>
      </c>
      <c r="C195" s="68" t="s">
        <v>969</v>
      </c>
      <c r="D195" s="68" t="s">
        <v>970</v>
      </c>
      <c r="E195" s="68"/>
      <c r="F195" s="68" t="s">
        <v>971</v>
      </c>
      <c r="G195" s="68"/>
      <c r="H195" s="68"/>
      <c r="I195" s="68"/>
      <c r="J195" s="68"/>
      <c r="K195" s="68"/>
      <c r="L195" s="68"/>
      <c r="M195" s="108"/>
      <c r="N195" s="110"/>
      <c r="O195" s="381" t="e">
        <f>VLOOKUP("EK",Errichtungskosten,12,0)+VLOOKUP("KGB",Folgekosten,13,0)</f>
        <v>#N/A</v>
      </c>
      <c r="P195" s="170" t="s">
        <v>103</v>
      </c>
      <c r="Q195" s="114" t="e">
        <f t="shared" ref="Q195:AV195" si="347">VLOOKUP("EK",Errichtungskosten,5,0)+Q194</f>
        <v>#N/A</v>
      </c>
      <c r="R195" s="115" t="e">
        <f t="shared" si="347"/>
        <v>#N/A</v>
      </c>
      <c r="S195" s="115" t="e">
        <f t="shared" si="347"/>
        <v>#N/A</v>
      </c>
      <c r="T195" s="115" t="e">
        <f t="shared" si="347"/>
        <v>#N/A</v>
      </c>
      <c r="U195" s="115" t="e">
        <f t="shared" si="347"/>
        <v>#N/A</v>
      </c>
      <c r="V195" s="115" t="e">
        <f t="shared" si="347"/>
        <v>#N/A</v>
      </c>
      <c r="W195" s="115" t="e">
        <f t="shared" si="347"/>
        <v>#N/A</v>
      </c>
      <c r="X195" s="115" t="e">
        <f t="shared" si="347"/>
        <v>#N/A</v>
      </c>
      <c r="Y195" s="115" t="e">
        <f t="shared" si="347"/>
        <v>#N/A</v>
      </c>
      <c r="Z195" s="115" t="e">
        <f t="shared" si="347"/>
        <v>#N/A</v>
      </c>
      <c r="AA195" s="115" t="e">
        <f t="shared" si="347"/>
        <v>#N/A</v>
      </c>
      <c r="AB195" s="115" t="e">
        <f t="shared" si="347"/>
        <v>#N/A</v>
      </c>
      <c r="AC195" s="115" t="e">
        <f t="shared" si="347"/>
        <v>#N/A</v>
      </c>
      <c r="AD195" s="115" t="e">
        <f t="shared" si="347"/>
        <v>#N/A</v>
      </c>
      <c r="AE195" s="115" t="e">
        <f t="shared" si="347"/>
        <v>#N/A</v>
      </c>
      <c r="AF195" s="115" t="e">
        <f t="shared" si="347"/>
        <v>#N/A</v>
      </c>
      <c r="AG195" s="115" t="e">
        <f t="shared" si="347"/>
        <v>#N/A</v>
      </c>
      <c r="AH195" s="115" t="e">
        <f t="shared" si="347"/>
        <v>#N/A</v>
      </c>
      <c r="AI195" s="115" t="e">
        <f t="shared" si="347"/>
        <v>#N/A</v>
      </c>
      <c r="AJ195" s="115" t="e">
        <f t="shared" si="347"/>
        <v>#N/A</v>
      </c>
      <c r="AK195" s="115" t="e">
        <f t="shared" si="347"/>
        <v>#N/A</v>
      </c>
      <c r="AL195" s="115" t="e">
        <f t="shared" si="347"/>
        <v>#N/A</v>
      </c>
      <c r="AM195" s="115" t="e">
        <f t="shared" si="347"/>
        <v>#N/A</v>
      </c>
      <c r="AN195" s="115" t="e">
        <f t="shared" si="347"/>
        <v>#N/A</v>
      </c>
      <c r="AO195" s="115" t="e">
        <f t="shared" si="347"/>
        <v>#N/A</v>
      </c>
      <c r="AP195" s="115" t="e">
        <f t="shared" si="347"/>
        <v>#N/A</v>
      </c>
      <c r="AQ195" s="115" t="e">
        <f t="shared" si="347"/>
        <v>#N/A</v>
      </c>
      <c r="AR195" s="115" t="e">
        <f t="shared" si="347"/>
        <v>#N/A</v>
      </c>
      <c r="AS195" s="115" t="e">
        <f t="shared" si="347"/>
        <v>#N/A</v>
      </c>
      <c r="AT195" s="115" t="e">
        <f t="shared" si="347"/>
        <v>#N/A</v>
      </c>
      <c r="AU195" s="115" t="e">
        <f t="shared" si="347"/>
        <v>#N/A</v>
      </c>
      <c r="AV195" s="115" t="e">
        <f t="shared" si="347"/>
        <v>#VALUE!</v>
      </c>
      <c r="AW195" s="115" t="e">
        <f t="shared" ref="AW195:CB195" si="348">VLOOKUP("EK",Errichtungskosten,5,0)+AW194</f>
        <v>#VALUE!</v>
      </c>
      <c r="AX195" s="115" t="e">
        <f t="shared" si="348"/>
        <v>#VALUE!</v>
      </c>
      <c r="AY195" s="115" t="e">
        <f t="shared" si="348"/>
        <v>#VALUE!</v>
      </c>
      <c r="AZ195" s="115" t="e">
        <f t="shared" si="348"/>
        <v>#VALUE!</v>
      </c>
      <c r="BA195" s="115" t="e">
        <f t="shared" si="348"/>
        <v>#VALUE!</v>
      </c>
      <c r="BB195" s="115" t="e">
        <f t="shared" si="348"/>
        <v>#VALUE!</v>
      </c>
      <c r="BC195" s="115" t="e">
        <f t="shared" si="348"/>
        <v>#VALUE!</v>
      </c>
      <c r="BD195" s="115" t="e">
        <f t="shared" si="348"/>
        <v>#VALUE!</v>
      </c>
      <c r="BE195" s="115" t="e">
        <f t="shared" si="348"/>
        <v>#VALUE!</v>
      </c>
      <c r="BF195" s="115" t="e">
        <f t="shared" si="348"/>
        <v>#VALUE!</v>
      </c>
      <c r="BG195" s="115" t="e">
        <f t="shared" si="348"/>
        <v>#VALUE!</v>
      </c>
      <c r="BH195" s="115" t="e">
        <f t="shared" si="348"/>
        <v>#VALUE!</v>
      </c>
      <c r="BI195" s="115" t="e">
        <f t="shared" si="348"/>
        <v>#VALUE!</v>
      </c>
      <c r="BJ195" s="115" t="e">
        <f t="shared" si="348"/>
        <v>#VALUE!</v>
      </c>
      <c r="BK195" s="115" t="e">
        <f t="shared" si="348"/>
        <v>#VALUE!</v>
      </c>
      <c r="BL195" s="115" t="e">
        <f t="shared" si="348"/>
        <v>#VALUE!</v>
      </c>
      <c r="BM195" s="115" t="e">
        <f t="shared" si="348"/>
        <v>#VALUE!</v>
      </c>
      <c r="BN195" s="115" t="e">
        <f t="shared" si="348"/>
        <v>#VALUE!</v>
      </c>
      <c r="BO195" s="115" t="e">
        <f t="shared" si="348"/>
        <v>#VALUE!</v>
      </c>
      <c r="BP195" s="115" t="e">
        <f t="shared" si="348"/>
        <v>#VALUE!</v>
      </c>
      <c r="BQ195" s="115" t="e">
        <f t="shared" si="348"/>
        <v>#VALUE!</v>
      </c>
      <c r="BR195" s="115" t="e">
        <f t="shared" si="348"/>
        <v>#VALUE!</v>
      </c>
      <c r="BS195" s="115" t="e">
        <f t="shared" si="348"/>
        <v>#VALUE!</v>
      </c>
      <c r="BT195" s="115" t="e">
        <f t="shared" si="348"/>
        <v>#VALUE!</v>
      </c>
      <c r="BU195" s="115" t="e">
        <f t="shared" si="348"/>
        <v>#VALUE!</v>
      </c>
      <c r="BV195" s="115" t="e">
        <f t="shared" si="348"/>
        <v>#VALUE!</v>
      </c>
      <c r="BW195" s="115" t="e">
        <f t="shared" si="348"/>
        <v>#VALUE!</v>
      </c>
      <c r="BX195" s="115" t="e">
        <f t="shared" si="348"/>
        <v>#VALUE!</v>
      </c>
      <c r="BY195" s="115" t="e">
        <f t="shared" si="348"/>
        <v>#VALUE!</v>
      </c>
      <c r="BZ195" s="115" t="e">
        <f t="shared" si="348"/>
        <v>#VALUE!</v>
      </c>
      <c r="CA195" s="115" t="e">
        <f t="shared" si="348"/>
        <v>#VALUE!</v>
      </c>
      <c r="CB195" s="115" t="e">
        <f t="shared" si="348"/>
        <v>#VALUE!</v>
      </c>
      <c r="CC195" s="115" t="e">
        <f t="shared" ref="CC195:DH195" si="349">VLOOKUP("EK",Errichtungskosten,5,0)+CC194</f>
        <v>#VALUE!</v>
      </c>
      <c r="CD195" s="115" t="e">
        <f t="shared" si="349"/>
        <v>#VALUE!</v>
      </c>
      <c r="CE195" s="115" t="e">
        <f t="shared" si="349"/>
        <v>#VALUE!</v>
      </c>
      <c r="CF195" s="115" t="e">
        <f t="shared" si="349"/>
        <v>#VALUE!</v>
      </c>
      <c r="CG195" s="115" t="e">
        <f t="shared" si="349"/>
        <v>#VALUE!</v>
      </c>
      <c r="CH195" s="115" t="e">
        <f t="shared" si="349"/>
        <v>#VALUE!</v>
      </c>
      <c r="CI195" s="115" t="e">
        <f t="shared" si="349"/>
        <v>#VALUE!</v>
      </c>
      <c r="CJ195" s="115" t="e">
        <f t="shared" si="349"/>
        <v>#VALUE!</v>
      </c>
      <c r="CK195" s="115" t="e">
        <f t="shared" si="349"/>
        <v>#VALUE!</v>
      </c>
      <c r="CL195" s="115" t="e">
        <f t="shared" si="349"/>
        <v>#VALUE!</v>
      </c>
      <c r="CM195" s="115" t="e">
        <f t="shared" si="349"/>
        <v>#VALUE!</v>
      </c>
      <c r="CN195" s="115" t="e">
        <f t="shared" si="349"/>
        <v>#VALUE!</v>
      </c>
      <c r="CO195" s="115" t="e">
        <f t="shared" si="349"/>
        <v>#VALUE!</v>
      </c>
      <c r="CP195" s="115" t="e">
        <f t="shared" si="349"/>
        <v>#VALUE!</v>
      </c>
      <c r="CQ195" s="115" t="e">
        <f t="shared" si="349"/>
        <v>#VALUE!</v>
      </c>
      <c r="CR195" s="115" t="e">
        <f t="shared" si="349"/>
        <v>#VALUE!</v>
      </c>
      <c r="CS195" s="115" t="e">
        <f t="shared" si="349"/>
        <v>#VALUE!</v>
      </c>
      <c r="CT195" s="115" t="e">
        <f t="shared" si="349"/>
        <v>#VALUE!</v>
      </c>
      <c r="CU195" s="115" t="e">
        <f t="shared" si="349"/>
        <v>#VALUE!</v>
      </c>
      <c r="CV195" s="115" t="e">
        <f t="shared" si="349"/>
        <v>#VALUE!</v>
      </c>
      <c r="CW195" s="115" t="e">
        <f t="shared" si="349"/>
        <v>#VALUE!</v>
      </c>
      <c r="CX195" s="115" t="e">
        <f t="shared" si="349"/>
        <v>#VALUE!</v>
      </c>
      <c r="CY195" s="115" t="e">
        <f t="shared" si="349"/>
        <v>#VALUE!</v>
      </c>
      <c r="CZ195" s="115" t="e">
        <f t="shared" si="349"/>
        <v>#VALUE!</v>
      </c>
      <c r="DA195" s="115" t="e">
        <f t="shared" si="349"/>
        <v>#VALUE!</v>
      </c>
      <c r="DB195" s="115" t="e">
        <f t="shared" si="349"/>
        <v>#VALUE!</v>
      </c>
      <c r="DC195" s="115" t="e">
        <f t="shared" si="349"/>
        <v>#VALUE!</v>
      </c>
      <c r="DD195" s="115" t="e">
        <f t="shared" si="349"/>
        <v>#VALUE!</v>
      </c>
      <c r="DE195" s="115" t="e">
        <f t="shared" si="349"/>
        <v>#VALUE!</v>
      </c>
      <c r="DF195" s="115" t="e">
        <f t="shared" si="349"/>
        <v>#VALUE!</v>
      </c>
      <c r="DG195" s="115" t="e">
        <f t="shared" si="349"/>
        <v>#VALUE!</v>
      </c>
      <c r="DH195" s="115" t="e">
        <f t="shared" si="349"/>
        <v>#VALUE!</v>
      </c>
      <c r="DI195" s="115" t="e">
        <f t="shared" ref="DI195:DM195" si="350">VLOOKUP("EK",Errichtungskosten,5,0)+DI194</f>
        <v>#VALUE!</v>
      </c>
      <c r="DJ195" s="115" t="e">
        <f t="shared" si="350"/>
        <v>#VALUE!</v>
      </c>
      <c r="DK195" s="115" t="e">
        <f t="shared" si="350"/>
        <v>#VALUE!</v>
      </c>
      <c r="DL195" s="115" t="e">
        <f t="shared" si="350"/>
        <v>#VALUE!</v>
      </c>
      <c r="DM195" s="115" t="e">
        <f t="shared" si="350"/>
        <v>#VALUE!</v>
      </c>
    </row>
    <row r="196" spans="1:117" ht="15" customHeight="1">
      <c r="A196" s="108">
        <v>20900</v>
      </c>
      <c r="B196" s="68" t="s">
        <v>966</v>
      </c>
      <c r="C196" s="68" t="s">
        <v>972</v>
      </c>
      <c r="D196" s="68" t="s">
        <v>973</v>
      </c>
      <c r="E196" s="68"/>
      <c r="F196" s="68" t="s">
        <v>1153</v>
      </c>
      <c r="G196" s="68"/>
      <c r="H196" s="68"/>
      <c r="I196" s="68"/>
      <c r="J196" s="68"/>
      <c r="K196" s="68"/>
      <c r="L196" s="68"/>
      <c r="M196" s="108"/>
      <c r="N196" s="110"/>
      <c r="O196" s="381" t="e">
        <f>VLOOKUP("KGB",Folgekosten,13,0)+VLOOKUP("F6",Folgekosten,13,0)+VLOOKUP("F7",Folgekosten,13,0)+VLOOKUP("F8",Folgekosten,13,0)</f>
        <v>#N/A</v>
      </c>
      <c r="P196" s="170" t="s">
        <v>103</v>
      </c>
      <c r="Q196" s="114" t="e">
        <f t="shared" ref="Q196:AV196" si="351">Q194+SUM(Q90:Q95,Q99:Q101,Q103:Q104,Q106:Q107,Q110:Q118,Q120:Q121,Q123:Q126,Q129:Q135,Q137:Q142,Q144:Q153,Q155,Q158:Q163,Q165,Q167:Q168,Q170:Q174,Q176:Q179,Q181:Q186,Q188)</f>
        <v>#N/A</v>
      </c>
      <c r="R196" s="115" t="e">
        <f t="shared" si="351"/>
        <v>#N/A</v>
      </c>
      <c r="S196" s="115" t="e">
        <f t="shared" si="351"/>
        <v>#N/A</v>
      </c>
      <c r="T196" s="115" t="e">
        <f t="shared" si="351"/>
        <v>#N/A</v>
      </c>
      <c r="U196" s="115" t="e">
        <f t="shared" si="351"/>
        <v>#N/A</v>
      </c>
      <c r="V196" s="115" t="e">
        <f t="shared" si="351"/>
        <v>#N/A</v>
      </c>
      <c r="W196" s="115" t="e">
        <f t="shared" si="351"/>
        <v>#N/A</v>
      </c>
      <c r="X196" s="115" t="e">
        <f t="shared" si="351"/>
        <v>#N/A</v>
      </c>
      <c r="Y196" s="115" t="e">
        <f t="shared" si="351"/>
        <v>#N/A</v>
      </c>
      <c r="Z196" s="115" t="e">
        <f t="shared" si="351"/>
        <v>#N/A</v>
      </c>
      <c r="AA196" s="115" t="e">
        <f t="shared" si="351"/>
        <v>#N/A</v>
      </c>
      <c r="AB196" s="115" t="e">
        <f t="shared" si="351"/>
        <v>#N/A</v>
      </c>
      <c r="AC196" s="115" t="e">
        <f t="shared" si="351"/>
        <v>#N/A</v>
      </c>
      <c r="AD196" s="115" t="e">
        <f t="shared" si="351"/>
        <v>#N/A</v>
      </c>
      <c r="AE196" s="115" t="e">
        <f t="shared" si="351"/>
        <v>#N/A</v>
      </c>
      <c r="AF196" s="115" t="e">
        <f t="shared" si="351"/>
        <v>#N/A</v>
      </c>
      <c r="AG196" s="115" t="e">
        <f t="shared" si="351"/>
        <v>#N/A</v>
      </c>
      <c r="AH196" s="115" t="e">
        <f t="shared" si="351"/>
        <v>#N/A</v>
      </c>
      <c r="AI196" s="115" t="e">
        <f t="shared" si="351"/>
        <v>#N/A</v>
      </c>
      <c r="AJ196" s="115" t="e">
        <f t="shared" si="351"/>
        <v>#N/A</v>
      </c>
      <c r="AK196" s="115" t="e">
        <f t="shared" si="351"/>
        <v>#N/A</v>
      </c>
      <c r="AL196" s="115" t="e">
        <f t="shared" si="351"/>
        <v>#N/A</v>
      </c>
      <c r="AM196" s="115" t="e">
        <f t="shared" si="351"/>
        <v>#N/A</v>
      </c>
      <c r="AN196" s="115" t="e">
        <f t="shared" si="351"/>
        <v>#N/A</v>
      </c>
      <c r="AO196" s="115" t="e">
        <f t="shared" si="351"/>
        <v>#N/A</v>
      </c>
      <c r="AP196" s="115" t="e">
        <f t="shared" si="351"/>
        <v>#N/A</v>
      </c>
      <c r="AQ196" s="115" t="e">
        <f t="shared" si="351"/>
        <v>#N/A</v>
      </c>
      <c r="AR196" s="115" t="e">
        <f t="shared" si="351"/>
        <v>#N/A</v>
      </c>
      <c r="AS196" s="115" t="e">
        <f t="shared" si="351"/>
        <v>#N/A</v>
      </c>
      <c r="AT196" s="115" t="e">
        <f t="shared" si="351"/>
        <v>#N/A</v>
      </c>
      <c r="AU196" s="115" t="e">
        <f t="shared" si="351"/>
        <v>#N/A</v>
      </c>
      <c r="AV196" s="115" t="e">
        <f t="shared" si="351"/>
        <v>#VALUE!</v>
      </c>
      <c r="AW196" s="115" t="e">
        <f t="shared" ref="AW196:CB196" si="352">AW194+SUM(AW90:AW95,AW99:AW101,AW103:AW104,AW106:AW107,AW110:AW118,AW120:AW121,AW123:AW126,AW129:AW135,AW137:AW142,AW144:AW153,AW155,AW158:AW163,AW165,AW167:AW168,AW170:AW174,AW176:AW179,AW181:AW186,AW188)</f>
        <v>#VALUE!</v>
      </c>
      <c r="AX196" s="115" t="e">
        <f t="shared" si="352"/>
        <v>#VALUE!</v>
      </c>
      <c r="AY196" s="115" t="e">
        <f t="shared" si="352"/>
        <v>#VALUE!</v>
      </c>
      <c r="AZ196" s="115" t="e">
        <f t="shared" si="352"/>
        <v>#VALUE!</v>
      </c>
      <c r="BA196" s="115" t="e">
        <f t="shared" si="352"/>
        <v>#VALUE!</v>
      </c>
      <c r="BB196" s="115" t="e">
        <f t="shared" si="352"/>
        <v>#VALUE!</v>
      </c>
      <c r="BC196" s="115" t="e">
        <f t="shared" si="352"/>
        <v>#VALUE!</v>
      </c>
      <c r="BD196" s="115" t="e">
        <f t="shared" si="352"/>
        <v>#VALUE!</v>
      </c>
      <c r="BE196" s="115" t="e">
        <f t="shared" si="352"/>
        <v>#VALUE!</v>
      </c>
      <c r="BF196" s="115" t="e">
        <f t="shared" si="352"/>
        <v>#VALUE!</v>
      </c>
      <c r="BG196" s="115" t="e">
        <f t="shared" si="352"/>
        <v>#VALUE!</v>
      </c>
      <c r="BH196" s="115" t="e">
        <f t="shared" si="352"/>
        <v>#VALUE!</v>
      </c>
      <c r="BI196" s="115" t="e">
        <f t="shared" si="352"/>
        <v>#VALUE!</v>
      </c>
      <c r="BJ196" s="115" t="e">
        <f t="shared" si="352"/>
        <v>#VALUE!</v>
      </c>
      <c r="BK196" s="115" t="e">
        <f t="shared" si="352"/>
        <v>#VALUE!</v>
      </c>
      <c r="BL196" s="115" t="e">
        <f t="shared" si="352"/>
        <v>#VALUE!</v>
      </c>
      <c r="BM196" s="115" t="e">
        <f t="shared" si="352"/>
        <v>#VALUE!</v>
      </c>
      <c r="BN196" s="115" t="e">
        <f t="shared" si="352"/>
        <v>#VALUE!</v>
      </c>
      <c r="BO196" s="115" t="e">
        <f t="shared" si="352"/>
        <v>#VALUE!</v>
      </c>
      <c r="BP196" s="115" t="e">
        <f t="shared" si="352"/>
        <v>#VALUE!</v>
      </c>
      <c r="BQ196" s="115" t="e">
        <f t="shared" si="352"/>
        <v>#VALUE!</v>
      </c>
      <c r="BR196" s="115" t="e">
        <f t="shared" si="352"/>
        <v>#VALUE!</v>
      </c>
      <c r="BS196" s="115" t="e">
        <f t="shared" si="352"/>
        <v>#VALUE!</v>
      </c>
      <c r="BT196" s="115" t="e">
        <f t="shared" si="352"/>
        <v>#VALUE!</v>
      </c>
      <c r="BU196" s="115" t="e">
        <f t="shared" si="352"/>
        <v>#VALUE!</v>
      </c>
      <c r="BV196" s="115" t="e">
        <f t="shared" si="352"/>
        <v>#VALUE!</v>
      </c>
      <c r="BW196" s="115" t="e">
        <f t="shared" si="352"/>
        <v>#VALUE!</v>
      </c>
      <c r="BX196" s="115" t="e">
        <f t="shared" si="352"/>
        <v>#VALUE!</v>
      </c>
      <c r="BY196" s="115" t="e">
        <f t="shared" si="352"/>
        <v>#VALUE!</v>
      </c>
      <c r="BZ196" s="115" t="e">
        <f t="shared" si="352"/>
        <v>#VALUE!</v>
      </c>
      <c r="CA196" s="115" t="e">
        <f t="shared" si="352"/>
        <v>#VALUE!</v>
      </c>
      <c r="CB196" s="115" t="e">
        <f t="shared" si="352"/>
        <v>#VALUE!</v>
      </c>
      <c r="CC196" s="115" t="e">
        <f t="shared" ref="CC196:DM196" si="353">CC194+SUM(CC90:CC95,CC99:CC101,CC103:CC104,CC106:CC107,CC110:CC118,CC120:CC121,CC123:CC126,CC129:CC135,CC137:CC142,CC144:CC153,CC155,CC158:CC163,CC165,CC167:CC168,CC170:CC174,CC176:CC179,CC181:CC186,CC188)</f>
        <v>#VALUE!</v>
      </c>
      <c r="CD196" s="115" t="e">
        <f t="shared" si="353"/>
        <v>#VALUE!</v>
      </c>
      <c r="CE196" s="115" t="e">
        <f t="shared" si="353"/>
        <v>#VALUE!</v>
      </c>
      <c r="CF196" s="115" t="e">
        <f t="shared" si="353"/>
        <v>#VALUE!</v>
      </c>
      <c r="CG196" s="115" t="e">
        <f t="shared" si="353"/>
        <v>#VALUE!</v>
      </c>
      <c r="CH196" s="115" t="e">
        <f t="shared" si="353"/>
        <v>#VALUE!</v>
      </c>
      <c r="CI196" s="115" t="e">
        <f t="shared" si="353"/>
        <v>#VALUE!</v>
      </c>
      <c r="CJ196" s="115" t="e">
        <f t="shared" si="353"/>
        <v>#VALUE!</v>
      </c>
      <c r="CK196" s="115" t="e">
        <f t="shared" si="353"/>
        <v>#VALUE!</v>
      </c>
      <c r="CL196" s="115" t="e">
        <f t="shared" si="353"/>
        <v>#VALUE!</v>
      </c>
      <c r="CM196" s="115" t="e">
        <f t="shared" si="353"/>
        <v>#VALUE!</v>
      </c>
      <c r="CN196" s="115" t="e">
        <f t="shared" si="353"/>
        <v>#VALUE!</v>
      </c>
      <c r="CO196" s="115" t="e">
        <f t="shared" si="353"/>
        <v>#VALUE!</v>
      </c>
      <c r="CP196" s="115" t="e">
        <f t="shared" si="353"/>
        <v>#VALUE!</v>
      </c>
      <c r="CQ196" s="115" t="e">
        <f t="shared" si="353"/>
        <v>#VALUE!</v>
      </c>
      <c r="CR196" s="115" t="e">
        <f t="shared" si="353"/>
        <v>#VALUE!</v>
      </c>
      <c r="CS196" s="115" t="e">
        <f t="shared" si="353"/>
        <v>#VALUE!</v>
      </c>
      <c r="CT196" s="115" t="e">
        <f t="shared" si="353"/>
        <v>#VALUE!</v>
      </c>
      <c r="CU196" s="115" t="e">
        <f t="shared" si="353"/>
        <v>#VALUE!</v>
      </c>
      <c r="CV196" s="115" t="e">
        <f t="shared" si="353"/>
        <v>#VALUE!</v>
      </c>
      <c r="CW196" s="115" t="e">
        <f t="shared" si="353"/>
        <v>#VALUE!</v>
      </c>
      <c r="CX196" s="115" t="e">
        <f t="shared" si="353"/>
        <v>#VALUE!</v>
      </c>
      <c r="CY196" s="115" t="e">
        <f t="shared" si="353"/>
        <v>#VALUE!</v>
      </c>
      <c r="CZ196" s="115" t="e">
        <f t="shared" si="353"/>
        <v>#VALUE!</v>
      </c>
      <c r="DA196" s="115" t="e">
        <f t="shared" si="353"/>
        <v>#VALUE!</v>
      </c>
      <c r="DB196" s="115" t="e">
        <f t="shared" si="353"/>
        <v>#VALUE!</v>
      </c>
      <c r="DC196" s="115" t="e">
        <f t="shared" si="353"/>
        <v>#VALUE!</v>
      </c>
      <c r="DD196" s="115" t="e">
        <f t="shared" si="353"/>
        <v>#VALUE!</v>
      </c>
      <c r="DE196" s="115" t="e">
        <f t="shared" si="353"/>
        <v>#VALUE!</v>
      </c>
      <c r="DF196" s="115" t="e">
        <f t="shared" si="353"/>
        <v>#VALUE!</v>
      </c>
      <c r="DG196" s="115" t="e">
        <f t="shared" si="353"/>
        <v>#VALUE!</v>
      </c>
      <c r="DH196" s="115" t="e">
        <f t="shared" si="353"/>
        <v>#VALUE!</v>
      </c>
      <c r="DI196" s="115" t="e">
        <f t="shared" si="353"/>
        <v>#VALUE!</v>
      </c>
      <c r="DJ196" s="115" t="e">
        <f t="shared" si="353"/>
        <v>#VALUE!</v>
      </c>
      <c r="DK196" s="115" t="e">
        <f t="shared" si="353"/>
        <v>#VALUE!</v>
      </c>
      <c r="DL196" s="115" t="e">
        <f t="shared" si="353"/>
        <v>#VALUE!</v>
      </c>
      <c r="DM196" s="115" t="e">
        <f t="shared" si="353"/>
        <v>#VALUE!</v>
      </c>
    </row>
    <row r="197" spans="1:117" ht="15" customHeight="1">
      <c r="A197" s="108">
        <v>21000</v>
      </c>
      <c r="B197" s="68" t="s">
        <v>966</v>
      </c>
      <c r="C197" s="68" t="s">
        <v>974</v>
      </c>
      <c r="D197" s="68" t="s">
        <v>975</v>
      </c>
      <c r="E197" s="68"/>
      <c r="F197" s="68" t="s">
        <v>1154</v>
      </c>
      <c r="G197" s="68"/>
      <c r="H197" s="68"/>
      <c r="I197" s="68"/>
      <c r="J197" s="68"/>
      <c r="K197" s="68"/>
      <c r="L197" s="68"/>
      <c r="M197" s="108"/>
      <c r="N197" s="110"/>
      <c r="O197" s="381" t="e">
        <f>VLOOKUP("ONK",Folgekosten,13,0)+VLOOKUP("F9",Folgekosten,13,0)</f>
        <v>#N/A</v>
      </c>
      <c r="P197" s="170" t="s">
        <v>103</v>
      </c>
      <c r="Q197" s="114" t="e">
        <f>Q196+SUM(Q190:Q192)</f>
        <v>#N/A</v>
      </c>
      <c r="R197" s="115" t="e">
        <f t="shared" ref="R197:CC197" si="354">R196+SUM(R190:R192)</f>
        <v>#N/A</v>
      </c>
      <c r="S197" s="115" t="e">
        <f t="shared" si="354"/>
        <v>#N/A</v>
      </c>
      <c r="T197" s="115" t="e">
        <f t="shared" si="354"/>
        <v>#N/A</v>
      </c>
      <c r="U197" s="115" t="e">
        <f t="shared" si="354"/>
        <v>#N/A</v>
      </c>
      <c r="V197" s="115" t="e">
        <f t="shared" si="354"/>
        <v>#N/A</v>
      </c>
      <c r="W197" s="115" t="e">
        <f t="shared" si="354"/>
        <v>#N/A</v>
      </c>
      <c r="X197" s="115" t="e">
        <f t="shared" si="354"/>
        <v>#N/A</v>
      </c>
      <c r="Y197" s="115" t="e">
        <f t="shared" si="354"/>
        <v>#N/A</v>
      </c>
      <c r="Z197" s="115" t="e">
        <f t="shared" si="354"/>
        <v>#N/A</v>
      </c>
      <c r="AA197" s="115" t="e">
        <f t="shared" si="354"/>
        <v>#N/A</v>
      </c>
      <c r="AB197" s="115" t="e">
        <f t="shared" si="354"/>
        <v>#N/A</v>
      </c>
      <c r="AC197" s="115" t="e">
        <f t="shared" si="354"/>
        <v>#N/A</v>
      </c>
      <c r="AD197" s="115" t="e">
        <f t="shared" si="354"/>
        <v>#N/A</v>
      </c>
      <c r="AE197" s="115" t="e">
        <f t="shared" si="354"/>
        <v>#N/A</v>
      </c>
      <c r="AF197" s="115" t="e">
        <f t="shared" si="354"/>
        <v>#N/A</v>
      </c>
      <c r="AG197" s="115" t="e">
        <f t="shared" si="354"/>
        <v>#N/A</v>
      </c>
      <c r="AH197" s="115" t="e">
        <f t="shared" si="354"/>
        <v>#N/A</v>
      </c>
      <c r="AI197" s="115" t="e">
        <f t="shared" si="354"/>
        <v>#N/A</v>
      </c>
      <c r="AJ197" s="115" t="e">
        <f t="shared" si="354"/>
        <v>#N/A</v>
      </c>
      <c r="AK197" s="115" t="e">
        <f t="shared" si="354"/>
        <v>#N/A</v>
      </c>
      <c r="AL197" s="115" t="e">
        <f t="shared" si="354"/>
        <v>#N/A</v>
      </c>
      <c r="AM197" s="115" t="e">
        <f t="shared" si="354"/>
        <v>#N/A</v>
      </c>
      <c r="AN197" s="115" t="e">
        <f t="shared" si="354"/>
        <v>#N/A</v>
      </c>
      <c r="AO197" s="115" t="e">
        <f t="shared" si="354"/>
        <v>#N/A</v>
      </c>
      <c r="AP197" s="115" t="e">
        <f t="shared" si="354"/>
        <v>#N/A</v>
      </c>
      <c r="AQ197" s="115" t="e">
        <f t="shared" si="354"/>
        <v>#N/A</v>
      </c>
      <c r="AR197" s="115" t="e">
        <f t="shared" si="354"/>
        <v>#N/A</v>
      </c>
      <c r="AS197" s="115" t="e">
        <f t="shared" si="354"/>
        <v>#N/A</v>
      </c>
      <c r="AT197" s="115" t="e">
        <f t="shared" si="354"/>
        <v>#N/A</v>
      </c>
      <c r="AU197" s="115" t="e">
        <f t="shared" si="354"/>
        <v>#N/A</v>
      </c>
      <c r="AV197" s="115" t="e">
        <f t="shared" si="354"/>
        <v>#VALUE!</v>
      </c>
      <c r="AW197" s="115" t="e">
        <f t="shared" si="354"/>
        <v>#VALUE!</v>
      </c>
      <c r="AX197" s="115" t="e">
        <f t="shared" si="354"/>
        <v>#VALUE!</v>
      </c>
      <c r="AY197" s="115" t="e">
        <f t="shared" si="354"/>
        <v>#VALUE!</v>
      </c>
      <c r="AZ197" s="115" t="e">
        <f t="shared" si="354"/>
        <v>#VALUE!</v>
      </c>
      <c r="BA197" s="115" t="e">
        <f t="shared" si="354"/>
        <v>#VALUE!</v>
      </c>
      <c r="BB197" s="115" t="e">
        <f t="shared" si="354"/>
        <v>#VALUE!</v>
      </c>
      <c r="BC197" s="115" t="e">
        <f t="shared" si="354"/>
        <v>#VALUE!</v>
      </c>
      <c r="BD197" s="115" t="e">
        <f t="shared" si="354"/>
        <v>#VALUE!</v>
      </c>
      <c r="BE197" s="115" t="e">
        <f t="shared" si="354"/>
        <v>#VALUE!</v>
      </c>
      <c r="BF197" s="115" t="e">
        <f t="shared" si="354"/>
        <v>#VALUE!</v>
      </c>
      <c r="BG197" s="115" t="e">
        <f t="shared" si="354"/>
        <v>#VALUE!</v>
      </c>
      <c r="BH197" s="115" t="e">
        <f t="shared" si="354"/>
        <v>#VALUE!</v>
      </c>
      <c r="BI197" s="115" t="e">
        <f t="shared" si="354"/>
        <v>#VALUE!</v>
      </c>
      <c r="BJ197" s="115" t="e">
        <f t="shared" si="354"/>
        <v>#VALUE!</v>
      </c>
      <c r="BK197" s="115" t="e">
        <f t="shared" si="354"/>
        <v>#VALUE!</v>
      </c>
      <c r="BL197" s="115" t="e">
        <f t="shared" si="354"/>
        <v>#VALUE!</v>
      </c>
      <c r="BM197" s="115" t="e">
        <f t="shared" si="354"/>
        <v>#VALUE!</v>
      </c>
      <c r="BN197" s="115" t="e">
        <f t="shared" si="354"/>
        <v>#VALUE!</v>
      </c>
      <c r="BO197" s="115" t="e">
        <f t="shared" si="354"/>
        <v>#VALUE!</v>
      </c>
      <c r="BP197" s="115" t="e">
        <f t="shared" si="354"/>
        <v>#VALUE!</v>
      </c>
      <c r="BQ197" s="115" t="e">
        <f t="shared" si="354"/>
        <v>#VALUE!</v>
      </c>
      <c r="BR197" s="115" t="e">
        <f t="shared" si="354"/>
        <v>#VALUE!</v>
      </c>
      <c r="BS197" s="115" t="e">
        <f t="shared" si="354"/>
        <v>#VALUE!</v>
      </c>
      <c r="BT197" s="115" t="e">
        <f t="shared" si="354"/>
        <v>#VALUE!</v>
      </c>
      <c r="BU197" s="115" t="e">
        <f t="shared" si="354"/>
        <v>#VALUE!</v>
      </c>
      <c r="BV197" s="115" t="e">
        <f t="shared" si="354"/>
        <v>#VALUE!</v>
      </c>
      <c r="BW197" s="115" t="e">
        <f t="shared" si="354"/>
        <v>#VALUE!</v>
      </c>
      <c r="BX197" s="115" t="e">
        <f t="shared" si="354"/>
        <v>#VALUE!</v>
      </c>
      <c r="BY197" s="115" t="e">
        <f t="shared" si="354"/>
        <v>#VALUE!</v>
      </c>
      <c r="BZ197" s="115" t="e">
        <f t="shared" si="354"/>
        <v>#VALUE!</v>
      </c>
      <c r="CA197" s="115" t="e">
        <f t="shared" si="354"/>
        <v>#VALUE!</v>
      </c>
      <c r="CB197" s="115" t="e">
        <f t="shared" si="354"/>
        <v>#VALUE!</v>
      </c>
      <c r="CC197" s="115" t="e">
        <f t="shared" si="354"/>
        <v>#VALUE!</v>
      </c>
      <c r="CD197" s="115" t="e">
        <f t="shared" ref="CD197:DM197" si="355">CD196+SUM(CD190:CD192)</f>
        <v>#VALUE!</v>
      </c>
      <c r="CE197" s="115" t="e">
        <f t="shared" si="355"/>
        <v>#VALUE!</v>
      </c>
      <c r="CF197" s="115" t="e">
        <f t="shared" si="355"/>
        <v>#VALUE!</v>
      </c>
      <c r="CG197" s="115" t="e">
        <f t="shared" si="355"/>
        <v>#VALUE!</v>
      </c>
      <c r="CH197" s="115" t="e">
        <f t="shared" si="355"/>
        <v>#VALUE!</v>
      </c>
      <c r="CI197" s="115" t="e">
        <f t="shared" si="355"/>
        <v>#VALUE!</v>
      </c>
      <c r="CJ197" s="115" t="e">
        <f t="shared" si="355"/>
        <v>#VALUE!</v>
      </c>
      <c r="CK197" s="115" t="e">
        <f t="shared" si="355"/>
        <v>#VALUE!</v>
      </c>
      <c r="CL197" s="115" t="e">
        <f t="shared" si="355"/>
        <v>#VALUE!</v>
      </c>
      <c r="CM197" s="115" t="e">
        <f t="shared" si="355"/>
        <v>#VALUE!</v>
      </c>
      <c r="CN197" s="115" t="e">
        <f t="shared" si="355"/>
        <v>#VALUE!</v>
      </c>
      <c r="CO197" s="115" t="e">
        <f t="shared" si="355"/>
        <v>#VALUE!</v>
      </c>
      <c r="CP197" s="115" t="e">
        <f t="shared" si="355"/>
        <v>#VALUE!</v>
      </c>
      <c r="CQ197" s="115" t="e">
        <f t="shared" si="355"/>
        <v>#VALUE!</v>
      </c>
      <c r="CR197" s="115" t="e">
        <f t="shared" si="355"/>
        <v>#VALUE!</v>
      </c>
      <c r="CS197" s="115" t="e">
        <f t="shared" si="355"/>
        <v>#VALUE!</v>
      </c>
      <c r="CT197" s="115" t="e">
        <f t="shared" si="355"/>
        <v>#VALUE!</v>
      </c>
      <c r="CU197" s="115" t="e">
        <f t="shared" si="355"/>
        <v>#VALUE!</v>
      </c>
      <c r="CV197" s="115" t="e">
        <f t="shared" si="355"/>
        <v>#VALUE!</v>
      </c>
      <c r="CW197" s="115" t="e">
        <f t="shared" si="355"/>
        <v>#VALUE!</v>
      </c>
      <c r="CX197" s="115" t="e">
        <f t="shared" si="355"/>
        <v>#VALUE!</v>
      </c>
      <c r="CY197" s="115" t="e">
        <f t="shared" si="355"/>
        <v>#VALUE!</v>
      </c>
      <c r="CZ197" s="115" t="e">
        <f t="shared" si="355"/>
        <v>#VALUE!</v>
      </c>
      <c r="DA197" s="115" t="e">
        <f t="shared" si="355"/>
        <v>#VALUE!</v>
      </c>
      <c r="DB197" s="115" t="e">
        <f t="shared" si="355"/>
        <v>#VALUE!</v>
      </c>
      <c r="DC197" s="115" t="e">
        <f t="shared" si="355"/>
        <v>#VALUE!</v>
      </c>
      <c r="DD197" s="115" t="e">
        <f t="shared" si="355"/>
        <v>#VALUE!</v>
      </c>
      <c r="DE197" s="115" t="e">
        <f t="shared" si="355"/>
        <v>#VALUE!</v>
      </c>
      <c r="DF197" s="115" t="e">
        <f t="shared" si="355"/>
        <v>#VALUE!</v>
      </c>
      <c r="DG197" s="115" t="e">
        <f t="shared" si="355"/>
        <v>#VALUE!</v>
      </c>
      <c r="DH197" s="115" t="e">
        <f t="shared" si="355"/>
        <v>#VALUE!</v>
      </c>
      <c r="DI197" s="115" t="e">
        <f t="shared" si="355"/>
        <v>#VALUE!</v>
      </c>
      <c r="DJ197" s="115" t="e">
        <f t="shared" si="355"/>
        <v>#VALUE!</v>
      </c>
      <c r="DK197" s="115" t="e">
        <f t="shared" si="355"/>
        <v>#VALUE!</v>
      </c>
      <c r="DL197" s="115" t="e">
        <f t="shared" si="355"/>
        <v>#VALUE!</v>
      </c>
      <c r="DM197" s="115" t="e">
        <f t="shared" si="355"/>
        <v>#VALUE!</v>
      </c>
    </row>
    <row r="198" spans="1:117" ht="15" customHeight="1">
      <c r="A198" s="108">
        <v>21100</v>
      </c>
      <c r="B198" s="68" t="s">
        <v>966</v>
      </c>
      <c r="C198" s="68" t="s">
        <v>976</v>
      </c>
      <c r="D198" s="68" t="s">
        <v>977</v>
      </c>
      <c r="E198" s="68"/>
      <c r="F198" s="68" t="s">
        <v>978</v>
      </c>
      <c r="G198" s="68"/>
      <c r="H198" s="68"/>
      <c r="I198" s="68"/>
      <c r="J198" s="68"/>
      <c r="K198" s="68"/>
      <c r="L198" s="68"/>
      <c r="M198" s="108"/>
      <c r="N198" s="110"/>
      <c r="O198" s="381" t="e">
        <f>VLOOKUP("EK",Errichtungskosten,12,0)+VLOOKUP("OFK",Folgekosten,13,0)</f>
        <v>#N/A</v>
      </c>
      <c r="P198" s="170" t="s">
        <v>103</v>
      </c>
      <c r="Q198" s="114" t="e">
        <f t="shared" ref="Q198:AV198" si="356">VLOOKUP("EK",Errichtungskosten,5,0)+Q197</f>
        <v>#N/A</v>
      </c>
      <c r="R198" s="115" t="e">
        <f t="shared" si="356"/>
        <v>#N/A</v>
      </c>
      <c r="S198" s="115" t="e">
        <f t="shared" si="356"/>
        <v>#N/A</v>
      </c>
      <c r="T198" s="115" t="e">
        <f t="shared" si="356"/>
        <v>#N/A</v>
      </c>
      <c r="U198" s="115" t="e">
        <f t="shared" si="356"/>
        <v>#N/A</v>
      </c>
      <c r="V198" s="115" t="e">
        <f t="shared" si="356"/>
        <v>#N/A</v>
      </c>
      <c r="W198" s="115" t="e">
        <f t="shared" si="356"/>
        <v>#N/A</v>
      </c>
      <c r="X198" s="115" t="e">
        <f t="shared" si="356"/>
        <v>#N/A</v>
      </c>
      <c r="Y198" s="115" t="e">
        <f t="shared" si="356"/>
        <v>#N/A</v>
      </c>
      <c r="Z198" s="115" t="e">
        <f t="shared" si="356"/>
        <v>#N/A</v>
      </c>
      <c r="AA198" s="115" t="e">
        <f t="shared" si="356"/>
        <v>#N/A</v>
      </c>
      <c r="AB198" s="115" t="e">
        <f t="shared" si="356"/>
        <v>#N/A</v>
      </c>
      <c r="AC198" s="115" t="e">
        <f t="shared" si="356"/>
        <v>#N/A</v>
      </c>
      <c r="AD198" s="115" t="e">
        <f t="shared" si="356"/>
        <v>#N/A</v>
      </c>
      <c r="AE198" s="115" t="e">
        <f t="shared" si="356"/>
        <v>#N/A</v>
      </c>
      <c r="AF198" s="115" t="e">
        <f t="shared" si="356"/>
        <v>#N/A</v>
      </c>
      <c r="AG198" s="115" t="e">
        <f t="shared" si="356"/>
        <v>#N/A</v>
      </c>
      <c r="AH198" s="115" t="e">
        <f t="shared" si="356"/>
        <v>#N/A</v>
      </c>
      <c r="AI198" s="115" t="e">
        <f t="shared" si="356"/>
        <v>#N/A</v>
      </c>
      <c r="AJ198" s="115" t="e">
        <f t="shared" si="356"/>
        <v>#N/A</v>
      </c>
      <c r="AK198" s="115" t="e">
        <f t="shared" si="356"/>
        <v>#N/A</v>
      </c>
      <c r="AL198" s="115" t="e">
        <f t="shared" si="356"/>
        <v>#N/A</v>
      </c>
      <c r="AM198" s="115" t="e">
        <f t="shared" si="356"/>
        <v>#N/A</v>
      </c>
      <c r="AN198" s="115" t="e">
        <f t="shared" si="356"/>
        <v>#N/A</v>
      </c>
      <c r="AO198" s="115" t="e">
        <f t="shared" si="356"/>
        <v>#N/A</v>
      </c>
      <c r="AP198" s="115" t="e">
        <f t="shared" si="356"/>
        <v>#N/A</v>
      </c>
      <c r="AQ198" s="115" t="e">
        <f t="shared" si="356"/>
        <v>#N/A</v>
      </c>
      <c r="AR198" s="115" t="e">
        <f t="shared" si="356"/>
        <v>#N/A</v>
      </c>
      <c r="AS198" s="115" t="e">
        <f t="shared" si="356"/>
        <v>#N/A</v>
      </c>
      <c r="AT198" s="115" t="e">
        <f t="shared" si="356"/>
        <v>#N/A</v>
      </c>
      <c r="AU198" s="115" t="e">
        <f t="shared" si="356"/>
        <v>#N/A</v>
      </c>
      <c r="AV198" s="115" t="e">
        <f t="shared" si="356"/>
        <v>#VALUE!</v>
      </c>
      <c r="AW198" s="115" t="e">
        <f t="shared" ref="AW198:CB198" si="357">VLOOKUP("EK",Errichtungskosten,5,0)+AW197</f>
        <v>#VALUE!</v>
      </c>
      <c r="AX198" s="115" t="e">
        <f t="shared" si="357"/>
        <v>#VALUE!</v>
      </c>
      <c r="AY198" s="115" t="e">
        <f t="shared" si="357"/>
        <v>#VALUE!</v>
      </c>
      <c r="AZ198" s="115" t="e">
        <f t="shared" si="357"/>
        <v>#VALUE!</v>
      </c>
      <c r="BA198" s="115" t="e">
        <f t="shared" si="357"/>
        <v>#VALUE!</v>
      </c>
      <c r="BB198" s="115" t="e">
        <f t="shared" si="357"/>
        <v>#VALUE!</v>
      </c>
      <c r="BC198" s="115" t="e">
        <f t="shared" si="357"/>
        <v>#VALUE!</v>
      </c>
      <c r="BD198" s="115" t="e">
        <f t="shared" si="357"/>
        <v>#VALUE!</v>
      </c>
      <c r="BE198" s="115" t="e">
        <f t="shared" si="357"/>
        <v>#VALUE!</v>
      </c>
      <c r="BF198" s="115" t="e">
        <f t="shared" si="357"/>
        <v>#VALUE!</v>
      </c>
      <c r="BG198" s="115" t="e">
        <f t="shared" si="357"/>
        <v>#VALUE!</v>
      </c>
      <c r="BH198" s="115" t="e">
        <f t="shared" si="357"/>
        <v>#VALUE!</v>
      </c>
      <c r="BI198" s="115" t="e">
        <f t="shared" si="357"/>
        <v>#VALUE!</v>
      </c>
      <c r="BJ198" s="115" t="e">
        <f t="shared" si="357"/>
        <v>#VALUE!</v>
      </c>
      <c r="BK198" s="115" t="e">
        <f t="shared" si="357"/>
        <v>#VALUE!</v>
      </c>
      <c r="BL198" s="115" t="e">
        <f t="shared" si="357"/>
        <v>#VALUE!</v>
      </c>
      <c r="BM198" s="115" t="e">
        <f t="shared" si="357"/>
        <v>#VALUE!</v>
      </c>
      <c r="BN198" s="115" t="e">
        <f t="shared" si="357"/>
        <v>#VALUE!</v>
      </c>
      <c r="BO198" s="115" t="e">
        <f t="shared" si="357"/>
        <v>#VALUE!</v>
      </c>
      <c r="BP198" s="115" t="e">
        <f t="shared" si="357"/>
        <v>#VALUE!</v>
      </c>
      <c r="BQ198" s="115" t="e">
        <f t="shared" si="357"/>
        <v>#VALUE!</v>
      </c>
      <c r="BR198" s="115" t="e">
        <f t="shared" si="357"/>
        <v>#VALUE!</v>
      </c>
      <c r="BS198" s="115" t="e">
        <f t="shared" si="357"/>
        <v>#VALUE!</v>
      </c>
      <c r="BT198" s="115" t="e">
        <f t="shared" si="357"/>
        <v>#VALUE!</v>
      </c>
      <c r="BU198" s="115" t="e">
        <f t="shared" si="357"/>
        <v>#VALUE!</v>
      </c>
      <c r="BV198" s="115" t="e">
        <f t="shared" si="357"/>
        <v>#VALUE!</v>
      </c>
      <c r="BW198" s="115" t="e">
        <f t="shared" si="357"/>
        <v>#VALUE!</v>
      </c>
      <c r="BX198" s="115" t="e">
        <f t="shared" si="357"/>
        <v>#VALUE!</v>
      </c>
      <c r="BY198" s="115" t="e">
        <f t="shared" si="357"/>
        <v>#VALUE!</v>
      </c>
      <c r="BZ198" s="115" t="e">
        <f t="shared" si="357"/>
        <v>#VALUE!</v>
      </c>
      <c r="CA198" s="115" t="e">
        <f t="shared" si="357"/>
        <v>#VALUE!</v>
      </c>
      <c r="CB198" s="115" t="e">
        <f t="shared" si="357"/>
        <v>#VALUE!</v>
      </c>
      <c r="CC198" s="115" t="e">
        <f t="shared" ref="CC198:DH198" si="358">VLOOKUP("EK",Errichtungskosten,5,0)+CC197</f>
        <v>#VALUE!</v>
      </c>
      <c r="CD198" s="115" t="e">
        <f t="shared" si="358"/>
        <v>#VALUE!</v>
      </c>
      <c r="CE198" s="115" t="e">
        <f t="shared" si="358"/>
        <v>#VALUE!</v>
      </c>
      <c r="CF198" s="115" t="e">
        <f t="shared" si="358"/>
        <v>#VALUE!</v>
      </c>
      <c r="CG198" s="115" t="e">
        <f t="shared" si="358"/>
        <v>#VALUE!</v>
      </c>
      <c r="CH198" s="115" t="e">
        <f t="shared" si="358"/>
        <v>#VALUE!</v>
      </c>
      <c r="CI198" s="115" t="e">
        <f t="shared" si="358"/>
        <v>#VALUE!</v>
      </c>
      <c r="CJ198" s="115" t="e">
        <f t="shared" si="358"/>
        <v>#VALUE!</v>
      </c>
      <c r="CK198" s="115" t="e">
        <f t="shared" si="358"/>
        <v>#VALUE!</v>
      </c>
      <c r="CL198" s="115" t="e">
        <f t="shared" si="358"/>
        <v>#VALUE!</v>
      </c>
      <c r="CM198" s="115" t="e">
        <f t="shared" si="358"/>
        <v>#VALUE!</v>
      </c>
      <c r="CN198" s="115" t="e">
        <f t="shared" si="358"/>
        <v>#VALUE!</v>
      </c>
      <c r="CO198" s="115" t="e">
        <f t="shared" si="358"/>
        <v>#VALUE!</v>
      </c>
      <c r="CP198" s="115" t="e">
        <f t="shared" si="358"/>
        <v>#VALUE!</v>
      </c>
      <c r="CQ198" s="115" t="e">
        <f t="shared" si="358"/>
        <v>#VALUE!</v>
      </c>
      <c r="CR198" s="115" t="e">
        <f t="shared" si="358"/>
        <v>#VALUE!</v>
      </c>
      <c r="CS198" s="115" t="e">
        <f t="shared" si="358"/>
        <v>#VALUE!</v>
      </c>
      <c r="CT198" s="115" t="e">
        <f t="shared" si="358"/>
        <v>#VALUE!</v>
      </c>
      <c r="CU198" s="115" t="e">
        <f t="shared" si="358"/>
        <v>#VALUE!</v>
      </c>
      <c r="CV198" s="115" t="e">
        <f t="shared" si="358"/>
        <v>#VALUE!</v>
      </c>
      <c r="CW198" s="115" t="e">
        <f t="shared" si="358"/>
        <v>#VALUE!</v>
      </c>
      <c r="CX198" s="115" t="e">
        <f t="shared" si="358"/>
        <v>#VALUE!</v>
      </c>
      <c r="CY198" s="115" t="e">
        <f t="shared" si="358"/>
        <v>#VALUE!</v>
      </c>
      <c r="CZ198" s="115" t="e">
        <f t="shared" si="358"/>
        <v>#VALUE!</v>
      </c>
      <c r="DA198" s="115" t="e">
        <f t="shared" si="358"/>
        <v>#VALUE!</v>
      </c>
      <c r="DB198" s="115" t="e">
        <f t="shared" si="358"/>
        <v>#VALUE!</v>
      </c>
      <c r="DC198" s="115" t="e">
        <f t="shared" si="358"/>
        <v>#VALUE!</v>
      </c>
      <c r="DD198" s="115" t="e">
        <f t="shared" si="358"/>
        <v>#VALUE!</v>
      </c>
      <c r="DE198" s="115" t="e">
        <f t="shared" si="358"/>
        <v>#VALUE!</v>
      </c>
      <c r="DF198" s="115" t="e">
        <f t="shared" si="358"/>
        <v>#VALUE!</v>
      </c>
      <c r="DG198" s="115" t="e">
        <f t="shared" si="358"/>
        <v>#VALUE!</v>
      </c>
      <c r="DH198" s="115" t="e">
        <f t="shared" si="358"/>
        <v>#VALUE!</v>
      </c>
      <c r="DI198" s="115" t="e">
        <f t="shared" ref="DI198:DM198" si="359">VLOOKUP("EK",Errichtungskosten,5,0)+DI197</f>
        <v>#VALUE!</v>
      </c>
      <c r="DJ198" s="115" t="e">
        <f t="shared" si="359"/>
        <v>#VALUE!</v>
      </c>
      <c r="DK198" s="115" t="e">
        <f t="shared" si="359"/>
        <v>#VALUE!</v>
      </c>
      <c r="DL198" s="115" t="e">
        <f t="shared" si="359"/>
        <v>#VALUE!</v>
      </c>
      <c r="DM198" s="115" t="e">
        <f t="shared" si="359"/>
        <v>#VALUE!</v>
      </c>
    </row>
  </sheetData>
  <sheetProtection password="FDAF" sheet="1" objects="1" scenarios="1"/>
  <dataConsolidate/>
  <mergeCells count="9">
    <mergeCell ref="Q3:R4"/>
    <mergeCell ref="G3:J3"/>
    <mergeCell ref="G193:J193"/>
    <mergeCell ref="J98:K98"/>
    <mergeCell ref="A1:E1"/>
    <mergeCell ref="L1:M1"/>
    <mergeCell ref="N1:N2"/>
    <mergeCell ref="L3:N3"/>
    <mergeCell ref="L193:N193"/>
  </mergeCells>
  <dataValidations count="1">
    <dataValidation type="list" allowBlank="1" showInputMessage="1" showErrorMessage="1" sqref="L188 L120:L121 L123:L126 L129:L135 L137:L142 L144:L153 L155 L170:L174 L167:L168 L165 L176:L179 L181:L186 L190:L192 L158:L163 L106:L107 L103:L104 L99:L101 L90:L95 L87:L88 L77:L79 L72:L75 L66:L69 L110:L118 L81:L85 L5:L8 L13:L27 L47:L64 L10:L11 L29:L44">
      <formula1>Preissteigerung</formula1>
    </dataValidation>
  </dataValidations>
  <hyperlinks>
    <hyperlink ref="G3:J3" location="'Nutzung &amp; Betrieb'!A1" display="zurück zu &quot;Nutzung &amp; Betrieb&quot;"/>
    <hyperlink ref="J98:K98" location="Instandsetzung!I65" display="zu den &quot;Nutzungsdauern&quot;"/>
    <hyperlink ref="L3:M3" location="'Finanzielle Parameter'!I3" display="Finanzielle Parameter"/>
    <hyperlink ref="L193:M193" location="'Finanzielle Parameter'!I3" display="Finanzielle Parameter"/>
    <hyperlink ref="G193:J193" location="'Nutzung &amp; Betrieb'!A1" display="zurück zu &quot;Nutzung &amp; Betrieb&quot;"/>
  </hyperlinks>
  <pageMargins left="0.78740157480314965" right="0.78740157480314965" top="0.98425196850393704" bottom="0.98425196850393704" header="0.51181102362204722" footer="0.51181102362204722"/>
  <pageSetup paperSize="9" scale="89" fitToHeight="0" orientation="landscape" horizontalDpi="300" verticalDpi="300" r:id="rId1"/>
  <headerFooter>
    <oddFooter>&amp;L&amp;F&amp;C&amp;A&amp;R&amp;P von &amp;N</oddFooter>
  </headerFooter>
  <rowBreaks count="7" manualBreakCount="7">
    <brk id="27" max="15" man="1"/>
    <brk id="57" max="15" man="1"/>
    <brk id="85" max="15" man="1"/>
    <brk id="107" max="15" man="1"/>
    <brk id="135" max="15" man="1"/>
    <brk id="163" max="15" man="1"/>
    <brk id="192" max="15" man="1"/>
  </rowBreaks>
  <drawing r:id="rId2"/>
  <legacyDrawing r:id="rId3"/>
</worksheet>
</file>

<file path=xl/worksheets/sheet13.xml><?xml version="1.0" encoding="utf-8"?>
<worksheet xmlns="http://schemas.openxmlformats.org/spreadsheetml/2006/main" xmlns:r="http://schemas.openxmlformats.org/officeDocument/2006/relationships">
  <sheetPr codeName="Tabelle10">
    <tabColor theme="8" tint="0.79998168889431442"/>
    <pageSetUpPr fitToPage="1"/>
  </sheetPr>
  <dimension ref="A1:L111"/>
  <sheetViews>
    <sheetView topLeftCell="D1" zoomScaleNormal="100" workbookViewId="0">
      <pane ySplit="1" topLeftCell="A2" activePane="bottomLeft" state="frozen"/>
      <selection activeCell="C23" sqref="C23:M24"/>
      <selection pane="bottomLeft" activeCell="I3" sqref="I3"/>
    </sheetView>
  </sheetViews>
  <sheetFormatPr baseColWidth="10" defaultRowHeight="15" customHeight="1"/>
  <cols>
    <col min="1" max="1" width="7.33203125" style="37" hidden="1" customWidth="1"/>
    <col min="2" max="2" width="5.1640625" style="37" hidden="1" customWidth="1"/>
    <col min="3" max="3" width="12.33203125" style="37" hidden="1" customWidth="1"/>
    <col min="4" max="4" width="86.5" style="37" customWidth="1"/>
    <col min="5" max="5" width="92.33203125" style="37" hidden="1" customWidth="1"/>
    <col min="6" max="6" width="12.33203125" style="37" hidden="1" customWidth="1"/>
    <col min="7" max="7" width="10.83203125" style="37" customWidth="1"/>
    <col min="8" max="8" width="10.83203125" style="37" hidden="1" customWidth="1"/>
    <col min="9" max="9" width="13.83203125" style="47" customWidth="1"/>
    <col min="10" max="10" width="12.83203125" style="37" customWidth="1"/>
    <col min="11" max="11" width="25.33203125" style="37" customWidth="1"/>
    <col min="12" max="12" width="19.83203125" style="40" customWidth="1"/>
    <col min="13" max="13" width="12" style="37" customWidth="1"/>
    <col min="14" max="16384" width="12" style="37"/>
  </cols>
  <sheetData>
    <row r="1" spans="1:12" ht="15.95" customHeight="1" thickBot="1">
      <c r="A1" s="344" t="s">
        <v>1</v>
      </c>
      <c r="B1" s="344"/>
      <c r="C1" s="344" t="s">
        <v>2</v>
      </c>
      <c r="D1" s="344" t="s">
        <v>66</v>
      </c>
      <c r="E1" s="344" t="s">
        <v>89</v>
      </c>
      <c r="F1" s="344" t="s">
        <v>90</v>
      </c>
      <c r="G1" s="352" t="s">
        <v>1207</v>
      </c>
      <c r="H1" s="352" t="s">
        <v>1208</v>
      </c>
      <c r="I1" s="352" t="s">
        <v>1206</v>
      </c>
      <c r="J1" s="344" t="s">
        <v>1484</v>
      </c>
      <c r="K1" s="36"/>
      <c r="L1" s="36"/>
    </row>
    <row r="2" spans="1:12" ht="15" customHeight="1" thickTop="1" thickBot="1">
      <c r="A2" s="293">
        <v>5300</v>
      </c>
      <c r="B2" s="293"/>
      <c r="C2" s="172"/>
      <c r="D2" s="172" t="s">
        <v>2709</v>
      </c>
      <c r="E2" s="172"/>
      <c r="F2" s="172"/>
      <c r="G2" s="623" t="s">
        <v>1536</v>
      </c>
      <c r="H2" s="623"/>
      <c r="I2" s="623"/>
      <c r="J2" s="623"/>
      <c r="L2" s="43"/>
    </row>
    <row r="3" spans="1:12" s="367" customFormat="1" ht="15" customHeight="1" thickTop="1" thickBot="1">
      <c r="A3" s="108"/>
      <c r="B3" s="108"/>
      <c r="C3" s="68"/>
      <c r="D3" s="68" t="s">
        <v>1534</v>
      </c>
      <c r="E3" s="68"/>
      <c r="F3" s="68"/>
      <c r="G3" s="291" t="str">
        <f>IF(I3="Bitte auswählen",H3,I3)</f>
        <v>nein</v>
      </c>
      <c r="H3" s="292" t="s">
        <v>1269</v>
      </c>
      <c r="I3" s="471" t="s">
        <v>2071</v>
      </c>
      <c r="J3" s="194"/>
    </row>
    <row r="4" spans="1:12" ht="15" customHeight="1" thickBot="1">
      <c r="A4" s="55">
        <v>5400</v>
      </c>
      <c r="B4" s="55"/>
      <c r="C4" s="194" t="s">
        <v>39</v>
      </c>
      <c r="D4" s="194" t="s">
        <v>2029</v>
      </c>
      <c r="E4" s="194"/>
      <c r="F4" s="194"/>
      <c r="G4" s="291">
        <f t="shared" ref="G4:G37" si="0">IF(I4="",H4,I4)</f>
        <v>0</v>
      </c>
      <c r="H4" s="431"/>
      <c r="I4" s="432"/>
      <c r="J4" s="194" t="s">
        <v>96</v>
      </c>
    </row>
    <row r="5" spans="1:12" ht="15" customHeight="1" thickBot="1">
      <c r="A5" s="55">
        <v>5500</v>
      </c>
      <c r="B5" s="55"/>
      <c r="C5" s="194" t="s">
        <v>40</v>
      </c>
      <c r="D5" s="194" t="s">
        <v>2030</v>
      </c>
      <c r="E5" s="194"/>
      <c r="F5" s="194"/>
      <c r="G5" s="291">
        <f t="shared" si="0"/>
        <v>0</v>
      </c>
      <c r="H5" s="431"/>
      <c r="I5" s="432"/>
      <c r="J5" s="194" t="s">
        <v>97</v>
      </c>
    </row>
    <row r="6" spans="1:12" ht="15" customHeight="1" thickBot="1">
      <c r="A6" s="55">
        <v>5600</v>
      </c>
      <c r="B6" s="55"/>
      <c r="C6" s="194" t="s">
        <v>41</v>
      </c>
      <c r="D6" s="194" t="s">
        <v>2031</v>
      </c>
      <c r="E6" s="194"/>
      <c r="F6" s="194"/>
      <c r="G6" s="291">
        <f t="shared" si="0"/>
        <v>0</v>
      </c>
      <c r="H6" s="431"/>
      <c r="I6" s="432"/>
      <c r="J6" s="194" t="s">
        <v>97</v>
      </c>
    </row>
    <row r="7" spans="1:12" ht="15" customHeight="1" thickBot="1">
      <c r="A7" s="55">
        <v>5700</v>
      </c>
      <c r="B7" s="55"/>
      <c r="C7" s="194" t="s">
        <v>42</v>
      </c>
      <c r="D7" s="194" t="s">
        <v>2229</v>
      </c>
      <c r="E7" s="194"/>
      <c r="F7" s="194"/>
      <c r="G7" s="291">
        <f t="shared" si="0"/>
        <v>0</v>
      </c>
      <c r="H7" s="431"/>
      <c r="I7" s="432"/>
      <c r="J7" s="194" t="s">
        <v>98</v>
      </c>
      <c r="L7" s="43"/>
    </row>
    <row r="8" spans="1:12" ht="15" customHeight="1" thickBot="1">
      <c r="A8" s="55">
        <v>5800</v>
      </c>
      <c r="B8" s="55"/>
      <c r="C8" s="194" t="s">
        <v>43</v>
      </c>
      <c r="D8" s="194" t="s">
        <v>2230</v>
      </c>
      <c r="E8" s="194"/>
      <c r="F8" s="194"/>
      <c r="G8" s="291">
        <f t="shared" si="0"/>
        <v>0</v>
      </c>
      <c r="H8" s="431"/>
      <c r="I8" s="432"/>
      <c r="J8" s="194" t="s">
        <v>98</v>
      </c>
      <c r="L8" s="43"/>
    </row>
    <row r="9" spans="1:12" ht="15" customHeight="1" thickBot="1">
      <c r="A9" s="55">
        <v>5900</v>
      </c>
      <c r="B9" s="55"/>
      <c r="C9" s="194" t="s">
        <v>44</v>
      </c>
      <c r="D9" s="194" t="s">
        <v>2231</v>
      </c>
      <c r="E9" s="194"/>
      <c r="F9" s="194"/>
      <c r="G9" s="291">
        <f t="shared" si="0"/>
        <v>0</v>
      </c>
      <c r="H9" s="431"/>
      <c r="I9" s="432"/>
      <c r="J9" s="194" t="s">
        <v>98</v>
      </c>
    </row>
    <row r="10" spans="1:12" ht="15" customHeight="1" thickBot="1">
      <c r="A10" s="55">
        <v>6000</v>
      </c>
      <c r="B10" s="55"/>
      <c r="C10" s="194" t="s">
        <v>45</v>
      </c>
      <c r="D10" s="194" t="s">
        <v>2032</v>
      </c>
      <c r="E10" s="194"/>
      <c r="F10" s="194"/>
      <c r="G10" s="291">
        <f t="shared" si="0"/>
        <v>0</v>
      </c>
      <c r="H10" s="431"/>
      <c r="I10" s="432"/>
      <c r="J10" s="194" t="s">
        <v>97</v>
      </c>
    </row>
    <row r="11" spans="1:12" ht="15" customHeight="1" thickBot="1">
      <c r="A11" s="55">
        <v>6100</v>
      </c>
      <c r="B11" s="55"/>
      <c r="C11" s="194" t="s">
        <v>46</v>
      </c>
      <c r="D11" s="194" t="s">
        <v>2232</v>
      </c>
      <c r="E11" s="194"/>
      <c r="F11" s="194"/>
      <c r="G11" s="291">
        <f t="shared" si="0"/>
        <v>0</v>
      </c>
      <c r="H11" s="431"/>
      <c r="I11" s="432"/>
      <c r="J11" s="194" t="s">
        <v>98</v>
      </c>
    </row>
    <row r="12" spans="1:12" ht="15" customHeight="1" thickBot="1">
      <c r="A12" s="55">
        <v>6200</v>
      </c>
      <c r="B12" s="55"/>
      <c r="C12" s="194" t="s">
        <v>47</v>
      </c>
      <c r="D12" s="194" t="s">
        <v>2233</v>
      </c>
      <c r="E12" s="194"/>
      <c r="F12" s="194"/>
      <c r="G12" s="291">
        <f t="shared" si="0"/>
        <v>0</v>
      </c>
      <c r="H12" s="431"/>
      <c r="I12" s="432"/>
      <c r="J12" s="194" t="s">
        <v>98</v>
      </c>
      <c r="L12" s="43"/>
    </row>
    <row r="13" spans="1:12" ht="15" customHeight="1" thickBot="1">
      <c r="A13" s="55">
        <v>6300</v>
      </c>
      <c r="B13" s="55"/>
      <c r="C13" s="194" t="s">
        <v>48</v>
      </c>
      <c r="D13" s="194" t="s">
        <v>2234</v>
      </c>
      <c r="E13" s="194"/>
      <c r="F13" s="194"/>
      <c r="G13" s="291">
        <f t="shared" si="0"/>
        <v>0</v>
      </c>
      <c r="H13" s="431"/>
      <c r="I13" s="432"/>
      <c r="J13" s="194" t="s">
        <v>98</v>
      </c>
    </row>
    <row r="14" spans="1:12" ht="15" customHeight="1" thickBot="1">
      <c r="A14" s="55">
        <v>6400</v>
      </c>
      <c r="B14" s="55"/>
      <c r="C14" s="194" t="s">
        <v>49</v>
      </c>
      <c r="D14" s="194" t="s">
        <v>2033</v>
      </c>
      <c r="E14" s="194"/>
      <c r="F14" s="194"/>
      <c r="G14" s="291">
        <f t="shared" si="0"/>
        <v>0</v>
      </c>
      <c r="H14" s="431"/>
      <c r="I14" s="432"/>
      <c r="J14" s="194" t="s">
        <v>97</v>
      </c>
    </row>
    <row r="15" spans="1:12" ht="15" customHeight="1" thickBot="1">
      <c r="A15" s="55">
        <v>6500</v>
      </c>
      <c r="B15" s="55"/>
      <c r="C15" s="194" t="s">
        <v>50</v>
      </c>
      <c r="D15" s="194" t="s">
        <v>2241</v>
      </c>
      <c r="E15" s="194"/>
      <c r="F15" s="194"/>
      <c r="G15" s="291">
        <f t="shared" si="0"/>
        <v>0</v>
      </c>
      <c r="H15" s="431"/>
      <c r="I15" s="432"/>
      <c r="J15" s="194" t="s">
        <v>98</v>
      </c>
    </row>
    <row r="16" spans="1:12" ht="15" customHeight="1" thickBot="1">
      <c r="A16" s="55">
        <v>6600</v>
      </c>
      <c r="B16" s="55"/>
      <c r="C16" s="194" t="s">
        <v>51</v>
      </c>
      <c r="D16" s="194" t="s">
        <v>2242</v>
      </c>
      <c r="E16" s="194"/>
      <c r="F16" s="194"/>
      <c r="G16" s="291">
        <f t="shared" si="0"/>
        <v>0</v>
      </c>
      <c r="H16" s="431"/>
      <c r="I16" s="432"/>
      <c r="J16" s="194" t="s">
        <v>98</v>
      </c>
    </row>
    <row r="17" spans="1:12" ht="15" customHeight="1" thickBot="1">
      <c r="A17" s="55">
        <v>6700</v>
      </c>
      <c r="B17" s="55"/>
      <c r="C17" s="194" t="s">
        <v>52</v>
      </c>
      <c r="D17" s="194" t="s">
        <v>2034</v>
      </c>
      <c r="E17" s="194"/>
      <c r="F17" s="194"/>
      <c r="G17" s="291">
        <f t="shared" si="0"/>
        <v>0</v>
      </c>
      <c r="H17" s="431"/>
      <c r="I17" s="432"/>
      <c r="J17" s="194" t="s">
        <v>97</v>
      </c>
      <c r="L17" s="43"/>
    </row>
    <row r="18" spans="1:12" ht="15" customHeight="1" thickBot="1">
      <c r="A18" s="55">
        <v>6800</v>
      </c>
      <c r="B18" s="55"/>
      <c r="C18" s="194" t="s">
        <v>53</v>
      </c>
      <c r="D18" s="194" t="s">
        <v>2235</v>
      </c>
      <c r="E18" s="194"/>
      <c r="F18" s="194"/>
      <c r="G18" s="291">
        <f t="shared" si="0"/>
        <v>0</v>
      </c>
      <c r="H18" s="431"/>
      <c r="I18" s="432"/>
      <c r="J18" s="194" t="s">
        <v>98</v>
      </c>
    </row>
    <row r="19" spans="1:12" ht="15" customHeight="1" thickBot="1">
      <c r="A19" s="55">
        <v>6900</v>
      </c>
      <c r="B19" s="55"/>
      <c r="C19" s="194" t="s">
        <v>54</v>
      </c>
      <c r="D19" s="194" t="s">
        <v>2236</v>
      </c>
      <c r="E19" s="194"/>
      <c r="F19" s="194"/>
      <c r="G19" s="291">
        <f t="shared" si="0"/>
        <v>0</v>
      </c>
      <c r="H19" s="431"/>
      <c r="I19" s="432"/>
      <c r="J19" s="194" t="s">
        <v>98</v>
      </c>
      <c r="L19" s="43"/>
    </row>
    <row r="20" spans="1:12" ht="15" customHeight="1" thickBot="1">
      <c r="A20" s="55">
        <v>7000</v>
      </c>
      <c r="B20" s="55"/>
      <c r="C20" s="194" t="s">
        <v>55</v>
      </c>
      <c r="D20" s="194" t="s">
        <v>2035</v>
      </c>
      <c r="E20" s="194"/>
      <c r="F20" s="194"/>
      <c r="G20" s="291">
        <f t="shared" si="0"/>
        <v>0</v>
      </c>
      <c r="H20" s="431"/>
      <c r="I20" s="432"/>
      <c r="J20" s="194" t="s">
        <v>99</v>
      </c>
      <c r="L20" s="43"/>
    </row>
    <row r="21" spans="1:12" ht="15" customHeight="1" thickBot="1">
      <c r="A21" s="55">
        <v>7100</v>
      </c>
      <c r="B21" s="55"/>
      <c r="C21" s="194" t="s">
        <v>56</v>
      </c>
      <c r="D21" s="194" t="s">
        <v>2036</v>
      </c>
      <c r="E21" s="194"/>
      <c r="F21" s="194"/>
      <c r="G21" s="291">
        <f t="shared" si="0"/>
        <v>0</v>
      </c>
      <c r="H21" s="431"/>
      <c r="I21" s="432"/>
      <c r="J21" s="194" t="s">
        <v>99</v>
      </c>
      <c r="L21" s="43"/>
    </row>
    <row r="22" spans="1:12" ht="15" customHeight="1" thickBot="1">
      <c r="A22" s="55">
        <v>7300</v>
      </c>
      <c r="B22" s="55"/>
      <c r="C22" s="194" t="s">
        <v>57</v>
      </c>
      <c r="D22" s="194" t="s">
        <v>2037</v>
      </c>
      <c r="E22" s="194"/>
      <c r="F22" s="194"/>
      <c r="G22" s="291">
        <f t="shared" si="0"/>
        <v>0</v>
      </c>
      <c r="H22" s="431"/>
      <c r="I22" s="432"/>
      <c r="J22" s="194" t="s">
        <v>99</v>
      </c>
    </row>
    <row r="23" spans="1:12" ht="15" customHeight="1" thickBot="1">
      <c r="A23" s="55">
        <v>7400</v>
      </c>
      <c r="B23" s="55"/>
      <c r="C23" s="194" t="s">
        <v>58</v>
      </c>
      <c r="D23" s="194" t="s">
        <v>2038</v>
      </c>
      <c r="E23" s="194"/>
      <c r="F23" s="194"/>
      <c r="G23" s="291">
        <f t="shared" si="0"/>
        <v>0</v>
      </c>
      <c r="H23" s="431"/>
      <c r="I23" s="432"/>
      <c r="J23" s="194" t="s">
        <v>99</v>
      </c>
    </row>
    <row r="24" spans="1:12" ht="15" customHeight="1" thickBot="1">
      <c r="A24" s="55">
        <v>7500</v>
      </c>
      <c r="B24" s="55"/>
      <c r="C24" s="194" t="s">
        <v>59</v>
      </c>
      <c r="D24" s="194" t="s">
        <v>2039</v>
      </c>
      <c r="E24" s="194"/>
      <c r="F24" s="194"/>
      <c r="G24" s="291">
        <f t="shared" si="0"/>
        <v>0</v>
      </c>
      <c r="H24" s="431"/>
      <c r="I24" s="432"/>
      <c r="J24" s="194" t="s">
        <v>99</v>
      </c>
    </row>
    <row r="25" spans="1:12" ht="15" customHeight="1" thickBot="1">
      <c r="A25" s="55">
        <v>7600</v>
      </c>
      <c r="B25" s="55"/>
      <c r="C25" s="194" t="s">
        <v>60</v>
      </c>
      <c r="D25" s="194" t="s">
        <v>2040</v>
      </c>
      <c r="E25" s="194"/>
      <c r="F25" s="194"/>
      <c r="G25" s="291">
        <f t="shared" si="0"/>
        <v>0</v>
      </c>
      <c r="H25" s="431"/>
      <c r="I25" s="432"/>
      <c r="J25" s="194" t="s">
        <v>99</v>
      </c>
    </row>
    <row r="26" spans="1:12" ht="15" customHeight="1" thickBot="1">
      <c r="A26" s="55"/>
      <c r="B26" s="55"/>
      <c r="C26" s="194" t="s">
        <v>2257</v>
      </c>
      <c r="D26" s="194" t="s">
        <v>2259</v>
      </c>
      <c r="E26" s="194" t="s">
        <v>2261</v>
      </c>
      <c r="F26" s="194"/>
      <c r="G26" s="291">
        <f t="shared" si="0"/>
        <v>0</v>
      </c>
      <c r="H26" s="431"/>
      <c r="I26" s="432"/>
      <c r="J26" s="194" t="s">
        <v>97</v>
      </c>
    </row>
    <row r="27" spans="1:12" ht="15" customHeight="1" thickBot="1">
      <c r="A27" s="55"/>
      <c r="B27" s="55"/>
      <c r="C27" s="194" t="s">
        <v>2258</v>
      </c>
      <c r="D27" s="194" t="s">
        <v>2260</v>
      </c>
      <c r="E27" s="194" t="s">
        <v>2262</v>
      </c>
      <c r="F27" s="194"/>
      <c r="G27" s="291">
        <f t="shared" si="0"/>
        <v>0</v>
      </c>
      <c r="H27" s="431"/>
      <c r="I27" s="432"/>
      <c r="J27" s="194" t="s">
        <v>97</v>
      </c>
    </row>
    <row r="28" spans="1:12" ht="15" customHeight="1" thickBot="1">
      <c r="A28" s="55">
        <v>7700</v>
      </c>
      <c r="B28" s="55"/>
      <c r="C28" s="194" t="s">
        <v>61</v>
      </c>
      <c r="D28" s="194" t="s">
        <v>2041</v>
      </c>
      <c r="E28" s="194"/>
      <c r="F28" s="194"/>
      <c r="G28" s="291">
        <f t="shared" si="0"/>
        <v>0</v>
      </c>
      <c r="H28" s="431"/>
      <c r="I28" s="432"/>
      <c r="J28" s="194" t="s">
        <v>99</v>
      </c>
    </row>
    <row r="29" spans="1:12" ht="15" customHeight="1" thickBot="1">
      <c r="A29" s="55">
        <v>7800</v>
      </c>
      <c r="B29" s="55"/>
      <c r="C29" s="194" t="s">
        <v>62</v>
      </c>
      <c r="D29" s="194" t="s">
        <v>2042</v>
      </c>
      <c r="E29" s="194"/>
      <c r="F29" s="194"/>
      <c r="G29" s="291">
        <f t="shared" si="0"/>
        <v>0</v>
      </c>
      <c r="H29" s="431"/>
      <c r="I29" s="432"/>
      <c r="J29" s="194" t="s">
        <v>99</v>
      </c>
    </row>
    <row r="30" spans="1:12" ht="15" customHeight="1" thickBot="1">
      <c r="A30" s="55">
        <v>7900</v>
      </c>
      <c r="B30" s="55"/>
      <c r="C30" s="194" t="s">
        <v>63</v>
      </c>
      <c r="D30" s="194" t="s">
        <v>2043</v>
      </c>
      <c r="E30" s="194"/>
      <c r="F30" s="194"/>
      <c r="G30" s="291">
        <f t="shared" si="0"/>
        <v>0</v>
      </c>
      <c r="H30" s="431"/>
      <c r="I30" s="432"/>
      <c r="J30" s="194" t="s">
        <v>99</v>
      </c>
    </row>
    <row r="31" spans="1:12" ht="15" customHeight="1" thickBot="1">
      <c r="A31" s="55">
        <v>8000</v>
      </c>
      <c r="B31" s="55"/>
      <c r="C31" s="194" t="s">
        <v>64</v>
      </c>
      <c r="D31" s="194" t="s">
        <v>2044</v>
      </c>
      <c r="E31" s="194"/>
      <c r="F31" s="194"/>
      <c r="G31" s="291">
        <f t="shared" si="0"/>
        <v>0</v>
      </c>
      <c r="H31" s="431"/>
      <c r="I31" s="432"/>
      <c r="J31" s="194" t="s">
        <v>99</v>
      </c>
    </row>
    <row r="32" spans="1:12" ht="15" customHeight="1" thickBot="1">
      <c r="A32" s="55">
        <v>8100</v>
      </c>
      <c r="B32" s="55"/>
      <c r="C32" s="194" t="s">
        <v>65</v>
      </c>
      <c r="D32" s="194" t="s">
        <v>2045</v>
      </c>
      <c r="E32" s="194"/>
      <c r="F32" s="194"/>
      <c r="G32" s="291">
        <f t="shared" si="0"/>
        <v>0</v>
      </c>
      <c r="H32" s="431"/>
      <c r="I32" s="432"/>
      <c r="J32" s="194" t="s">
        <v>99</v>
      </c>
    </row>
    <row r="33" spans="1:10" ht="15" customHeight="1" thickBot="1">
      <c r="A33" s="55">
        <v>8200</v>
      </c>
      <c r="B33" s="55"/>
      <c r="C33" s="194" t="s">
        <v>2228</v>
      </c>
      <c r="D33" s="194" t="s">
        <v>2243</v>
      </c>
      <c r="E33" s="194"/>
      <c r="F33" s="194"/>
      <c r="G33" s="291">
        <f t="shared" si="0"/>
        <v>0</v>
      </c>
      <c r="H33" s="431"/>
      <c r="I33" s="432"/>
      <c r="J33" s="194" t="s">
        <v>98</v>
      </c>
    </row>
    <row r="34" spans="1:10" ht="15" customHeight="1" thickBot="1">
      <c r="A34" s="55">
        <v>8300</v>
      </c>
      <c r="B34" s="55"/>
      <c r="C34" s="194" t="s">
        <v>2238</v>
      </c>
      <c r="D34" s="194" t="s">
        <v>2244</v>
      </c>
      <c r="E34" s="194"/>
      <c r="F34" s="194"/>
      <c r="G34" s="291">
        <f t="shared" si="0"/>
        <v>0</v>
      </c>
      <c r="H34" s="431"/>
      <c r="I34" s="432"/>
      <c r="J34" s="194" t="s">
        <v>98</v>
      </c>
    </row>
    <row r="35" spans="1:10" ht="15" customHeight="1" thickBot="1">
      <c r="A35" s="55">
        <v>8400</v>
      </c>
      <c r="B35" s="55"/>
      <c r="C35" s="194" t="s">
        <v>2237</v>
      </c>
      <c r="D35" s="194" t="s">
        <v>2245</v>
      </c>
      <c r="E35" s="194"/>
      <c r="F35" s="194"/>
      <c r="G35" s="291">
        <f t="shared" si="0"/>
        <v>0</v>
      </c>
      <c r="H35" s="431"/>
      <c r="I35" s="432"/>
      <c r="J35" s="194" t="s">
        <v>98</v>
      </c>
    </row>
    <row r="36" spans="1:10" ht="15" customHeight="1" thickBot="1">
      <c r="A36" s="55">
        <v>8500</v>
      </c>
      <c r="B36" s="55"/>
      <c r="C36" s="194" t="s">
        <v>2239</v>
      </c>
      <c r="D36" s="194" t="s">
        <v>2246</v>
      </c>
      <c r="E36" s="194"/>
      <c r="F36" s="194"/>
      <c r="G36" s="291">
        <f t="shared" si="0"/>
        <v>0</v>
      </c>
      <c r="H36" s="431"/>
      <c r="I36" s="432"/>
      <c r="J36" s="194" t="s">
        <v>98</v>
      </c>
    </row>
    <row r="37" spans="1:10" ht="15" customHeight="1" thickBot="1">
      <c r="A37" s="55">
        <v>8600</v>
      </c>
      <c r="B37" s="55"/>
      <c r="C37" s="194" t="s">
        <v>2240</v>
      </c>
      <c r="D37" s="194" t="s">
        <v>2247</v>
      </c>
      <c r="E37" s="194"/>
      <c r="F37" s="194"/>
      <c r="G37" s="291">
        <f t="shared" si="0"/>
        <v>0</v>
      </c>
      <c r="H37" s="431"/>
      <c r="I37" s="432"/>
      <c r="J37" s="194" t="s">
        <v>98</v>
      </c>
    </row>
    <row r="38" spans="1:10" ht="15" customHeight="1" thickTop="1" thickBot="1">
      <c r="A38" s="172"/>
      <c r="B38" s="172"/>
      <c r="C38" s="172"/>
      <c r="D38" s="172" t="s">
        <v>2709</v>
      </c>
      <c r="E38" s="172"/>
      <c r="F38" s="172"/>
      <c r="G38" s="623" t="s">
        <v>1536</v>
      </c>
      <c r="H38" s="623"/>
      <c r="I38" s="623"/>
      <c r="J38" s="623"/>
    </row>
    <row r="39" spans="1:10" s="367" customFormat="1" ht="15" customHeight="1" thickTop="1"/>
    <row r="40" spans="1:10" s="367" customFormat="1" ht="15" customHeight="1"/>
    <row r="41" spans="1:10" s="367" customFormat="1" ht="15" customHeight="1"/>
    <row r="42" spans="1:10" s="367" customFormat="1" ht="15" customHeight="1"/>
    <row r="43" spans="1:10" s="367" customFormat="1" ht="15" customHeight="1"/>
    <row r="44" spans="1:10" s="367" customFormat="1" ht="15" customHeight="1"/>
    <row r="45" spans="1:10" s="367" customFormat="1" ht="15" customHeight="1"/>
    <row r="46" spans="1:10" s="367" customFormat="1" ht="15" customHeight="1"/>
    <row r="47" spans="1:10" s="367" customFormat="1" ht="15" customHeight="1"/>
    <row r="48" spans="1:10" s="367" customFormat="1" ht="15" customHeight="1"/>
    <row r="49" spans="1:12" s="367" customFormat="1" ht="15" customHeight="1"/>
    <row r="50" spans="1:12" s="367" customFormat="1" ht="15" customHeight="1"/>
    <row r="51" spans="1:12" s="367" customFormat="1" ht="15" customHeight="1"/>
    <row r="52" spans="1:12" s="367" customFormat="1" ht="15" customHeight="1"/>
    <row r="53" spans="1:12" s="367" customFormat="1" ht="15" customHeight="1"/>
    <row r="54" spans="1:12" s="367" customFormat="1" ht="15" customHeight="1"/>
    <row r="55" spans="1:12" s="367" customFormat="1" ht="15" customHeight="1" thickBot="1"/>
    <row r="56" spans="1:12" ht="15" customHeight="1" thickTop="1" thickBot="1">
      <c r="A56" s="293"/>
      <c r="B56" s="293"/>
      <c r="C56" s="172"/>
      <c r="D56" s="172" t="s">
        <v>1238</v>
      </c>
      <c r="E56" s="172"/>
      <c r="F56" s="172"/>
      <c r="G56" s="623" t="s">
        <v>1535</v>
      </c>
      <c r="H56" s="623"/>
      <c r="I56" s="623"/>
      <c r="J56" s="623"/>
      <c r="L56" s="37"/>
    </row>
    <row r="57" spans="1:12" s="367" customFormat="1" ht="15" customHeight="1" thickTop="1" thickBot="1">
      <c r="A57" s="108"/>
      <c r="B57" s="108"/>
      <c r="C57" s="68"/>
      <c r="D57" s="68" t="s">
        <v>1529</v>
      </c>
      <c r="E57" s="68"/>
      <c r="F57" s="68"/>
      <c r="G57" s="307" t="str">
        <f>IF(I57="Bitte auswählen",H57,I57)</f>
        <v>nein</v>
      </c>
      <c r="H57" s="292" t="s">
        <v>1269</v>
      </c>
      <c r="I57" s="471" t="s">
        <v>2071</v>
      </c>
      <c r="J57" s="194"/>
    </row>
    <row r="58" spans="1:12" ht="15" customHeight="1" thickBot="1">
      <c r="A58" s="55"/>
      <c r="B58" s="55"/>
      <c r="C58" s="194" t="s">
        <v>1215</v>
      </c>
      <c r="D58" s="194" t="s">
        <v>1210</v>
      </c>
      <c r="E58" s="194"/>
      <c r="F58" s="194"/>
      <c r="G58" s="433">
        <f>IF(I58="",H58,I58)</f>
        <v>0</v>
      </c>
      <c r="H58" s="434"/>
      <c r="I58" s="435"/>
      <c r="J58" s="194" t="s">
        <v>98</v>
      </c>
      <c r="L58" s="37"/>
    </row>
    <row r="59" spans="1:12" ht="15" customHeight="1" thickBot="1">
      <c r="A59" s="55"/>
      <c r="B59" s="55"/>
      <c r="C59" s="194" t="s">
        <v>1216</v>
      </c>
      <c r="D59" s="194" t="s">
        <v>1211</v>
      </c>
      <c r="E59" s="194"/>
      <c r="F59" s="194"/>
      <c r="G59" s="433">
        <f t="shared" ref="G59:G71" si="1">IF(I59="",H59,I59)</f>
        <v>0</v>
      </c>
      <c r="H59" s="434"/>
      <c r="I59" s="435"/>
      <c r="J59" s="194" t="s">
        <v>98</v>
      </c>
      <c r="L59" s="37"/>
    </row>
    <row r="60" spans="1:12" ht="15" customHeight="1" thickBot="1">
      <c r="A60" s="55"/>
      <c r="B60" s="55"/>
      <c r="C60" s="194" t="s">
        <v>1217</v>
      </c>
      <c r="D60" s="194" t="s">
        <v>1212</v>
      </c>
      <c r="E60" s="194"/>
      <c r="F60" s="194"/>
      <c r="G60" s="433">
        <f t="shared" si="1"/>
        <v>0</v>
      </c>
      <c r="H60" s="434"/>
      <c r="I60" s="435"/>
      <c r="J60" s="194" t="s">
        <v>98</v>
      </c>
      <c r="L60" s="37"/>
    </row>
    <row r="61" spans="1:12" ht="15" customHeight="1" thickBot="1">
      <c r="A61" s="55"/>
      <c r="B61" s="55"/>
      <c r="C61" s="194" t="s">
        <v>1218</v>
      </c>
      <c r="D61" s="194" t="s">
        <v>1209</v>
      </c>
      <c r="E61" s="194"/>
      <c r="F61" s="194"/>
      <c r="G61" s="433">
        <f t="shared" si="1"/>
        <v>0</v>
      </c>
      <c r="H61" s="434"/>
      <c r="I61" s="435"/>
      <c r="J61" s="194" t="s">
        <v>98</v>
      </c>
      <c r="L61" s="37"/>
    </row>
    <row r="62" spans="1:12" ht="15" customHeight="1" thickBot="1">
      <c r="A62" s="55"/>
      <c r="B62" s="55"/>
      <c r="C62" s="194" t="s">
        <v>1219</v>
      </c>
      <c r="D62" s="194" t="s">
        <v>1213</v>
      </c>
      <c r="E62" s="194"/>
      <c r="F62" s="194"/>
      <c r="G62" s="433">
        <f t="shared" si="1"/>
        <v>0</v>
      </c>
      <c r="H62" s="434"/>
      <c r="I62" s="435"/>
      <c r="J62" s="194" t="s">
        <v>98</v>
      </c>
      <c r="L62" s="37"/>
    </row>
    <row r="63" spans="1:12" ht="15" customHeight="1" thickBot="1">
      <c r="A63" s="55"/>
      <c r="B63" s="55"/>
      <c r="C63" s="194" t="s">
        <v>1220</v>
      </c>
      <c r="D63" s="194" t="s">
        <v>1214</v>
      </c>
      <c r="E63" s="194"/>
      <c r="F63" s="194"/>
      <c r="G63" s="433">
        <f t="shared" si="1"/>
        <v>0</v>
      </c>
      <c r="H63" s="434"/>
      <c r="I63" s="435"/>
      <c r="J63" s="194" t="s">
        <v>98</v>
      </c>
      <c r="L63" s="37"/>
    </row>
    <row r="64" spans="1:12" ht="15" customHeight="1" thickBot="1">
      <c r="A64" s="55"/>
      <c r="B64" s="55"/>
      <c r="C64" s="194" t="s">
        <v>1221</v>
      </c>
      <c r="D64" s="194" t="s">
        <v>1224</v>
      </c>
      <c r="E64" s="194"/>
      <c r="F64" s="194"/>
      <c r="G64" s="433">
        <f t="shared" si="1"/>
        <v>0</v>
      </c>
      <c r="H64" s="434"/>
      <c r="I64" s="435"/>
      <c r="J64" s="194" t="s">
        <v>98</v>
      </c>
      <c r="L64" s="37"/>
    </row>
    <row r="65" spans="1:12" ht="15" customHeight="1" thickBot="1">
      <c r="A65" s="55"/>
      <c r="B65" s="55"/>
      <c r="C65" s="194" t="s">
        <v>1222</v>
      </c>
      <c r="D65" s="194" t="s">
        <v>1223</v>
      </c>
      <c r="E65" s="194"/>
      <c r="F65" s="194"/>
      <c r="G65" s="433">
        <f t="shared" si="1"/>
        <v>0</v>
      </c>
      <c r="H65" s="434"/>
      <c r="I65" s="435"/>
      <c r="J65" s="194" t="s">
        <v>98</v>
      </c>
      <c r="L65" s="37"/>
    </row>
    <row r="66" spans="1:12" ht="15" customHeight="1" thickBot="1">
      <c r="A66" s="55"/>
      <c r="B66" s="55"/>
      <c r="C66" s="194" t="s">
        <v>1225</v>
      </c>
      <c r="D66" s="194" t="s">
        <v>1231</v>
      </c>
      <c r="E66" s="194" t="s">
        <v>1235</v>
      </c>
      <c r="F66" s="194"/>
      <c r="G66" s="433">
        <f t="shared" si="1"/>
        <v>0</v>
      </c>
      <c r="H66" s="434"/>
      <c r="I66" s="435"/>
      <c r="J66" s="194" t="s">
        <v>98</v>
      </c>
      <c r="L66" s="37"/>
    </row>
    <row r="67" spans="1:12" ht="15" customHeight="1" thickBot="1">
      <c r="A67" s="55"/>
      <c r="B67" s="55"/>
      <c r="C67" s="194" t="s">
        <v>1226</v>
      </c>
      <c r="D67" s="194" t="s">
        <v>1232</v>
      </c>
      <c r="E67" s="194" t="s">
        <v>1235</v>
      </c>
      <c r="F67" s="194"/>
      <c r="G67" s="433">
        <f t="shared" si="1"/>
        <v>0</v>
      </c>
      <c r="H67" s="434"/>
      <c r="I67" s="435"/>
      <c r="J67" s="194" t="s">
        <v>98</v>
      </c>
      <c r="L67" s="37"/>
    </row>
    <row r="68" spans="1:12" ht="15" customHeight="1" thickBot="1">
      <c r="A68" s="55"/>
      <c r="B68" s="55"/>
      <c r="C68" s="194" t="s">
        <v>1227</v>
      </c>
      <c r="D68" s="194" t="s">
        <v>1233</v>
      </c>
      <c r="E68" s="194" t="s">
        <v>1235</v>
      </c>
      <c r="F68" s="194"/>
      <c r="G68" s="433">
        <f t="shared" si="1"/>
        <v>0</v>
      </c>
      <c r="H68" s="434"/>
      <c r="I68" s="435"/>
      <c r="J68" s="194" t="s">
        <v>98</v>
      </c>
      <c r="L68" s="37"/>
    </row>
    <row r="69" spans="1:12" ht="15" customHeight="1" thickBot="1">
      <c r="A69" s="55"/>
      <c r="B69" s="55"/>
      <c r="C69" s="194" t="s">
        <v>1228</v>
      </c>
      <c r="D69" s="194" t="s">
        <v>1234</v>
      </c>
      <c r="E69" s="194" t="s">
        <v>1235</v>
      </c>
      <c r="F69" s="194"/>
      <c r="G69" s="433">
        <f t="shared" si="1"/>
        <v>0</v>
      </c>
      <c r="H69" s="434"/>
      <c r="I69" s="435"/>
      <c r="J69" s="194" t="s">
        <v>98</v>
      </c>
      <c r="L69" s="37"/>
    </row>
    <row r="70" spans="1:12" ht="15" customHeight="1" thickBot="1">
      <c r="A70" s="55"/>
      <c r="B70" s="55"/>
      <c r="C70" s="194" t="s">
        <v>1229</v>
      </c>
      <c r="D70" s="194" t="s">
        <v>1237</v>
      </c>
      <c r="E70" s="194"/>
      <c r="F70" s="194"/>
      <c r="G70" s="433">
        <f t="shared" si="1"/>
        <v>0</v>
      </c>
      <c r="H70" s="434"/>
      <c r="I70" s="435"/>
      <c r="J70" s="194" t="s">
        <v>98</v>
      </c>
      <c r="L70" s="37"/>
    </row>
    <row r="71" spans="1:12" ht="15" customHeight="1" thickBot="1">
      <c r="A71" s="55"/>
      <c r="B71" s="55"/>
      <c r="C71" s="194" t="s">
        <v>1230</v>
      </c>
      <c r="D71" s="194" t="s">
        <v>1236</v>
      </c>
      <c r="E71" s="194"/>
      <c r="F71" s="194"/>
      <c r="G71" s="433">
        <f t="shared" si="1"/>
        <v>0</v>
      </c>
      <c r="H71" s="434"/>
      <c r="I71" s="435"/>
      <c r="J71" s="194" t="s">
        <v>98</v>
      </c>
      <c r="L71" s="37"/>
    </row>
    <row r="72" spans="1:12" ht="15" customHeight="1" thickTop="1" thickBot="1">
      <c r="A72" s="293"/>
      <c r="B72" s="293"/>
      <c r="C72" s="172"/>
      <c r="D72" s="172" t="s">
        <v>1238</v>
      </c>
      <c r="E72" s="172"/>
      <c r="F72" s="172"/>
      <c r="G72" s="623" t="s">
        <v>1535</v>
      </c>
      <c r="H72" s="623"/>
      <c r="I72" s="623"/>
      <c r="J72" s="623"/>
    </row>
    <row r="73" spans="1:12" ht="15" customHeight="1" thickTop="1"/>
    <row r="107" spans="1:12" ht="15" customHeight="1" thickBot="1"/>
    <row r="108" spans="1:12" ht="15" customHeight="1" thickTop="1" thickBot="1">
      <c r="A108" s="436"/>
      <c r="B108" s="436"/>
      <c r="C108" s="437"/>
      <c r="D108" s="437" t="s">
        <v>2050</v>
      </c>
      <c r="E108" s="437"/>
      <c r="F108" s="437"/>
      <c r="G108" s="623" t="s">
        <v>1535</v>
      </c>
      <c r="H108" s="623"/>
      <c r="I108" s="623"/>
      <c r="J108" s="623"/>
      <c r="L108" s="37"/>
    </row>
    <row r="109" spans="1:12" s="193" customFormat="1" ht="15" customHeight="1" thickTop="1" thickBot="1">
      <c r="A109" s="108"/>
      <c r="B109" s="108"/>
      <c r="C109" s="68"/>
      <c r="D109" s="68" t="s">
        <v>1529</v>
      </c>
      <c r="E109" s="68"/>
      <c r="F109" s="68"/>
      <c r="G109" s="508" t="str">
        <f>IF(I109="Bitte auswählen",H109,I109)</f>
        <v>nein</v>
      </c>
      <c r="H109" s="292" t="s">
        <v>1269</v>
      </c>
      <c r="I109" s="430" t="s">
        <v>2071</v>
      </c>
      <c r="J109" s="194"/>
    </row>
    <row r="110" spans="1:12" s="193" customFormat="1" ht="15" customHeight="1" thickBot="1">
      <c r="A110" s="55"/>
      <c r="B110" s="55"/>
      <c r="C110" s="194" t="s">
        <v>1530</v>
      </c>
      <c r="D110" s="194" t="s">
        <v>2157</v>
      </c>
      <c r="E110" s="194"/>
      <c r="F110" s="194"/>
      <c r="G110" s="509">
        <f t="shared" ref="G110:G111" si="2">IF(I110="",H110,I110)</f>
        <v>0</v>
      </c>
      <c r="H110" s="434"/>
      <c r="I110" s="435"/>
      <c r="J110" s="194"/>
    </row>
    <row r="111" spans="1:12" ht="15" customHeight="1" thickBot="1">
      <c r="A111" s="55"/>
      <c r="B111" s="55"/>
      <c r="C111" s="194" t="s">
        <v>1531</v>
      </c>
      <c r="D111" s="194" t="s">
        <v>2158</v>
      </c>
      <c r="E111" s="194"/>
      <c r="F111" s="194"/>
      <c r="G111" s="509">
        <f t="shared" si="2"/>
        <v>0</v>
      </c>
      <c r="H111" s="434"/>
      <c r="I111" s="435"/>
      <c r="J111" s="194"/>
      <c r="L111" s="37"/>
    </row>
  </sheetData>
  <sheetProtection password="FDAF" sheet="1" objects="1" scenarios="1" selectLockedCells="1"/>
  <mergeCells count="5">
    <mergeCell ref="G56:J56"/>
    <mergeCell ref="G72:J72"/>
    <mergeCell ref="G2:J2"/>
    <mergeCell ref="G38:J38"/>
    <mergeCell ref="G108:J108"/>
  </mergeCells>
  <dataValidations count="2">
    <dataValidation type="list" allowBlank="1" showInputMessage="1" showErrorMessage="1" sqref="I57">
      <formula1>JaNein</formula1>
    </dataValidation>
    <dataValidation type="list" allowBlank="1" showInputMessage="1" showErrorMessage="1" sqref="I109 I3">
      <formula1>JaNein</formula1>
    </dataValidation>
  </dataValidations>
  <hyperlinks>
    <hyperlink ref="G56" location="Objektkenndaten" display="Zurück zu &quot;Objektkenndaten&quot;"/>
    <hyperlink ref="G2" location="Errichtungskosten" display="Zurück zu &quot;Errichtung&quot;"/>
    <hyperlink ref="G108" location="Objektkenndaten" display="Zurück zu &quot;Objektkenndaten&quot;"/>
    <hyperlink ref="G72" location="Objektkenndaten" display="Zurück zu &quot;Objektkenndaten&quot;"/>
    <hyperlink ref="G108:J108" location="Objektkenndaten!I52" display="Zurück zu &quot;Objektkenndaten&quot;"/>
    <hyperlink ref="G56:J56" location="Objektkenndaten!A1" display="Zurück zu &quot;Objektkenndaten&quot;"/>
    <hyperlink ref="G2:J2" location="Errichtung!P3" display="Zurück zu &quot;Errichtung&quot;"/>
    <hyperlink ref="G38" location="Errichtungskosten" display="Zurück zu &quot;Errichtung&quot;"/>
    <hyperlink ref="G38:J38" location="Errichtung!P3" display="Zurück zu &quot;Errichtung&quot;"/>
  </hyperlinks>
  <pageMargins left="0.78740157480314965" right="0.78740157480314965" top="0.98425196850393704" bottom="0.98425196850393704" header="0.51181102362204722" footer="0.51181102362204722"/>
  <pageSetup paperSize="9" scale="87" fitToHeight="0" orientation="portrait" horizontalDpi="300" verticalDpi="300" r:id="rId1"/>
  <headerFooter>
    <oddFooter>&amp;L&amp;F&amp;C&amp;A&amp;R&amp;P von &amp;N</oddFooter>
  </headerFooter>
  <legacyDrawing r:id="rId2"/>
</worksheet>
</file>

<file path=xl/worksheets/sheet14.xml><?xml version="1.0" encoding="utf-8"?>
<worksheet xmlns="http://schemas.openxmlformats.org/spreadsheetml/2006/main" xmlns:r="http://schemas.openxmlformats.org/officeDocument/2006/relationships">
  <sheetPr codeName="Tabelle8">
    <tabColor theme="8" tint="0.79998168889431442"/>
    <pageSetUpPr fitToPage="1"/>
  </sheetPr>
  <dimension ref="A1:J64"/>
  <sheetViews>
    <sheetView zoomScale="115" zoomScaleNormal="115" workbookViewId="0">
      <pane ySplit="1" topLeftCell="A2" activePane="bottomLeft" state="frozen"/>
      <selection activeCell="C23" sqref="C23:M24"/>
      <selection pane="bottomLeft" activeCell="I3" sqref="I3"/>
    </sheetView>
  </sheetViews>
  <sheetFormatPr baseColWidth="10" defaultRowHeight="15" customHeight="1"/>
  <cols>
    <col min="1" max="2" width="5" style="79" hidden="1" customWidth="1"/>
    <col min="3" max="3" width="10.1640625" style="79" customWidth="1"/>
    <col min="4" max="4" width="70.1640625" style="79" bestFit="1" customWidth="1"/>
    <col min="5" max="5" width="37.1640625" style="79" hidden="1" customWidth="1"/>
    <col min="6" max="6" width="42.33203125" style="481" hidden="1" customWidth="1"/>
    <col min="7" max="7" width="11.83203125" style="79" customWidth="1"/>
    <col min="8" max="8" width="11.83203125" style="79" hidden="1" customWidth="1"/>
    <col min="9" max="10" width="11.83203125" style="79" customWidth="1"/>
    <col min="11" max="16384" width="12" style="79"/>
  </cols>
  <sheetData>
    <row r="1" spans="1:10" ht="15" customHeight="1" thickBot="1">
      <c r="A1" s="26" t="s">
        <v>1</v>
      </c>
      <c r="B1" s="26"/>
      <c r="C1" s="26" t="s">
        <v>2</v>
      </c>
      <c r="D1" s="26" t="s">
        <v>66</v>
      </c>
      <c r="E1" s="26" t="s">
        <v>89</v>
      </c>
      <c r="F1" s="478" t="s">
        <v>90</v>
      </c>
      <c r="G1" s="26" t="s">
        <v>1207</v>
      </c>
      <c r="H1" s="26" t="s">
        <v>1208</v>
      </c>
      <c r="I1" s="26" t="s">
        <v>1206</v>
      </c>
      <c r="J1" s="26" t="s">
        <v>1484</v>
      </c>
    </row>
    <row r="2" spans="1:10" ht="15" customHeight="1" thickTop="1" thickBot="1">
      <c r="A2" s="63">
        <v>100</v>
      </c>
      <c r="B2" s="63"/>
      <c r="C2" s="62"/>
      <c r="D2" s="62" t="s">
        <v>355</v>
      </c>
      <c r="E2" s="62"/>
      <c r="F2" s="479"/>
      <c r="G2" s="613" t="s">
        <v>2647</v>
      </c>
      <c r="H2" s="613"/>
      <c r="I2" s="613"/>
      <c r="J2" s="613"/>
    </row>
    <row r="3" spans="1:10" ht="15" customHeight="1" thickTop="1" thickBot="1">
      <c r="A3" s="78">
        <v>200</v>
      </c>
      <c r="B3" s="78"/>
      <c r="C3" s="56" t="s">
        <v>356</v>
      </c>
      <c r="D3" s="59" t="s">
        <v>2620</v>
      </c>
      <c r="E3" s="111" t="s">
        <v>2627</v>
      </c>
      <c r="F3" s="480"/>
      <c r="G3" s="468">
        <f>IF(I3="",H3,I3)</f>
        <v>2.77</v>
      </c>
      <c r="H3" s="203">
        <v>2.77</v>
      </c>
      <c r="I3" s="73"/>
      <c r="J3" s="59" t="s">
        <v>357</v>
      </c>
    </row>
    <row r="4" spans="1:10" ht="15" customHeight="1" thickBot="1">
      <c r="A4" s="78">
        <v>300</v>
      </c>
      <c r="B4" s="78"/>
      <c r="C4" s="59" t="s">
        <v>358</v>
      </c>
      <c r="D4" s="59" t="s">
        <v>2621</v>
      </c>
      <c r="E4" s="111" t="s">
        <v>2631</v>
      </c>
      <c r="F4" s="480"/>
      <c r="G4" s="468">
        <f t="shared" ref="G4:G13" si="0">IF(I4="",H4,I4)</f>
        <v>1.35</v>
      </c>
      <c r="H4" s="203">
        <v>1.35</v>
      </c>
      <c r="I4" s="73"/>
      <c r="J4" s="59" t="s">
        <v>357</v>
      </c>
    </row>
    <row r="5" spans="1:10" ht="15" customHeight="1" thickBot="1">
      <c r="A5" s="78">
        <v>400</v>
      </c>
      <c r="B5" s="78"/>
      <c r="C5" s="59" t="s">
        <v>359</v>
      </c>
      <c r="D5" s="59" t="s">
        <v>2622</v>
      </c>
      <c r="E5" s="111" t="s">
        <v>2628</v>
      </c>
      <c r="F5" s="480"/>
      <c r="G5" s="468">
        <f t="shared" si="0"/>
        <v>2.25</v>
      </c>
      <c r="H5" s="203">
        <v>2.25</v>
      </c>
      <c r="I5" s="73"/>
      <c r="J5" s="59" t="s">
        <v>357</v>
      </c>
    </row>
    <row r="6" spans="1:10" ht="15" customHeight="1" thickBot="1">
      <c r="A6" s="78">
        <v>500</v>
      </c>
      <c r="B6" s="78"/>
      <c r="C6" s="59" t="s">
        <v>360</v>
      </c>
      <c r="D6" s="59" t="s">
        <v>2623</v>
      </c>
      <c r="E6" s="111" t="s">
        <v>2640</v>
      </c>
      <c r="F6" s="480"/>
      <c r="G6" s="468">
        <f t="shared" si="0"/>
        <v>3.69</v>
      </c>
      <c r="H6" s="203">
        <v>3.69</v>
      </c>
      <c r="I6" s="73"/>
      <c r="J6" s="59" t="s">
        <v>357</v>
      </c>
    </row>
    <row r="7" spans="1:10" ht="15" customHeight="1" thickBot="1">
      <c r="A7" s="78"/>
      <c r="B7" s="78"/>
      <c r="C7" s="59" t="s">
        <v>2586</v>
      </c>
      <c r="D7" s="59" t="s">
        <v>2624</v>
      </c>
      <c r="E7" s="111" t="s">
        <v>2641</v>
      </c>
      <c r="F7" s="480"/>
      <c r="G7" s="468">
        <f>IF(I7="",H7,I7)</f>
        <v>2.0299999999999998</v>
      </c>
      <c r="H7" s="203">
        <v>2.0299999999999998</v>
      </c>
      <c r="I7" s="73"/>
      <c r="J7" s="59" t="s">
        <v>357</v>
      </c>
    </row>
    <row r="8" spans="1:10" ht="15" customHeight="1" thickBot="1">
      <c r="A8" s="78"/>
      <c r="B8" s="78"/>
      <c r="C8" s="111" t="s">
        <v>2632</v>
      </c>
      <c r="D8" s="59" t="s">
        <v>2636</v>
      </c>
      <c r="E8" s="111" t="s">
        <v>2642</v>
      </c>
      <c r="F8" s="480"/>
      <c r="G8" s="468">
        <f t="shared" si="0"/>
        <v>3</v>
      </c>
      <c r="H8" s="203">
        <v>3</v>
      </c>
      <c r="I8" s="73"/>
      <c r="J8" s="59" t="s">
        <v>357</v>
      </c>
    </row>
    <row r="9" spans="1:10" ht="15" customHeight="1" thickBot="1">
      <c r="A9" s="78"/>
      <c r="B9" s="78"/>
      <c r="C9" s="111" t="s">
        <v>2633</v>
      </c>
      <c r="D9" s="111" t="s">
        <v>2637</v>
      </c>
      <c r="E9" s="111" t="s">
        <v>2643</v>
      </c>
      <c r="F9" s="480"/>
      <c r="G9" s="468">
        <f t="shared" si="0"/>
        <v>3.73</v>
      </c>
      <c r="H9" s="203">
        <v>3.73</v>
      </c>
      <c r="I9" s="73"/>
      <c r="J9" s="59" t="s">
        <v>357</v>
      </c>
    </row>
    <row r="10" spans="1:10" ht="15" customHeight="1" thickBot="1">
      <c r="A10" s="78"/>
      <c r="B10" s="78"/>
      <c r="C10" s="111" t="s">
        <v>2634</v>
      </c>
      <c r="D10" s="111" t="s">
        <v>2638</v>
      </c>
      <c r="E10" s="111" t="s">
        <v>2645</v>
      </c>
      <c r="F10" s="480"/>
      <c r="G10" s="468">
        <f t="shared" si="0"/>
        <v>1.6</v>
      </c>
      <c r="H10" s="203">
        <v>1.6</v>
      </c>
      <c r="I10" s="73"/>
      <c r="J10" s="59" t="s">
        <v>357</v>
      </c>
    </row>
    <row r="11" spans="1:10" ht="15" customHeight="1" thickBot="1">
      <c r="A11" s="78"/>
      <c r="B11" s="78"/>
      <c r="C11" s="111" t="s">
        <v>2635</v>
      </c>
      <c r="D11" s="111" t="s">
        <v>2639</v>
      </c>
      <c r="E11" s="111" t="s">
        <v>2644</v>
      </c>
      <c r="F11" s="480"/>
      <c r="G11" s="468">
        <f t="shared" si="0"/>
        <v>5.44</v>
      </c>
      <c r="H11" s="203">
        <v>5.44</v>
      </c>
      <c r="I11" s="73"/>
      <c r="J11" s="59" t="s">
        <v>357</v>
      </c>
    </row>
    <row r="12" spans="1:10" ht="15" customHeight="1" thickBot="1">
      <c r="A12" s="78">
        <v>600</v>
      </c>
      <c r="B12" s="78"/>
      <c r="C12" s="59" t="s">
        <v>361</v>
      </c>
      <c r="D12" s="59" t="s">
        <v>2625</v>
      </c>
      <c r="E12" s="111" t="s">
        <v>2629</v>
      </c>
      <c r="F12" s="480"/>
      <c r="G12" s="468">
        <f t="shared" si="0"/>
        <v>2.67</v>
      </c>
      <c r="H12" s="203">
        <v>2.67</v>
      </c>
      <c r="I12" s="73"/>
      <c r="J12" s="59" t="s">
        <v>357</v>
      </c>
    </row>
    <row r="13" spans="1:10" ht="15" customHeight="1" thickBot="1">
      <c r="A13" s="78">
        <v>700</v>
      </c>
      <c r="B13" s="78"/>
      <c r="C13" s="59" t="s">
        <v>362</v>
      </c>
      <c r="D13" s="59" t="s">
        <v>2626</v>
      </c>
      <c r="E13" s="111" t="s">
        <v>2630</v>
      </c>
      <c r="F13" s="480"/>
      <c r="G13" s="468">
        <f t="shared" si="0"/>
        <v>1.7</v>
      </c>
      <c r="H13" s="203">
        <v>1.7</v>
      </c>
      <c r="I13" s="73"/>
      <c r="J13" s="59" t="s">
        <v>357</v>
      </c>
    </row>
    <row r="14" spans="1:10" ht="15" customHeight="1" thickTop="1" thickBot="1">
      <c r="A14" s="63"/>
      <c r="B14" s="63"/>
      <c r="C14" s="62"/>
      <c r="D14" s="62"/>
      <c r="E14" s="62"/>
      <c r="F14" s="479"/>
      <c r="G14" s="613" t="s">
        <v>2647</v>
      </c>
      <c r="H14" s="613"/>
      <c r="I14" s="613"/>
      <c r="J14" s="613"/>
    </row>
    <row r="15" spans="1:10" ht="15" customHeight="1" thickTop="1" thickBot="1">
      <c r="A15" s="63"/>
      <c r="B15" s="63"/>
      <c r="C15" s="62"/>
      <c r="D15" s="62"/>
      <c r="E15" s="62"/>
      <c r="F15" s="479"/>
      <c r="G15" s="613" t="s">
        <v>2646</v>
      </c>
      <c r="H15" s="613"/>
      <c r="I15" s="613"/>
      <c r="J15" s="613"/>
    </row>
    <row r="16" spans="1:10" ht="15" customHeight="1" thickTop="1"/>
    <row r="54" spans="1:10" ht="15" customHeight="1" thickBot="1"/>
    <row r="55" spans="1:10" ht="15" customHeight="1" thickTop="1" thickBot="1">
      <c r="A55" s="63"/>
      <c r="B55" s="63"/>
      <c r="C55" s="62"/>
      <c r="D55" s="62" t="s">
        <v>2278</v>
      </c>
      <c r="E55" s="62"/>
      <c r="F55" s="479"/>
      <c r="G55" s="613" t="s">
        <v>2151</v>
      </c>
      <c r="H55" s="613"/>
      <c r="I55" s="613"/>
      <c r="J55" s="613"/>
    </row>
    <row r="56" spans="1:10" ht="15" customHeight="1" thickTop="1" thickBot="1">
      <c r="A56" s="78"/>
      <c r="B56" s="78"/>
      <c r="C56" s="56" t="s">
        <v>2132</v>
      </c>
      <c r="D56" s="111" t="s">
        <v>2279</v>
      </c>
      <c r="E56" s="111"/>
      <c r="F56" s="480"/>
      <c r="G56" s="83">
        <f>IF(I56="",H56,I56)</f>
        <v>0.2</v>
      </c>
      <c r="H56" s="112">
        <f>IF(VLOOKUP("UST",Allgemeine_Angaben,5,0)="brutto (inkl. Ust.)",20%,0%)</f>
        <v>0.2</v>
      </c>
      <c r="I56" s="113"/>
      <c r="J56" s="56" t="s">
        <v>98</v>
      </c>
    </row>
    <row r="57" spans="1:10" ht="15" customHeight="1" thickBot="1">
      <c r="A57" s="78"/>
      <c r="B57" s="78"/>
      <c r="C57" s="56" t="s">
        <v>2133</v>
      </c>
      <c r="D57" s="111" t="s">
        <v>2280</v>
      </c>
      <c r="E57" s="59"/>
      <c r="F57" s="480"/>
      <c r="G57" s="83">
        <f t="shared" ref="G57:G62" si="1">IF(I57="",H57,I57)</f>
        <v>0.2</v>
      </c>
      <c r="H57" s="112">
        <f>IF(VLOOKUP("UST",Allgemeine_Angaben,5,0)="brutto (inkl. Ust.)",20%,0%)</f>
        <v>0.2</v>
      </c>
      <c r="I57" s="113"/>
      <c r="J57" s="56" t="s">
        <v>98</v>
      </c>
    </row>
    <row r="58" spans="1:10" ht="15" customHeight="1" thickBot="1">
      <c r="A58" s="78"/>
      <c r="B58" s="78"/>
      <c r="C58" s="56" t="s">
        <v>2134</v>
      </c>
      <c r="D58" s="56" t="s">
        <v>2135</v>
      </c>
      <c r="E58" s="57"/>
      <c r="F58" s="480"/>
      <c r="G58" s="83">
        <f t="shared" si="1"/>
        <v>0.2</v>
      </c>
      <c r="H58" s="112">
        <f>IF(VLOOKUP("UST",Allgemeine_Angaben,5,0)="brutto (inkl. Ust.)",20%,0%)</f>
        <v>0.2</v>
      </c>
      <c r="I58" s="113"/>
      <c r="J58" s="56" t="s">
        <v>98</v>
      </c>
    </row>
    <row r="59" spans="1:10" ht="15" customHeight="1" thickBot="1">
      <c r="A59" s="78"/>
      <c r="B59" s="78"/>
      <c r="C59" s="194" t="s">
        <v>2741</v>
      </c>
      <c r="D59" s="194" t="s">
        <v>2742</v>
      </c>
      <c r="E59" s="57"/>
      <c r="F59" s="480"/>
      <c r="G59" s="83">
        <f t="shared" si="1"/>
        <v>0</v>
      </c>
      <c r="H59" s="112">
        <v>0</v>
      </c>
      <c r="I59" s="113"/>
      <c r="J59" s="194"/>
    </row>
    <row r="60" spans="1:10" ht="15" customHeight="1" thickBot="1">
      <c r="A60" s="78"/>
      <c r="B60" s="78"/>
      <c r="C60" s="56" t="s">
        <v>2136</v>
      </c>
      <c r="D60" s="56" t="s">
        <v>2137</v>
      </c>
      <c r="E60" s="57"/>
      <c r="F60" s="480"/>
      <c r="G60" s="83">
        <f t="shared" si="1"/>
        <v>0</v>
      </c>
      <c r="H60" s="112">
        <v>0</v>
      </c>
      <c r="I60" s="113"/>
      <c r="J60" s="56" t="s">
        <v>98</v>
      </c>
    </row>
    <row r="61" spans="1:10" ht="15" customHeight="1" thickBot="1">
      <c r="A61" s="78"/>
      <c r="B61" s="78"/>
      <c r="C61" s="56" t="s">
        <v>2138</v>
      </c>
      <c r="D61" s="56" t="s">
        <v>2139</v>
      </c>
      <c r="E61" s="57"/>
      <c r="F61" s="480"/>
      <c r="G61" s="83">
        <f t="shared" si="1"/>
        <v>0</v>
      </c>
      <c r="H61" s="112">
        <v>0</v>
      </c>
      <c r="I61" s="113"/>
      <c r="J61" s="56" t="s">
        <v>98</v>
      </c>
    </row>
    <row r="62" spans="1:10" ht="15" customHeight="1" thickBot="1">
      <c r="A62" s="78"/>
      <c r="B62" s="78"/>
      <c r="C62" s="56" t="s">
        <v>2140</v>
      </c>
      <c r="D62" s="111" t="s">
        <v>2141</v>
      </c>
      <c r="E62" s="57"/>
      <c r="F62" s="480"/>
      <c r="G62" s="83">
        <f t="shared" si="1"/>
        <v>0.2</v>
      </c>
      <c r="H62" s="112">
        <f>IF(VLOOKUP("UST",Allgemeine_Angaben,5,0)="brutto (inkl. Ust.)",20%,0%)</f>
        <v>0.2</v>
      </c>
      <c r="I62" s="113"/>
      <c r="J62" s="56" t="s">
        <v>98</v>
      </c>
    </row>
    <row r="63" spans="1:10" ht="15" customHeight="1" thickTop="1" thickBot="1">
      <c r="A63" s="63"/>
      <c r="B63" s="63"/>
      <c r="C63" s="62"/>
      <c r="D63" s="62"/>
      <c r="E63" s="62"/>
      <c r="F63" s="479"/>
      <c r="G63" s="613" t="s">
        <v>2151</v>
      </c>
      <c r="H63" s="613"/>
      <c r="I63" s="613"/>
      <c r="J63" s="613"/>
    </row>
    <row r="64" spans="1:10" ht="15" customHeight="1" thickTop="1"/>
  </sheetData>
  <sheetProtection password="FDAF" sheet="1" objects="1" scenarios="1" selectLockedCells="1"/>
  <mergeCells count="5">
    <mergeCell ref="G2:J2"/>
    <mergeCell ref="G14:J14"/>
    <mergeCell ref="G55:J55"/>
    <mergeCell ref="G63:J63"/>
    <mergeCell ref="G15:J15"/>
  </mergeCells>
  <hyperlinks>
    <hyperlink ref="G2" location="Nutzung_Betrieb" display="zurück zu &quot;Nutzung und Betrieb&quot;"/>
    <hyperlink ref="G55" location="Allgemeine_Angaben" display="zurück zu &quot;Allgemeine Angaben&quot;"/>
    <hyperlink ref="G2:J2" location="'Nutzung &amp; Betrieb'!A1" display="zurück zu &quot;Nutzung &amp; Betrieb&quot;"/>
    <hyperlink ref="G55:J55" location="'Allgemeine Angaben'!H16" display="zurück zu &quot;Allgemeine Angaben&quot;"/>
    <hyperlink ref="G63" location="Allgemeine_Angaben" display="zurück zu &quot;Allgemeine Angaben&quot;"/>
    <hyperlink ref="G63:J63" location="'Allgemeine Angaben'!H16" display="zurück zu &quot;Allgemeine Angaben&quot;"/>
    <hyperlink ref="G15" location="Nutzung_Betrieb" display="zurück zu &quot;Nutzung und Betrieb&quot;"/>
    <hyperlink ref="G15:J15" location="Folgekosten!L5" display="zurück zu &quot;Folgekosten&quot;"/>
    <hyperlink ref="G14" location="Nutzung_Betrieb" display="zurück zu &quot;Nutzung und Betrieb&quot;"/>
    <hyperlink ref="G14:J14" location="'Nutzung &amp; Betrieb'!A1" display="zurück zu &quot;Nutzung &amp; Betrieb&quot;"/>
  </hyperlinks>
  <pageMargins left="0.78740157480314965" right="0.78740157480314965" top="0.98425196850393704" bottom="0.98425196850393704" header="0.51181102362204722" footer="0.51181102362204722"/>
  <pageSetup paperSize="9" scale="93" fitToHeight="0" orientation="portrait" r:id="rId1"/>
  <headerFooter>
    <oddFooter>&amp;L&amp;F&amp;C&amp;A&amp;R&amp;P von &amp;N</oddFooter>
  </headerFooter>
  <legacyDrawing r:id="rId2"/>
</worksheet>
</file>

<file path=xl/worksheets/sheet15.xml><?xml version="1.0" encoding="utf-8"?>
<worksheet xmlns="http://schemas.openxmlformats.org/spreadsheetml/2006/main" xmlns:r="http://schemas.openxmlformats.org/officeDocument/2006/relationships">
  <sheetPr codeName="Tabelle14">
    <tabColor theme="8" tint="0.79998168889431442"/>
    <pageSetUpPr fitToPage="1"/>
  </sheetPr>
  <dimension ref="A1:Q63"/>
  <sheetViews>
    <sheetView topLeftCell="D1" zoomScaleNormal="100" workbookViewId="0">
      <pane ySplit="1" topLeftCell="A2" activePane="bottomLeft" state="frozen"/>
      <selection activeCell="C23" sqref="C23:M24"/>
      <selection pane="bottomLeft" activeCell="I4" sqref="I4"/>
    </sheetView>
  </sheetViews>
  <sheetFormatPr baseColWidth="10" defaultRowHeight="15" customHeight="1"/>
  <cols>
    <col min="1" max="1" width="5.1640625" style="79" hidden="1" customWidth="1"/>
    <col min="2" max="2" width="4.1640625" style="79" hidden="1" customWidth="1"/>
    <col min="3" max="3" width="13.6640625" style="79" hidden="1" customWidth="1"/>
    <col min="4" max="4" width="72.1640625" style="79" customWidth="1"/>
    <col min="5" max="5" width="22.1640625" style="79" hidden="1" customWidth="1"/>
    <col min="6" max="6" width="55.1640625" style="79" hidden="1" customWidth="1"/>
    <col min="7" max="7" width="20.83203125" style="79" customWidth="1"/>
    <col min="8" max="8" width="20.83203125" style="79" hidden="1" customWidth="1"/>
    <col min="9" max="9" width="20.83203125" style="79" customWidth="1"/>
    <col min="10" max="10" width="18.1640625" style="79" bestFit="1" customWidth="1"/>
    <col min="11" max="11" width="26.6640625" style="79" customWidth="1"/>
    <col min="12" max="12" width="19.6640625" style="79" customWidth="1"/>
    <col min="13" max="16384" width="12" style="79"/>
  </cols>
  <sheetData>
    <row r="1" spans="1:17" ht="15" customHeight="1" thickBot="1">
      <c r="A1" s="26" t="s">
        <v>1</v>
      </c>
      <c r="B1" s="26"/>
      <c r="C1" s="26" t="s">
        <v>2</v>
      </c>
      <c r="D1" s="26" t="s">
        <v>66</v>
      </c>
      <c r="E1" s="26" t="s">
        <v>89</v>
      </c>
      <c r="F1" s="26" t="s">
        <v>90</v>
      </c>
      <c r="G1" s="26" t="s">
        <v>1207</v>
      </c>
      <c r="H1" s="26" t="s">
        <v>1208</v>
      </c>
      <c r="I1" s="26" t="s">
        <v>1206</v>
      </c>
      <c r="J1" s="26" t="s">
        <v>1484</v>
      </c>
      <c r="L1" s="117"/>
    </row>
    <row r="2" spans="1:17" ht="15" customHeight="1" thickTop="1" thickBot="1">
      <c r="A2" s="63"/>
      <c r="B2" s="63"/>
      <c r="C2" s="62"/>
      <c r="D2" s="62" t="s">
        <v>2273</v>
      </c>
      <c r="E2" s="62"/>
      <c r="F2" s="62"/>
      <c r="G2" s="613" t="s">
        <v>2647</v>
      </c>
      <c r="H2" s="613"/>
      <c r="I2" s="613"/>
      <c r="J2" s="613"/>
    </row>
    <row r="3" spans="1:17" ht="15" customHeight="1" thickTop="1" thickBot="1">
      <c r="A3" s="63">
        <v>100</v>
      </c>
      <c r="B3" s="63"/>
      <c r="C3" s="62"/>
      <c r="D3" s="62" t="s">
        <v>642</v>
      </c>
      <c r="E3" s="62"/>
      <c r="F3" s="62"/>
      <c r="G3" s="62"/>
      <c r="H3" s="63"/>
      <c r="I3" s="63"/>
      <c r="J3" s="62"/>
    </row>
    <row r="4" spans="1:17" ht="15" customHeight="1" thickBot="1">
      <c r="A4" s="78">
        <v>200</v>
      </c>
      <c r="B4" s="78"/>
      <c r="C4" s="59" t="s">
        <v>643</v>
      </c>
      <c r="D4" s="59" t="s">
        <v>644</v>
      </c>
      <c r="E4" s="59"/>
      <c r="F4" s="59"/>
      <c r="G4" s="49">
        <f>IF(I4="",H4,I4)</f>
        <v>0.25</v>
      </c>
      <c r="H4" s="53">
        <v>0.25</v>
      </c>
      <c r="I4" s="569"/>
      <c r="J4" s="59" t="s">
        <v>645</v>
      </c>
    </row>
    <row r="5" spans="1:17" ht="15" customHeight="1" thickBot="1">
      <c r="A5" s="78">
        <v>300</v>
      </c>
      <c r="B5" s="78"/>
      <c r="C5" s="59" t="s">
        <v>646</v>
      </c>
      <c r="D5" s="59" t="s">
        <v>646</v>
      </c>
      <c r="E5" s="59"/>
      <c r="F5" s="59"/>
      <c r="G5" s="49">
        <f t="shared" ref="G5" si="0">IF(I5="",H5,I5)</f>
        <v>3000</v>
      </c>
      <c r="H5" s="53">
        <f>2500*(1+VLOOKUP("USTDL",Umsatzsteuersaetze,5,0))</f>
        <v>3000</v>
      </c>
      <c r="I5" s="73"/>
      <c r="J5" s="59" t="s">
        <v>647</v>
      </c>
    </row>
    <row r="6" spans="1:17" s="193" customFormat="1" ht="15" customHeight="1"/>
    <row r="7" spans="1:17" ht="15" customHeight="1" thickBot="1">
      <c r="A7" s="63"/>
      <c r="B7" s="63"/>
      <c r="C7" s="62"/>
      <c r="D7" s="62" t="s">
        <v>2077</v>
      </c>
      <c r="E7" s="62"/>
      <c r="F7" s="62"/>
      <c r="G7" s="62"/>
      <c r="H7" s="95"/>
      <c r="I7" s="63"/>
      <c r="J7" s="62"/>
    </row>
    <row r="8" spans="1:17" ht="15" customHeight="1" thickBot="1">
      <c r="A8" s="55"/>
      <c r="B8" s="55"/>
      <c r="C8" s="56" t="s">
        <v>2078</v>
      </c>
      <c r="D8" s="111" t="s">
        <v>2759</v>
      </c>
      <c r="E8" s="56"/>
      <c r="F8" s="56"/>
      <c r="G8" s="119">
        <f t="shared" ref="G8:G14" si="1">IF(I8="",H8,I8)</f>
        <v>42</v>
      </c>
      <c r="H8" s="120">
        <f>35*(1+VLOOKUP("USTDL",Umsatzsteuersaetze,5,0))</f>
        <v>42</v>
      </c>
      <c r="I8" s="52"/>
      <c r="J8" s="56" t="s">
        <v>369</v>
      </c>
    </row>
    <row r="9" spans="1:17" ht="15" customHeight="1" thickBot="1">
      <c r="A9" s="55"/>
      <c r="B9" s="55"/>
      <c r="C9" s="56" t="s">
        <v>368</v>
      </c>
      <c r="D9" s="111" t="s">
        <v>2760</v>
      </c>
      <c r="E9" s="56"/>
      <c r="F9" s="56"/>
      <c r="G9" s="119">
        <f t="shared" si="1"/>
        <v>42</v>
      </c>
      <c r="H9" s="120">
        <f>35*(1+VLOOKUP("USTDL",Umsatzsteuersaetze,5,0))</f>
        <v>42</v>
      </c>
      <c r="I9" s="52"/>
      <c r="J9" s="56" t="s">
        <v>369</v>
      </c>
    </row>
    <row r="10" spans="1:17" ht="15" customHeight="1" thickBot="1">
      <c r="A10" s="55"/>
      <c r="B10" s="55"/>
      <c r="C10" s="56" t="s">
        <v>519</v>
      </c>
      <c r="D10" s="111" t="s">
        <v>2761</v>
      </c>
      <c r="E10" s="56"/>
      <c r="F10" s="56"/>
      <c r="G10" s="119">
        <f t="shared" si="1"/>
        <v>26.4</v>
      </c>
      <c r="H10" s="120">
        <f>22*(1+VLOOKUP("USTDL",Umsatzsteuersaetze,5,0))</f>
        <v>26.4</v>
      </c>
      <c r="I10" s="52"/>
      <c r="J10" s="56" t="s">
        <v>369</v>
      </c>
      <c r="K10" s="193"/>
      <c r="L10" s="193"/>
      <c r="M10" s="193"/>
      <c r="N10" s="193"/>
      <c r="O10" s="193"/>
      <c r="P10" s="193"/>
      <c r="Q10" s="193"/>
    </row>
    <row r="11" spans="1:17" ht="15" customHeight="1" thickBot="1">
      <c r="A11" s="55"/>
      <c r="B11" s="55"/>
      <c r="C11" s="56" t="s">
        <v>2079</v>
      </c>
      <c r="D11" s="111" t="s">
        <v>2762</v>
      </c>
      <c r="E11" s="56"/>
      <c r="F11" s="56"/>
      <c r="G11" s="119">
        <f t="shared" si="1"/>
        <v>30</v>
      </c>
      <c r="H11" s="120">
        <f>25*(1+VLOOKUP("USTDL",Umsatzsteuersaetze,5,0))</f>
        <v>30</v>
      </c>
      <c r="I11" s="52"/>
      <c r="J11" s="56" t="s">
        <v>369</v>
      </c>
      <c r="K11" s="193"/>
      <c r="L11" s="193"/>
      <c r="M11" s="193"/>
      <c r="N11" s="193"/>
      <c r="O11" s="193"/>
      <c r="P11" s="193"/>
      <c r="Q11" s="193"/>
    </row>
    <row r="12" spans="1:17" ht="15" customHeight="1" thickBot="1">
      <c r="A12" s="55"/>
      <c r="B12" s="55"/>
      <c r="C12" s="56" t="s">
        <v>649</v>
      </c>
      <c r="D12" s="111" t="s">
        <v>2763</v>
      </c>
      <c r="E12" s="56"/>
      <c r="F12" s="56"/>
      <c r="G12" s="119">
        <f t="shared" si="1"/>
        <v>30</v>
      </c>
      <c r="H12" s="120">
        <f>25*(1+VLOOKUP("USTDL",Umsatzsteuersaetze,5,0))</f>
        <v>30</v>
      </c>
      <c r="I12" s="52"/>
      <c r="J12" s="56" t="s">
        <v>369</v>
      </c>
      <c r="K12" s="193"/>
      <c r="L12" s="193"/>
      <c r="M12" s="193"/>
      <c r="N12" s="193"/>
      <c r="O12" s="193"/>
      <c r="P12" s="193"/>
      <c r="Q12" s="193"/>
    </row>
    <row r="13" spans="1:17" ht="15" customHeight="1" thickBot="1">
      <c r="A13" s="55"/>
      <c r="B13" s="55"/>
      <c r="C13" s="56" t="s">
        <v>2080</v>
      </c>
      <c r="D13" s="111" t="s">
        <v>2765</v>
      </c>
      <c r="E13" s="56"/>
      <c r="F13" s="56"/>
      <c r="G13" s="119">
        <f t="shared" si="1"/>
        <v>30</v>
      </c>
      <c r="H13" s="120">
        <f>25*(1+VLOOKUP("USTDL",Umsatzsteuersaetze,5,0))</f>
        <v>30</v>
      </c>
      <c r="I13" s="52"/>
      <c r="J13" s="56" t="s">
        <v>369</v>
      </c>
      <c r="K13" s="193"/>
      <c r="L13" s="193"/>
      <c r="M13" s="193"/>
      <c r="N13" s="193"/>
      <c r="O13" s="193"/>
      <c r="P13" s="193"/>
      <c r="Q13" s="193"/>
    </row>
    <row r="14" spans="1:17" ht="15" customHeight="1" thickBot="1">
      <c r="A14" s="55"/>
      <c r="B14" s="55"/>
      <c r="C14" s="56" t="s">
        <v>2081</v>
      </c>
      <c r="D14" s="111" t="s">
        <v>2764</v>
      </c>
      <c r="E14" s="56"/>
      <c r="F14" s="56"/>
      <c r="G14" s="119">
        <f t="shared" si="1"/>
        <v>120</v>
      </c>
      <c r="H14" s="120">
        <f>100*(1+VLOOKUP("USTDL",Umsatzsteuersaetze,5,0))</f>
        <v>120</v>
      </c>
      <c r="I14" s="52"/>
      <c r="J14" s="56" t="s">
        <v>369</v>
      </c>
      <c r="K14" s="193"/>
      <c r="L14" s="193"/>
      <c r="M14" s="193"/>
      <c r="N14" s="193"/>
      <c r="O14" s="193"/>
      <c r="P14" s="193"/>
      <c r="Q14" s="193"/>
    </row>
    <row r="15" spans="1:17" s="193" customFormat="1" ht="15" customHeight="1"/>
    <row r="16" spans="1:17" s="193" customFormat="1" ht="15" customHeight="1" thickBot="1">
      <c r="A16" s="63"/>
      <c r="B16" s="63"/>
      <c r="C16" s="62"/>
      <c r="D16" s="62" t="s">
        <v>2583</v>
      </c>
      <c r="E16" s="62"/>
      <c r="F16" s="62"/>
      <c r="G16" s="65"/>
      <c r="H16" s="65"/>
      <c r="I16" s="63"/>
      <c r="J16" s="65"/>
    </row>
    <row r="17" spans="1:17" ht="15" customHeight="1" thickBot="1">
      <c r="A17" s="68"/>
      <c r="B17" s="68"/>
      <c r="C17" s="68"/>
      <c r="D17" s="68" t="s">
        <v>2582</v>
      </c>
      <c r="E17" s="68"/>
      <c r="F17" s="68"/>
      <c r="G17" s="307" t="str">
        <f>IF(I17="Bitte auswählen",H17,I17)</f>
        <v>nein</v>
      </c>
      <c r="H17" s="292" t="s">
        <v>1269</v>
      </c>
      <c r="I17" s="471" t="s">
        <v>2071</v>
      </c>
      <c r="J17" s="194"/>
    </row>
    <row r="18" spans="1:17" ht="15" customHeight="1">
      <c r="A18" s="68"/>
      <c r="B18" s="68"/>
      <c r="C18" s="68"/>
      <c r="D18" s="193"/>
      <c r="E18" s="193"/>
      <c r="F18" s="193"/>
      <c r="G18" s="193"/>
      <c r="H18" s="193"/>
      <c r="I18" s="193"/>
      <c r="J18" s="193"/>
    </row>
    <row r="19" spans="1:17" ht="15" customHeight="1" thickBot="1">
      <c r="A19" s="63"/>
      <c r="B19" s="63"/>
      <c r="C19" s="62"/>
      <c r="D19" s="62" t="s">
        <v>2082</v>
      </c>
      <c r="E19" s="62"/>
      <c r="F19" s="62"/>
      <c r="G19" s="65"/>
      <c r="H19" s="65"/>
      <c r="I19" s="63"/>
      <c r="J19" s="65"/>
      <c r="K19" s="193"/>
      <c r="L19" s="193"/>
      <c r="M19" s="193"/>
      <c r="N19" s="193"/>
      <c r="O19" s="193"/>
      <c r="P19" s="193"/>
      <c r="Q19" s="193"/>
    </row>
    <row r="20" spans="1:17" ht="15" customHeight="1" thickBot="1">
      <c r="A20" s="55"/>
      <c r="B20" s="55"/>
      <c r="C20" s="56" t="s">
        <v>2083</v>
      </c>
      <c r="D20" s="56" t="s">
        <v>2084</v>
      </c>
      <c r="E20" s="56"/>
      <c r="F20" s="56"/>
      <c r="G20" s="84">
        <f>IF(I20="",H20,I20)</f>
        <v>200</v>
      </c>
      <c r="H20" s="120">
        <v>200</v>
      </c>
      <c r="I20" s="52"/>
      <c r="J20" s="56" t="s">
        <v>2085</v>
      </c>
      <c r="K20" s="193"/>
      <c r="L20" s="193"/>
      <c r="M20" s="193"/>
      <c r="N20" s="193"/>
      <c r="O20" s="193"/>
      <c r="P20" s="193"/>
      <c r="Q20" s="193"/>
    </row>
    <row r="21" spans="1:17" ht="15" customHeight="1" thickBot="1">
      <c r="A21" s="55"/>
      <c r="B21" s="55"/>
      <c r="C21" s="56" t="s">
        <v>2086</v>
      </c>
      <c r="D21" s="56" t="s">
        <v>2087</v>
      </c>
      <c r="E21" s="56" t="s">
        <v>2088</v>
      </c>
      <c r="F21" s="56"/>
      <c r="G21" s="49">
        <f>IF(I21="",H21,I21)</f>
        <v>6.6</v>
      </c>
      <c r="H21" s="120">
        <f>33/5</f>
        <v>6.6</v>
      </c>
      <c r="I21" s="52"/>
      <c r="J21" s="56" t="s">
        <v>2089</v>
      </c>
      <c r="K21" s="193"/>
      <c r="L21" s="193"/>
      <c r="M21" s="193"/>
      <c r="N21" s="193"/>
      <c r="O21" s="193"/>
      <c r="P21" s="193"/>
      <c r="Q21" s="193"/>
    </row>
    <row r="22" spans="1:17" ht="15" customHeight="1" thickBot="1">
      <c r="A22" s="55"/>
      <c r="B22" s="55"/>
      <c r="C22" s="56" t="s">
        <v>2090</v>
      </c>
      <c r="D22" s="56" t="s">
        <v>2091</v>
      </c>
      <c r="E22" s="56"/>
      <c r="F22" s="56" t="s">
        <v>2092</v>
      </c>
      <c r="G22" s="49">
        <f>IF(I22="",H22,I22)</f>
        <v>1320</v>
      </c>
      <c r="H22" s="120">
        <f>VLOOKUP("STUNDENtag",Dienstleistungen,5,0)*VLOOKUP("TAGEjahr",Dienstleistungen,5,0)</f>
        <v>1320</v>
      </c>
      <c r="I22" s="52"/>
      <c r="J22" s="56" t="s">
        <v>2093</v>
      </c>
      <c r="K22" s="193"/>
      <c r="L22" s="193"/>
      <c r="M22" s="193"/>
      <c r="N22" s="193"/>
      <c r="O22" s="193"/>
      <c r="P22" s="193"/>
      <c r="Q22" s="193"/>
    </row>
    <row r="23" spans="1:17" s="193" customFormat="1" ht="15" customHeight="1" thickBot="1"/>
    <row r="24" spans="1:17" ht="15" customHeight="1" thickTop="1" thickBot="1">
      <c r="A24" s="63"/>
      <c r="B24" s="63"/>
      <c r="C24" s="62"/>
      <c r="D24" s="62" t="s">
        <v>2094</v>
      </c>
      <c r="E24" s="62"/>
      <c r="F24" s="62"/>
      <c r="G24" s="613" t="s">
        <v>2681</v>
      </c>
      <c r="H24" s="613"/>
      <c r="I24" s="613"/>
      <c r="J24" s="65"/>
      <c r="K24" s="193"/>
      <c r="L24" s="193"/>
      <c r="M24" s="193"/>
      <c r="N24" s="193"/>
      <c r="O24" s="193"/>
      <c r="P24" s="193"/>
      <c r="Q24" s="193"/>
    </row>
    <row r="25" spans="1:17" ht="15" customHeight="1" thickTop="1" thickBot="1">
      <c r="A25" s="55"/>
      <c r="B25" s="55"/>
      <c r="C25" s="56" t="s">
        <v>2095</v>
      </c>
      <c r="D25" s="111" t="s">
        <v>2744</v>
      </c>
      <c r="E25" s="194" t="s">
        <v>2587</v>
      </c>
      <c r="F25" s="56"/>
      <c r="G25" s="84">
        <f>IF(I25="",H25,I25)</f>
        <v>10</v>
      </c>
      <c r="H25" s="120">
        <v>10</v>
      </c>
      <c r="I25" s="50"/>
      <c r="J25" s="111" t="s">
        <v>2516</v>
      </c>
      <c r="K25" s="193"/>
      <c r="L25" s="193"/>
      <c r="M25" s="193"/>
      <c r="N25" s="193"/>
      <c r="O25" s="193"/>
      <c r="P25" s="193"/>
      <c r="Q25" s="193"/>
    </row>
    <row r="26" spans="1:17" ht="15" customHeight="1" thickBot="1">
      <c r="A26" s="55"/>
      <c r="B26" s="55"/>
      <c r="C26" s="56" t="s">
        <v>2096</v>
      </c>
      <c r="D26" s="111" t="s">
        <v>2745</v>
      </c>
      <c r="E26" s="194" t="s">
        <v>2587</v>
      </c>
      <c r="F26" s="56"/>
      <c r="G26" s="84">
        <f>IF(I26="",H26,I26)</f>
        <v>10</v>
      </c>
      <c r="H26" s="120">
        <v>10</v>
      </c>
      <c r="I26" s="50"/>
      <c r="J26" s="111" t="s">
        <v>2516</v>
      </c>
      <c r="K26" s="193"/>
      <c r="L26" s="193"/>
      <c r="M26" s="193"/>
      <c r="N26" s="193"/>
      <c r="O26" s="193"/>
      <c r="P26" s="193"/>
      <c r="Q26" s="193"/>
    </row>
    <row r="27" spans="1:17" ht="15" customHeight="1" thickBot="1">
      <c r="A27" s="55"/>
      <c r="B27" s="55"/>
      <c r="C27" s="194" t="s">
        <v>2123</v>
      </c>
      <c r="D27" s="111" t="s">
        <v>2746</v>
      </c>
      <c r="E27" s="194"/>
      <c r="F27" s="194"/>
      <c r="G27" s="87" t="str">
        <f>IF(I27="Bitte auswählen",H27,I27)</f>
        <v>PKW Mix</v>
      </c>
      <c r="H27" s="120" t="s">
        <v>2517</v>
      </c>
      <c r="I27" s="52" t="s">
        <v>2071</v>
      </c>
      <c r="J27" s="194"/>
      <c r="K27" s="193"/>
      <c r="L27" s="193"/>
      <c r="M27" s="193"/>
      <c r="N27" s="193"/>
      <c r="O27" s="193"/>
      <c r="P27" s="193"/>
      <c r="Q27" s="193"/>
    </row>
    <row r="28" spans="1:17" ht="15" customHeight="1" thickBot="1">
      <c r="A28" s="55"/>
      <c r="B28" s="55"/>
      <c r="C28" s="194" t="s">
        <v>2128</v>
      </c>
      <c r="D28" s="111" t="s">
        <v>2747</v>
      </c>
      <c r="E28" s="194"/>
      <c r="F28" s="194"/>
      <c r="G28" s="87" t="str">
        <f>IF(I28="Bitte auswählen",H28,I28)</f>
        <v>ÖPNV Mix</v>
      </c>
      <c r="H28" s="120" t="s">
        <v>2528</v>
      </c>
      <c r="I28" s="52" t="s">
        <v>2071</v>
      </c>
      <c r="J28" s="194"/>
      <c r="K28" s="193"/>
      <c r="L28" s="193"/>
      <c r="M28" s="193"/>
      <c r="N28" s="193"/>
      <c r="O28" s="193"/>
      <c r="P28" s="193"/>
      <c r="Q28" s="193"/>
    </row>
    <row r="29" spans="1:17" ht="15" customHeight="1" thickBot="1">
      <c r="A29" s="55"/>
      <c r="B29" s="55"/>
      <c r="C29" s="194" t="s">
        <v>2122</v>
      </c>
      <c r="D29" s="111" t="s">
        <v>2748</v>
      </c>
      <c r="E29" s="194"/>
      <c r="F29" s="194"/>
      <c r="G29" s="87" t="str">
        <f>IF(I29="Bitte auswählen",H29,I29)</f>
        <v>Mix ÖPNV/PKW</v>
      </c>
      <c r="H29" s="120" t="s">
        <v>2122</v>
      </c>
      <c r="I29" s="52" t="s">
        <v>2071</v>
      </c>
      <c r="J29" s="194"/>
      <c r="K29" s="193"/>
      <c r="L29" s="193"/>
      <c r="M29" s="193"/>
      <c r="N29" s="193"/>
      <c r="O29" s="193"/>
      <c r="P29" s="193"/>
      <c r="Q29" s="193"/>
    </row>
    <row r="30" spans="1:17" ht="15" customHeight="1" thickBot="1">
      <c r="A30" s="55"/>
      <c r="B30" s="55"/>
      <c r="C30" s="194" t="s">
        <v>2543</v>
      </c>
      <c r="D30" s="111" t="s">
        <v>2544</v>
      </c>
      <c r="E30" s="194"/>
      <c r="F30" s="194"/>
      <c r="G30" s="87" t="str">
        <f>IF(I30="Bitte auswählen",H30,I30)</f>
        <v>Diesel Maschinen</v>
      </c>
      <c r="H30" s="120" t="s">
        <v>2539</v>
      </c>
      <c r="I30" s="52" t="s">
        <v>2071</v>
      </c>
      <c r="J30" s="194"/>
      <c r="K30" s="193"/>
      <c r="L30" s="193"/>
      <c r="M30" s="193"/>
      <c r="N30" s="193"/>
      <c r="O30" s="193"/>
      <c r="P30" s="193"/>
      <c r="Q30" s="193"/>
    </row>
    <row r="31" spans="1:17" s="193" customFormat="1" ht="15" customHeight="1"/>
    <row r="32" spans="1:17" ht="15" customHeight="1" thickBot="1">
      <c r="A32" s="63"/>
      <c r="B32" s="63"/>
      <c r="C32" s="62"/>
      <c r="D32" s="62" t="s">
        <v>2749</v>
      </c>
      <c r="E32" s="62"/>
      <c r="F32" s="62"/>
      <c r="G32" s="62"/>
      <c r="H32" s="95"/>
      <c r="I32" s="63"/>
      <c r="J32" s="65"/>
      <c r="K32" s="193"/>
      <c r="L32" s="193"/>
      <c r="M32" s="193"/>
      <c r="N32" s="193"/>
      <c r="O32" s="193"/>
      <c r="P32" s="193"/>
      <c r="Q32" s="193"/>
    </row>
    <row r="33" spans="1:17" ht="15" customHeight="1" thickBot="1">
      <c r="A33" s="55"/>
      <c r="B33" s="55"/>
      <c r="C33" s="111" t="s">
        <v>2447</v>
      </c>
      <c r="D33" s="111" t="s">
        <v>2445</v>
      </c>
      <c r="E33" s="56"/>
      <c r="F33" s="56"/>
      <c r="G33" s="84">
        <f t="shared" ref="G33:G35" si="2">IF(I33="",H33,I33)</f>
        <v>25</v>
      </c>
      <c r="H33" s="120">
        <v>25</v>
      </c>
      <c r="I33" s="50"/>
      <c r="J33" s="111" t="s">
        <v>2446</v>
      </c>
      <c r="K33" s="193"/>
      <c r="L33" s="193"/>
      <c r="M33" s="193"/>
      <c r="N33" s="193"/>
      <c r="O33" s="193"/>
      <c r="P33" s="193"/>
      <c r="Q33" s="193"/>
    </row>
    <row r="34" spans="1:17" ht="15" customHeight="1" thickBot="1">
      <c r="A34" s="55"/>
      <c r="B34" s="55"/>
      <c r="C34" s="111" t="s">
        <v>2451</v>
      </c>
      <c r="D34" s="111" t="s">
        <v>2684</v>
      </c>
      <c r="E34" s="111" t="s">
        <v>2448</v>
      </c>
      <c r="F34" s="56"/>
      <c r="G34" s="84">
        <f t="shared" si="2"/>
        <v>105.84264705882353</v>
      </c>
      <c r="H34" s="53">
        <v>105.84264705882353</v>
      </c>
      <c r="I34" s="52"/>
      <c r="J34" s="111" t="s">
        <v>1637</v>
      </c>
      <c r="K34" s="193"/>
      <c r="L34" s="193"/>
      <c r="M34" s="193"/>
      <c r="N34" s="193"/>
      <c r="O34" s="193"/>
      <c r="P34" s="193"/>
      <c r="Q34" s="193"/>
    </row>
    <row r="35" spans="1:17" ht="15" customHeight="1" thickBot="1">
      <c r="A35" s="55"/>
      <c r="B35" s="55"/>
      <c r="C35" s="111" t="s">
        <v>2452</v>
      </c>
      <c r="D35" s="111" t="s">
        <v>2685</v>
      </c>
      <c r="E35" s="111" t="s">
        <v>2448</v>
      </c>
      <c r="F35" s="56"/>
      <c r="G35" s="84">
        <f t="shared" si="2"/>
        <v>61.376470588235307</v>
      </c>
      <c r="H35" s="53">
        <v>61.376470588235307</v>
      </c>
      <c r="I35" s="52"/>
      <c r="J35" s="111" t="s">
        <v>1637</v>
      </c>
      <c r="K35" s="193"/>
      <c r="L35" s="193"/>
      <c r="M35" s="193"/>
      <c r="N35" s="193"/>
      <c r="O35" s="193"/>
      <c r="P35" s="193"/>
      <c r="Q35" s="193"/>
    </row>
    <row r="36" spans="1:17" ht="15" customHeight="1" thickBot="1">
      <c r="A36" s="55"/>
      <c r="B36" s="55"/>
      <c r="C36" s="111"/>
      <c r="D36" s="111" t="s">
        <v>2750</v>
      </c>
      <c r="E36" s="56"/>
      <c r="F36" s="56"/>
      <c r="G36" s="469" t="str">
        <f>IF(I36="Bitte auswählen",H36,I36)</f>
        <v>AT Mix</v>
      </c>
      <c r="H36" s="54" t="s">
        <v>1249</v>
      </c>
      <c r="I36" s="90" t="s">
        <v>2071</v>
      </c>
      <c r="J36" s="56"/>
      <c r="K36" s="193"/>
      <c r="L36" s="193"/>
      <c r="M36" s="193"/>
      <c r="N36" s="193"/>
      <c r="O36" s="193"/>
      <c r="P36" s="193"/>
      <c r="Q36" s="193"/>
    </row>
    <row r="37" spans="1:17" ht="15" customHeight="1" thickBot="1">
      <c r="A37" s="55"/>
      <c r="B37" s="55"/>
      <c r="C37" s="111"/>
      <c r="D37" s="111" t="s">
        <v>2751</v>
      </c>
      <c r="E37" s="194"/>
      <c r="F37" s="194"/>
      <c r="G37" s="87" t="str">
        <f>IF(I37="Bitte auswählen",H37,I37)</f>
        <v>Gas konventionell</v>
      </c>
      <c r="H37" s="54" t="s">
        <v>1814</v>
      </c>
      <c r="I37" s="90" t="s">
        <v>2071</v>
      </c>
      <c r="J37" s="194"/>
      <c r="K37" s="193"/>
      <c r="L37" s="193"/>
      <c r="M37" s="193"/>
      <c r="N37" s="193"/>
      <c r="O37" s="193"/>
      <c r="P37" s="193"/>
      <c r="Q37" s="193"/>
    </row>
    <row r="38" spans="1:17" s="193" customFormat="1" ht="15" customHeight="1"/>
    <row r="39" spans="1:17" ht="15" customHeight="1">
      <c r="A39" s="63"/>
      <c r="B39" s="63"/>
      <c r="C39" s="62"/>
      <c r="D39" s="62" t="s">
        <v>2683</v>
      </c>
      <c r="E39" s="62"/>
      <c r="F39" s="62"/>
      <c r="G39" s="62"/>
      <c r="H39" s="95"/>
      <c r="I39" s="63"/>
      <c r="J39" s="65"/>
    </row>
    <row r="40" spans="1:17" ht="15" customHeight="1">
      <c r="A40" s="194"/>
      <c r="B40" s="194"/>
      <c r="C40" s="111" t="s">
        <v>2453</v>
      </c>
      <c r="D40" s="111" t="s">
        <v>2752</v>
      </c>
      <c r="E40" s="194"/>
      <c r="F40" s="111"/>
      <c r="G40" s="195">
        <f>VLOOKUP(G36,Ökodaten_Energie,5,0)*3.6</f>
        <v>0.386350032081474</v>
      </c>
      <c r="H40" s="194"/>
      <c r="I40" s="194"/>
      <c r="J40" s="194" t="s">
        <v>1871</v>
      </c>
    </row>
    <row r="41" spans="1:17" ht="15" customHeight="1">
      <c r="A41" s="194"/>
      <c r="B41" s="194"/>
      <c r="C41" s="111" t="s">
        <v>2454</v>
      </c>
      <c r="D41" s="111" t="s">
        <v>2753</v>
      </c>
      <c r="E41" s="194"/>
      <c r="F41" s="194"/>
      <c r="G41" s="195">
        <f>VLOOKUP(G36,Ökodaten_Energie,7,0)*3.6</f>
        <v>5.3764834299999844</v>
      </c>
      <c r="H41" s="194"/>
      <c r="I41" s="194"/>
      <c r="J41" s="194" t="s">
        <v>1872</v>
      </c>
    </row>
    <row r="42" spans="1:17" ht="15" customHeight="1">
      <c r="A42" s="55"/>
      <c r="B42" s="55"/>
      <c r="C42" s="111" t="s">
        <v>2455</v>
      </c>
      <c r="D42" s="111" t="s">
        <v>2754</v>
      </c>
      <c r="E42" s="194"/>
      <c r="F42" s="194"/>
      <c r="G42" s="195">
        <f>VLOOKUP(G37,Ökodaten_Energie,5,0)*3.6</f>
        <v>0.26176889821120131</v>
      </c>
      <c r="H42" s="194"/>
      <c r="I42" s="194"/>
      <c r="J42" s="194" t="s">
        <v>1871</v>
      </c>
    </row>
    <row r="43" spans="1:17" ht="15" customHeight="1" thickBot="1">
      <c r="A43" s="55"/>
      <c r="B43" s="55"/>
      <c r="C43" s="111" t="s">
        <v>2456</v>
      </c>
      <c r="D43" s="111" t="s">
        <v>2755</v>
      </c>
      <c r="E43" s="56"/>
      <c r="F43" s="56"/>
      <c r="G43" s="195">
        <f>VLOOKUP(G37,Ökodaten_Energie,7,0)*3.6</f>
        <v>4.2282588449520002</v>
      </c>
      <c r="H43" s="194"/>
      <c r="I43" s="194"/>
      <c r="J43" s="194" t="s">
        <v>1872</v>
      </c>
    </row>
    <row r="44" spans="1:17" ht="15" customHeight="1" thickBot="1">
      <c r="A44" s="55"/>
      <c r="B44" s="55"/>
      <c r="C44" s="56" t="s">
        <v>2098</v>
      </c>
      <c r="D44" s="111" t="s">
        <v>2099</v>
      </c>
      <c r="E44" s="56"/>
      <c r="F44" s="111" t="s">
        <v>2547</v>
      </c>
      <c r="G44" s="84">
        <f>IF(I44="",H44,I44)</f>
        <v>1423.9690292184789</v>
      </c>
      <c r="H44" s="120">
        <f>VLOOKUP("BGFap",Dienstleistungen,5,0)*VLOOKUP("STROMDLm2",Dienstleistungen,5,0)*VLOOKUP("GWPSTROMDL",Dienstleistungen,5,0)+VLOOKUP("BGFap",Dienstleistungen,5,0)*VLOOKUP("HEIZDLm2",Dienstleistungen,5,0)*VLOOKUP("GWPHEIZDL",Dienstleistungen,5,0)</f>
        <v>1423.9690292184789</v>
      </c>
      <c r="I44" s="52"/>
      <c r="J44" s="111" t="s">
        <v>2449</v>
      </c>
    </row>
    <row r="45" spans="1:17" ht="15" customHeight="1" thickBot="1">
      <c r="A45" s="55"/>
      <c r="B45" s="55"/>
      <c r="C45" s="56" t="s">
        <v>2101</v>
      </c>
      <c r="D45" s="111" t="s">
        <v>2102</v>
      </c>
      <c r="E45" s="56"/>
      <c r="F45" s="111" t="s">
        <v>2548</v>
      </c>
      <c r="G45" s="84">
        <f>IF(I45="",H45,I45)</f>
        <v>20714.421068393589</v>
      </c>
      <c r="H45" s="120">
        <f>VLOOKUP("BGFap",Dienstleistungen,5,0)*VLOOKUP("STROMDLm2",Dienstleistungen,5,0)*VLOOKUP("PESTROMDL",Dienstleistungen,5,0)+VLOOKUP("BGFap",Dienstleistungen,5,0)*VLOOKUP("HEIZDLm2",Dienstleistungen,5,0)*VLOOKUP("PEHEIZDL",Dienstleistungen,5,0)</f>
        <v>20714.421068393589</v>
      </c>
      <c r="I45" s="52"/>
      <c r="J45" s="111" t="s">
        <v>2450</v>
      </c>
    </row>
    <row r="46" spans="1:17" ht="15" customHeight="1">
      <c r="A46" s="55"/>
      <c r="B46" s="55"/>
      <c r="C46" s="56" t="s">
        <v>2104</v>
      </c>
      <c r="D46" s="111" t="s">
        <v>2756</v>
      </c>
      <c r="E46" s="68"/>
      <c r="F46" s="111" t="s">
        <v>1881</v>
      </c>
      <c r="G46" s="119" t="e">
        <f>IF(I46="",H46,I46)</f>
        <v>#N/A</v>
      </c>
      <c r="H46" s="120" t="e">
        <f>VLOOKUP("GWPSTROM",Energie,8,0)</f>
        <v>#N/A</v>
      </c>
      <c r="I46" s="194"/>
      <c r="J46" s="56" t="s">
        <v>2103</v>
      </c>
    </row>
    <row r="47" spans="1:17" ht="15" customHeight="1" thickBot="1">
      <c r="A47" s="55"/>
      <c r="B47" s="55"/>
      <c r="C47" s="56" t="s">
        <v>2105</v>
      </c>
      <c r="D47" s="111" t="s">
        <v>2757</v>
      </c>
      <c r="E47" s="194"/>
      <c r="F47" s="111" t="s">
        <v>1882</v>
      </c>
      <c r="G47" s="119" t="e">
        <f>IF(I47="",H47,I47)</f>
        <v>#N/A</v>
      </c>
      <c r="H47" s="120" t="e">
        <f>(VLOOKUP("PESTROM",Energie,8,0))</f>
        <v>#N/A</v>
      </c>
      <c r="I47" s="194"/>
      <c r="J47" s="56" t="s">
        <v>1872</v>
      </c>
    </row>
    <row r="48" spans="1:17" ht="15" customHeight="1" thickTop="1" thickBot="1">
      <c r="A48" s="63"/>
      <c r="B48" s="63"/>
      <c r="C48" s="62"/>
      <c r="D48" s="62"/>
      <c r="E48" s="62"/>
      <c r="F48" s="62"/>
      <c r="G48" s="613" t="s">
        <v>2647</v>
      </c>
      <c r="H48" s="613"/>
      <c r="I48" s="613"/>
      <c r="J48" s="613"/>
    </row>
    <row r="49" spans="1:13" ht="15" customHeight="1" thickTop="1"/>
    <row r="50" spans="1:13" ht="15" customHeight="1">
      <c r="D50" s="23"/>
      <c r="E50" s="23"/>
      <c r="F50" s="23"/>
      <c r="G50" s="23"/>
      <c r="H50" s="23"/>
      <c r="I50" s="23"/>
      <c r="J50" s="23"/>
      <c r="K50" s="23"/>
      <c r="L50" s="23"/>
      <c r="M50" s="23"/>
    </row>
    <row r="51" spans="1:13" ht="15" customHeight="1">
      <c r="A51" s="62"/>
      <c r="B51" s="62"/>
      <c r="C51" s="438"/>
      <c r="D51" s="438" t="s">
        <v>2758</v>
      </c>
      <c r="E51" s="438"/>
      <c r="F51" s="438"/>
      <c r="G51" s="438"/>
      <c r="H51" s="438"/>
      <c r="I51" s="438"/>
      <c r="J51" s="438"/>
      <c r="K51" s="23"/>
      <c r="L51" s="23"/>
      <c r="M51" s="23"/>
    </row>
    <row r="52" spans="1:13" ht="15" customHeight="1">
      <c r="A52" s="194"/>
      <c r="B52" s="194"/>
      <c r="C52" s="439"/>
      <c r="D52" s="439" t="s">
        <v>1261</v>
      </c>
      <c r="E52" s="439"/>
      <c r="F52" s="439"/>
      <c r="G52" s="440" t="s">
        <v>1263</v>
      </c>
      <c r="H52" s="48"/>
      <c r="I52" s="439"/>
      <c r="J52" s="439"/>
      <c r="K52" s="23"/>
      <c r="L52" s="23"/>
      <c r="M52" s="23"/>
    </row>
    <row r="53" spans="1:13" ht="15" customHeight="1">
      <c r="A53" s="194"/>
      <c r="B53" s="194"/>
      <c r="C53" s="439"/>
      <c r="D53" s="439" t="s">
        <v>2439</v>
      </c>
      <c r="E53" s="439"/>
      <c r="F53" s="439"/>
      <c r="G53" s="440" t="s">
        <v>2129</v>
      </c>
      <c r="H53" s="48"/>
      <c r="I53" s="439"/>
      <c r="J53" s="439"/>
      <c r="K53" s="23"/>
      <c r="L53" s="23"/>
      <c r="M53" s="23"/>
    </row>
    <row r="54" spans="1:13" ht="15" customHeight="1">
      <c r="A54" s="194"/>
      <c r="B54" s="194"/>
      <c r="C54" s="439"/>
      <c r="D54" s="439" t="s">
        <v>2152</v>
      </c>
      <c r="E54" s="439"/>
      <c r="F54" s="439"/>
      <c r="G54" s="440" t="s">
        <v>2129</v>
      </c>
      <c r="H54" s="48"/>
      <c r="I54" s="439"/>
      <c r="J54" s="439"/>
      <c r="K54" s="23"/>
      <c r="L54" s="23"/>
      <c r="M54" s="23"/>
    </row>
    <row r="55" spans="1:13" ht="15" customHeight="1">
      <c r="A55" s="194"/>
      <c r="B55" s="194"/>
      <c r="C55" s="439"/>
      <c r="D55" s="439" t="s">
        <v>1718</v>
      </c>
      <c r="E55" s="439"/>
      <c r="F55" s="439"/>
      <c r="G55" s="441" t="s">
        <v>1177</v>
      </c>
      <c r="H55" s="48"/>
      <c r="I55" s="439"/>
      <c r="J55" s="439"/>
      <c r="K55" s="23"/>
      <c r="L55" s="23"/>
      <c r="M55" s="23"/>
    </row>
    <row r="56" spans="1:13" ht="15" customHeight="1">
      <c r="A56" s="194"/>
      <c r="B56" s="194"/>
      <c r="C56" s="439"/>
      <c r="D56" s="439" t="s">
        <v>1268</v>
      </c>
      <c r="E56" s="439"/>
      <c r="F56" s="439"/>
      <c r="G56" s="441" t="s">
        <v>1177</v>
      </c>
      <c r="H56" s="48"/>
      <c r="I56" s="439"/>
      <c r="J56" s="439"/>
      <c r="K56" s="23"/>
      <c r="L56" s="23"/>
      <c r="M56" s="23"/>
    </row>
    <row r="57" spans="1:13" ht="15" customHeight="1">
      <c r="A57" s="194"/>
      <c r="B57" s="194"/>
      <c r="C57" s="439"/>
      <c r="D57" s="439" t="s">
        <v>1997</v>
      </c>
      <c r="E57" s="439"/>
      <c r="F57" s="439"/>
      <c r="G57" s="441" t="s">
        <v>1177</v>
      </c>
      <c r="H57" s="48"/>
      <c r="I57" s="439"/>
      <c r="J57" s="439"/>
      <c r="K57" s="23"/>
      <c r="L57" s="23"/>
      <c r="M57" s="23"/>
    </row>
    <row r="58" spans="1:13" ht="15" customHeight="1">
      <c r="A58" s="194"/>
      <c r="B58" s="194"/>
      <c r="C58" s="439"/>
      <c r="D58" s="439" t="s">
        <v>1982</v>
      </c>
      <c r="E58" s="439"/>
      <c r="F58" s="439"/>
      <c r="G58" s="441" t="s">
        <v>1177</v>
      </c>
      <c r="H58" s="48"/>
      <c r="I58" s="439"/>
      <c r="J58" s="439"/>
      <c r="K58" s="23"/>
      <c r="L58" s="23"/>
      <c r="M58" s="23"/>
    </row>
    <row r="59" spans="1:13" ht="15" customHeight="1">
      <c r="A59" s="194"/>
      <c r="B59" s="194"/>
      <c r="C59" s="439"/>
      <c r="D59" s="439" t="s">
        <v>2458</v>
      </c>
      <c r="E59" s="439"/>
      <c r="F59" s="439"/>
      <c r="G59" s="442" t="s">
        <v>1824</v>
      </c>
      <c r="H59" s="48"/>
      <c r="I59" s="439"/>
      <c r="J59" s="439"/>
      <c r="K59" s="23"/>
      <c r="L59" s="23"/>
      <c r="M59" s="23"/>
    </row>
    <row r="60" spans="1:13" ht="15" customHeight="1">
      <c r="A60" s="194"/>
      <c r="B60" s="194"/>
      <c r="C60" s="439"/>
      <c r="D60" s="439" t="s">
        <v>2459</v>
      </c>
      <c r="E60" s="439"/>
      <c r="F60" s="439"/>
      <c r="G60" s="442" t="s">
        <v>2460</v>
      </c>
      <c r="H60" s="48"/>
      <c r="I60" s="439"/>
      <c r="J60" s="439"/>
      <c r="K60" s="23"/>
      <c r="L60" s="23"/>
      <c r="M60" s="23"/>
    </row>
    <row r="61" spans="1:13" ht="15" customHeight="1">
      <c r="A61" s="194"/>
      <c r="B61" s="194"/>
      <c r="C61" s="439"/>
      <c r="D61" s="439" t="s">
        <v>2461</v>
      </c>
      <c r="E61" s="439"/>
      <c r="F61" s="439"/>
      <c r="G61" s="442" t="s">
        <v>1819</v>
      </c>
      <c r="H61" s="48"/>
      <c r="I61" s="439"/>
      <c r="J61" s="439"/>
      <c r="K61" s="23"/>
      <c r="L61" s="23"/>
      <c r="M61" s="23"/>
    </row>
    <row r="62" spans="1:13" ht="15" customHeight="1">
      <c r="A62" s="194"/>
      <c r="B62" s="194"/>
      <c r="C62" s="439"/>
      <c r="D62" s="439" t="s">
        <v>2457</v>
      </c>
      <c r="E62" s="439"/>
      <c r="F62" s="439"/>
      <c r="G62" s="443"/>
      <c r="H62" s="443"/>
      <c r="I62" s="444">
        <v>105.84264705882353</v>
      </c>
      <c r="J62" s="439" t="s">
        <v>1637</v>
      </c>
    </row>
    <row r="63" spans="1:13" ht="15" customHeight="1">
      <c r="A63" s="194"/>
      <c r="B63" s="194"/>
      <c r="C63" s="439"/>
      <c r="D63" s="439" t="s">
        <v>2002</v>
      </c>
      <c r="E63" s="439"/>
      <c r="F63" s="439"/>
      <c r="G63" s="443"/>
      <c r="H63" s="443"/>
      <c r="I63" s="444">
        <v>61.376470588235307</v>
      </c>
      <c r="J63" s="439" t="s">
        <v>1637</v>
      </c>
    </row>
  </sheetData>
  <sheetProtection password="FDAF" sheet="1" objects="1" scenarios="1" selectLockedCells="1"/>
  <mergeCells count="3">
    <mergeCell ref="G2:J2"/>
    <mergeCell ref="G48:J48"/>
    <mergeCell ref="G24:I24"/>
  </mergeCells>
  <dataValidations disablePrompts="1" count="7">
    <dataValidation type="list" allowBlank="1" showInputMessage="1" showErrorMessage="1" sqref="I17:I18">
      <formula1>JaNein</formula1>
    </dataValidation>
    <dataValidation type="list" allowBlank="1" showInputMessage="1" showErrorMessage="1" sqref="I36">
      <formula1>Strom</formula1>
    </dataValidation>
    <dataValidation type="list" allowBlank="1" showInputMessage="1" showErrorMessage="1" sqref="I37">
      <formula1>Heizung</formula1>
    </dataValidation>
    <dataValidation type="list" allowBlank="1" showInputMessage="1" showErrorMessage="1" sqref="I27">
      <formula1>PKW</formula1>
    </dataValidation>
    <dataValidation type="list" allowBlank="1" showInputMessage="1" showErrorMessage="1" sqref="I28">
      <formula1>ÖPNV</formula1>
    </dataValidation>
    <dataValidation type="list" allowBlank="1" showInputMessage="1" showErrorMessage="1" sqref="I29">
      <formula1>Mix_ÖPNVPKW</formula1>
    </dataValidation>
    <dataValidation type="list" allowBlank="1" showInputMessage="1" showErrorMessage="1" sqref="I30">
      <formula1>Diesel</formula1>
    </dataValidation>
  </dataValidations>
  <hyperlinks>
    <hyperlink ref="G2" location="Nutzung_Betrieb" display="zurück zu &quot;Nutzung und Betrieb&quot;"/>
    <hyperlink ref="G2:J2" location="'Nutzung &amp; Betrieb'!A1" display="zurück zu &quot;Nutzung &amp; Betrieb&quot;"/>
    <hyperlink ref="G48" location="Nutzung_Betrieb" display="zurück zu &quot;Nutzung und Betrieb&quot;"/>
    <hyperlink ref="G48:J48" location="'Nutzung &amp; Betrieb'!A1" display="zurück zu &quot;Nutzung &amp; Betrieb&quot;"/>
    <hyperlink ref="G24" location="Nutzung_Betrieb" display="zurück zu &quot;Nutzung und Betrieb&quot;"/>
    <hyperlink ref="G24:I24" location="'Ökodaten Transport'!M5" display="zu &quot;Ökodaten Transport&quot;"/>
  </hyperlinks>
  <pageMargins left="0.78740157480314965" right="0.78740157480314965" top="0.98425196850393704" bottom="0.98425196850393704" header="0.51181102362204722" footer="0.51181102362204722"/>
  <pageSetup paperSize="9" scale="83" fitToHeight="0" orientation="portrait" r:id="rId1"/>
  <headerFooter>
    <oddFooter>&amp;L&amp;F&amp;C&amp;A&amp;R&amp;P von &amp;N</oddFooter>
  </headerFooter>
  <rowBreaks count="1" manualBreakCount="1">
    <brk id="48" max="9" man="1"/>
  </rowBreaks>
  <legacyDrawing r:id="rId2"/>
</worksheet>
</file>

<file path=xl/worksheets/sheet16.xml><?xml version="1.0" encoding="utf-8"?>
<worksheet xmlns="http://schemas.openxmlformats.org/spreadsheetml/2006/main" xmlns:r="http://schemas.openxmlformats.org/officeDocument/2006/relationships">
  <sheetPr codeName="Tabelle20">
    <tabColor theme="8" tint="0.79998168889431442"/>
    <pageSetUpPr fitToPage="1"/>
  </sheetPr>
  <dimension ref="A1:Y81"/>
  <sheetViews>
    <sheetView zoomScaleNormal="100" workbookViewId="0">
      <pane xSplit="3" ySplit="2" topLeftCell="D3" activePane="bottomRight" state="frozenSplit"/>
      <selection activeCell="C23" sqref="C23:M24"/>
      <selection pane="topRight" activeCell="C23" sqref="C23:M24"/>
      <selection pane="bottomLeft" activeCell="C23" sqref="C23:M24"/>
      <selection pane="bottomRight" activeCell="D4" sqref="D4"/>
    </sheetView>
  </sheetViews>
  <sheetFormatPr baseColWidth="10" defaultRowHeight="15" customHeight="1"/>
  <cols>
    <col min="1" max="1" width="9.1640625" style="101" customWidth="1"/>
    <col min="2" max="2" width="44" style="101" customWidth="1"/>
    <col min="3" max="3" width="27.6640625" style="101" hidden="1" customWidth="1"/>
    <col min="4" max="8" width="13.83203125" style="122" customWidth="1"/>
    <col min="9" max="9" width="13.83203125" style="123" customWidth="1"/>
    <col min="10" max="10" width="13.83203125" style="124" customWidth="1"/>
    <col min="11" max="11" width="15" style="122" hidden="1" customWidth="1"/>
    <col min="12" max="12" width="13.33203125" style="122" hidden="1" customWidth="1"/>
    <col min="13" max="13" width="12" style="122" hidden="1" customWidth="1"/>
    <col min="14" max="14" width="13.83203125" style="122" hidden="1" customWidth="1"/>
    <col min="15" max="15" width="21.5" style="122" hidden="1" customWidth="1"/>
    <col min="16" max="16" width="28.33203125" style="122" hidden="1" customWidth="1"/>
    <col min="17" max="17" width="12" style="125" customWidth="1"/>
    <col min="18" max="18" width="12" style="101"/>
    <col min="19" max="19" width="15" style="122" hidden="1" customWidth="1"/>
    <col min="20" max="20" width="13.33203125" style="122" hidden="1" customWidth="1"/>
    <col min="21" max="21" width="12" style="122" hidden="1" customWidth="1"/>
    <col min="22" max="22" width="13.83203125" style="122" hidden="1" customWidth="1"/>
    <col min="23" max="23" width="21.5" style="122" hidden="1" customWidth="1"/>
    <col min="24" max="24" width="12" style="125" customWidth="1"/>
    <col min="25" max="16384" width="12" style="101"/>
  </cols>
  <sheetData>
    <row r="1" spans="1:25" ht="15" customHeight="1">
      <c r="A1" s="627" t="s">
        <v>2</v>
      </c>
      <c r="B1" s="627" t="s">
        <v>66</v>
      </c>
      <c r="C1" s="627" t="s">
        <v>89</v>
      </c>
      <c r="D1" s="629" t="s">
        <v>2106</v>
      </c>
      <c r="E1" s="631" t="s">
        <v>2107</v>
      </c>
      <c r="F1" s="631" t="s">
        <v>2108</v>
      </c>
      <c r="G1" s="631" t="s">
        <v>2109</v>
      </c>
      <c r="H1" s="629" t="s">
        <v>2110</v>
      </c>
      <c r="I1" s="632" t="s">
        <v>2111</v>
      </c>
      <c r="J1" s="630" t="s">
        <v>2112</v>
      </c>
      <c r="K1" s="99" t="s">
        <v>2107</v>
      </c>
      <c r="L1" s="99" t="s">
        <v>2108</v>
      </c>
      <c r="M1" s="99" t="s">
        <v>2110</v>
      </c>
      <c r="N1" s="99" t="s">
        <v>2113</v>
      </c>
      <c r="O1" s="99" t="s">
        <v>2114</v>
      </c>
      <c r="P1" s="99" t="s">
        <v>2115</v>
      </c>
      <c r="Q1" s="625" t="s">
        <v>1990</v>
      </c>
      <c r="R1" s="627"/>
      <c r="S1" s="99" t="s">
        <v>2107</v>
      </c>
      <c r="T1" s="99" t="s">
        <v>2108</v>
      </c>
      <c r="U1" s="99" t="s">
        <v>2110</v>
      </c>
      <c r="V1" s="99" t="s">
        <v>2113</v>
      </c>
      <c r="W1" s="99" t="s">
        <v>2114</v>
      </c>
      <c r="X1" s="625" t="s">
        <v>1525</v>
      </c>
      <c r="Y1" s="627"/>
    </row>
    <row r="2" spans="1:25" ht="15" customHeight="1" thickBot="1">
      <c r="A2" s="628"/>
      <c r="B2" s="628"/>
      <c r="C2" s="628"/>
      <c r="D2" s="629"/>
      <c r="E2" s="631"/>
      <c r="F2" s="631"/>
      <c r="G2" s="631"/>
      <c r="H2" s="629"/>
      <c r="I2" s="632"/>
      <c r="J2" s="630"/>
      <c r="K2" s="99" t="s">
        <v>2116</v>
      </c>
      <c r="L2" s="99" t="s">
        <v>2117</v>
      </c>
      <c r="M2" s="99" t="s">
        <v>2118</v>
      </c>
      <c r="N2" s="99" t="s">
        <v>2119</v>
      </c>
      <c r="O2" s="99" t="s">
        <v>2120</v>
      </c>
      <c r="P2" s="99" t="s">
        <v>2121</v>
      </c>
      <c r="Q2" s="626"/>
      <c r="R2" s="628"/>
      <c r="S2" s="99" t="s">
        <v>2116</v>
      </c>
      <c r="T2" s="99" t="s">
        <v>2117</v>
      </c>
      <c r="U2" s="99" t="s">
        <v>2118</v>
      </c>
      <c r="V2" s="99" t="s">
        <v>2119</v>
      </c>
      <c r="W2" s="99" t="s">
        <v>2120</v>
      </c>
      <c r="X2" s="626"/>
      <c r="Y2" s="628"/>
    </row>
    <row r="3" spans="1:25" ht="15" customHeight="1" thickTop="1" thickBot="1">
      <c r="A3" s="134"/>
      <c r="B3" s="482" t="s">
        <v>2647</v>
      </c>
      <c r="C3" s="134"/>
      <c r="D3" s="134"/>
      <c r="E3" s="147"/>
      <c r="F3" s="147"/>
      <c r="G3" s="147"/>
      <c r="H3" s="134"/>
      <c r="I3" s="148"/>
      <c r="J3" s="149"/>
      <c r="K3" s="134"/>
      <c r="L3" s="134"/>
      <c r="M3" s="134"/>
      <c r="N3" s="134"/>
      <c r="O3" s="134"/>
      <c r="P3" s="134"/>
      <c r="Q3" s="139"/>
      <c r="R3" s="134"/>
      <c r="S3" s="134"/>
      <c r="T3" s="134"/>
      <c r="U3" s="134"/>
      <c r="V3" s="134"/>
      <c r="W3" s="134"/>
      <c r="X3" s="139"/>
      <c r="Y3" s="134"/>
    </row>
    <row r="4" spans="1:25" ht="15" customHeight="1" thickTop="1" thickBot="1">
      <c r="A4" s="56" t="s">
        <v>729</v>
      </c>
      <c r="B4" s="56" t="s">
        <v>730</v>
      </c>
      <c r="C4" s="56"/>
      <c r="D4" s="129" t="s">
        <v>2078</v>
      </c>
      <c r="E4" s="129" t="s">
        <v>2129</v>
      </c>
      <c r="F4" s="129" t="s">
        <v>2122</v>
      </c>
      <c r="G4" s="130">
        <v>8</v>
      </c>
      <c r="H4" s="131">
        <v>1.2</v>
      </c>
      <c r="I4" s="132">
        <v>0</v>
      </c>
      <c r="J4" s="133">
        <v>0</v>
      </c>
      <c r="K4" s="121">
        <f>2*VLOOKUP("TAGEjahr",Dienstleistungen,5,0)*VLOOKUP("ENTFap",Dienstleistungen,5,0)*VLOOKUP(E4,PTRANSP,2,0)*H4/VLOOKUP("STUNDENjahr",Dienstleistungen,5,0)</f>
        <v>0</v>
      </c>
      <c r="L4" s="121">
        <f>(VLOOKUP("STUNDENjahr",Dienstleistungen,5,0)/G4+IF(VLOOKUP("STUNDENjahr",Dienstleistungen,5,0)/G4&gt;=VLOOKUP("TAGEjahr",Dienstleistungen,5,0),VLOOKUP("TAGEjahr",Dienstleistungen,5,0),VLOOKUP("STUNDENjahr",Dienstleistungen,5,0)/G4))*VLOOKUP("ENTFobj",Dienstleistungen,5,0)*VLOOKUP(F4,PTRANSP,2,0)/VLOOKUP("STUNDENjahr",Dienstleistungen,5,0)</f>
        <v>0.27561841317365271</v>
      </c>
      <c r="M4" s="121">
        <f>VLOOKUP("BÜROpersCO2",Dienstleistungen,5,0)*H4/VLOOKUP("STUNDENjahr",Dienstleistungen,5,0)</f>
        <v>1.2945172992895262</v>
      </c>
      <c r="N4" s="121" t="e">
        <f>I4*VLOOKUP("STROMobjCO2",Dienstleistungen,5,0)</f>
        <v>#N/A</v>
      </c>
      <c r="O4" s="121">
        <f>J4*$B$45</f>
        <v>0</v>
      </c>
      <c r="P4" s="121">
        <f>VLOOKUP(A4,Ergebnisse_Nutzung,5,0)/VLOOKUP(D4,Dienstleistungen,5,0)</f>
        <v>0</v>
      </c>
      <c r="Q4" s="115">
        <f>IF(Dienstleistungen!$G$17="ja",(K4+L4+M4+N4+O4)*P4,0)</f>
        <v>0</v>
      </c>
      <c r="R4" s="56" t="s">
        <v>2100</v>
      </c>
      <c r="S4" s="121">
        <f>2*VLOOKUP("TAGEjahr",Dienstleistungen,5,0)*VLOOKUP("ENTFap",Dienstleistungen,5,0)*VLOOKUP(E4,PTRANSP,3,0)*H4/VLOOKUP("STUNDENjahr",Dienstleistungen,5,0)</f>
        <v>0</v>
      </c>
      <c r="T4" s="121">
        <f>(VLOOKUP("STUNDENjahr",Dienstleistungen,5,0)/G4+IF(VLOOKUP("STUNDENjahr",Dienstleistungen,5,0)/G4&gt;=VLOOKUP("TAGEjahr",Dienstleistungen,5,0),VLOOKUP("TAGEjahr",Dienstleistungen,5,0),VLOOKUP("STUNDENjahr",Dienstleistungen,5,0)/G4))*VLOOKUP("ENTFobj",Dienstleistungen,5,0)*VLOOKUP(F4,PTRANSP,3,0)/VLOOKUP("STUNDENjahr",Dienstleistungen,5,0)</f>
        <v>4.8539893213572851</v>
      </c>
      <c r="U4" s="121">
        <f>VLOOKUP("BÜROpersPEI",Dienstleistungen,5,0)*H4/VLOOKUP("STUNDENjahr",Dienstleistungen,5,0)</f>
        <v>18.831291880357806</v>
      </c>
      <c r="V4" s="121" t="e">
        <f>I4*VLOOKUP("STROMobjPEI",Dienstleistungen,5,0)</f>
        <v>#N/A</v>
      </c>
      <c r="W4" s="121">
        <f>J4*$C$45</f>
        <v>0</v>
      </c>
      <c r="X4" s="115">
        <f>IF(Dienstleistungen!$G$17="ja",(S4+T4+U4+V4+W4)*P4,0)</f>
        <v>0</v>
      </c>
      <c r="Y4" s="56" t="s">
        <v>2131</v>
      </c>
    </row>
    <row r="5" spans="1:25" ht="15" customHeight="1" thickBot="1">
      <c r="A5" s="56" t="s">
        <v>735</v>
      </c>
      <c r="B5" s="56" t="s">
        <v>736</v>
      </c>
      <c r="C5" s="56"/>
      <c r="D5" s="129" t="s">
        <v>2078</v>
      </c>
      <c r="E5" s="129" t="s">
        <v>2129</v>
      </c>
      <c r="F5" s="129" t="s">
        <v>2122</v>
      </c>
      <c r="G5" s="130">
        <v>8</v>
      </c>
      <c r="H5" s="131">
        <v>1.2</v>
      </c>
      <c r="I5" s="132">
        <v>0</v>
      </c>
      <c r="J5" s="133">
        <v>0</v>
      </c>
      <c r="K5" s="121">
        <f>2*VLOOKUP("TAGEjahr",Dienstleistungen,5,0)*VLOOKUP("ENTFap",Dienstleistungen,5,0)*VLOOKUP(E5,PTRANSP,2,0)*H5/VLOOKUP("STUNDENjahr",Dienstleistungen,5,0)</f>
        <v>0</v>
      </c>
      <c r="L5" s="121">
        <f>(VLOOKUP("STUNDENjahr",Dienstleistungen,5,0)/G5+IF(VLOOKUP("STUNDENjahr",Dienstleistungen,5,0)/G5&gt;=VLOOKUP("TAGEjahr",Dienstleistungen,5,0),VLOOKUP("TAGEjahr",Dienstleistungen,5,0),VLOOKUP("STUNDENjahr",Dienstleistungen,5,0)/G5))*VLOOKUP("ENTFobj",Dienstleistungen,5,0)*VLOOKUP(F5,PTRANSP,2,0)/VLOOKUP("STUNDENjahr",Dienstleistungen,5,0)</f>
        <v>0.27561841317365271</v>
      </c>
      <c r="M5" s="121">
        <f>VLOOKUP("BÜROpersCO2",Dienstleistungen,5,0)*H5/VLOOKUP("STUNDENjahr",Dienstleistungen,5,0)</f>
        <v>1.2945172992895262</v>
      </c>
      <c r="N5" s="121" t="e">
        <f>I5*VLOOKUP("STROMobjCO2",Dienstleistungen,5,0)</f>
        <v>#N/A</v>
      </c>
      <c r="O5" s="121">
        <f>J5*$B$45</f>
        <v>0</v>
      </c>
      <c r="P5" s="121">
        <f>VLOOKUP(A5,Ergebnisse_Nutzung,5,0)/VLOOKUP(D5,Dienstleistungen,5,0)</f>
        <v>0</v>
      </c>
      <c r="Q5" s="115">
        <f>IF(Dienstleistungen!$G$17="ja",(K5+L5+M5+N5+O5)*P5,0)</f>
        <v>0</v>
      </c>
      <c r="R5" s="56" t="s">
        <v>2100</v>
      </c>
      <c r="S5" s="121">
        <f>2*VLOOKUP("TAGEjahr",Dienstleistungen,5,0)*VLOOKUP("ENTFap",Dienstleistungen,5,0)*VLOOKUP(E5,PTRANSP,3,0)*H5/VLOOKUP("STUNDENjahr",Dienstleistungen,5,0)</f>
        <v>0</v>
      </c>
      <c r="T5" s="121">
        <f>(VLOOKUP("STUNDENjahr",Dienstleistungen,5,0)/G5+IF(VLOOKUP("STUNDENjahr",Dienstleistungen,5,0)/G5&gt;=VLOOKUP("TAGEjahr",Dienstleistungen,5,0),VLOOKUP("TAGEjahr",Dienstleistungen,5,0),VLOOKUP("STUNDENjahr",Dienstleistungen,5,0)/G5))*VLOOKUP("ENTFobj",Dienstleistungen,5,0)*VLOOKUP(F5,PTRANSP,3,0)/VLOOKUP("STUNDENjahr",Dienstleistungen,5,0)</f>
        <v>4.8539893213572851</v>
      </c>
      <c r="U5" s="121">
        <f>VLOOKUP("BÜROpersPEI",Dienstleistungen,5,0)*H5/VLOOKUP("STUNDENjahr",Dienstleistungen,5,0)</f>
        <v>18.831291880357806</v>
      </c>
      <c r="V5" s="121" t="e">
        <f>I5*VLOOKUP("STROMobjPEI",Dienstleistungen,5,0)</f>
        <v>#N/A</v>
      </c>
      <c r="W5" s="121">
        <f>J5*$C$45</f>
        <v>0</v>
      </c>
      <c r="X5" s="115">
        <f>IF(Dienstleistungen!$G$17="ja",(S5+T5+U5+V5+W5)*P5,0)</f>
        <v>0</v>
      </c>
      <c r="Y5" s="56" t="s">
        <v>2131</v>
      </c>
    </row>
    <row r="6" spans="1:25" ht="15" customHeight="1" thickBot="1">
      <c r="A6" s="62"/>
      <c r="B6" s="62"/>
      <c r="C6" s="62"/>
      <c r="D6" s="134"/>
      <c r="E6" s="134"/>
      <c r="F6" s="134"/>
      <c r="G6" s="135"/>
      <c r="H6" s="136"/>
      <c r="I6" s="137"/>
      <c r="J6" s="138"/>
      <c r="K6" s="139"/>
      <c r="L6" s="65"/>
      <c r="M6" s="65"/>
      <c r="N6" s="65"/>
      <c r="O6" s="65"/>
      <c r="P6" s="65"/>
      <c r="Q6" s="65"/>
      <c r="R6" s="63"/>
      <c r="S6" s="65"/>
      <c r="T6" s="65"/>
      <c r="U6" s="65"/>
      <c r="V6" s="65"/>
      <c r="W6" s="65"/>
      <c r="X6" s="65"/>
      <c r="Y6" s="63"/>
    </row>
    <row r="7" spans="1:25" ht="15" customHeight="1" thickBot="1">
      <c r="A7" s="56" t="s">
        <v>739</v>
      </c>
      <c r="B7" s="56" t="s">
        <v>367</v>
      </c>
      <c r="C7" s="56"/>
      <c r="D7" s="129" t="s">
        <v>2078</v>
      </c>
      <c r="E7" s="129" t="s">
        <v>2129</v>
      </c>
      <c r="F7" s="129" t="s">
        <v>2122</v>
      </c>
      <c r="G7" s="130">
        <v>8</v>
      </c>
      <c r="H7" s="131">
        <v>1.2</v>
      </c>
      <c r="I7" s="132">
        <v>0</v>
      </c>
      <c r="J7" s="133">
        <v>0</v>
      </c>
      <c r="K7" s="121">
        <f>2*VLOOKUP("TAGEjahr",Dienstleistungen,5,0)*VLOOKUP("ENTFap",Dienstleistungen,5,0)*VLOOKUP(E7,PTRANSP,2,0)*H7/VLOOKUP("STUNDENjahr",Dienstleistungen,5,0)</f>
        <v>0</v>
      </c>
      <c r="L7" s="121">
        <f>(VLOOKUP("STUNDENjahr",Dienstleistungen,5,0)/G7+IF(VLOOKUP("STUNDENjahr",Dienstleistungen,5,0)/G7&gt;=VLOOKUP("TAGEjahr",Dienstleistungen,5,0),VLOOKUP("TAGEjahr",Dienstleistungen,5,0),VLOOKUP("STUNDENjahr",Dienstleistungen,5,0)/G7))*VLOOKUP("ENTFobj",Dienstleistungen,5,0)*VLOOKUP(F7,PTRANSP,2,0)/VLOOKUP("STUNDENjahr",Dienstleistungen,5,0)</f>
        <v>0.27561841317365271</v>
      </c>
      <c r="M7" s="121">
        <f>VLOOKUP("BÜROpersCO2",Dienstleistungen,5,0)*H7/VLOOKUP("STUNDENjahr",Dienstleistungen,5,0)</f>
        <v>1.2945172992895262</v>
      </c>
      <c r="N7" s="121" t="e">
        <f>I7*VLOOKUP("STROMobjCO2",Dienstleistungen,5,0)</f>
        <v>#N/A</v>
      </c>
      <c r="O7" s="121">
        <f>J7*$B$45</f>
        <v>0</v>
      </c>
      <c r="P7" s="121">
        <f>VLOOKUP(A7,Ergebnisse_Nutzung,5,0)/VLOOKUP(D7,Dienstleistungen,5,0)</f>
        <v>0</v>
      </c>
      <c r="Q7" s="115">
        <f>IF(Dienstleistungen!$G$17="ja",(K7+L7+M7+N7+O7)*P7,0)</f>
        <v>0</v>
      </c>
      <c r="R7" s="56" t="s">
        <v>2100</v>
      </c>
      <c r="S7" s="121">
        <f>2*VLOOKUP("TAGEjahr",Dienstleistungen,5,0)*VLOOKUP("ENTFap",Dienstleistungen,5,0)*VLOOKUP(E7,PTRANSP,3,0)*H7/VLOOKUP("STUNDENjahr",Dienstleistungen,5,0)</f>
        <v>0</v>
      </c>
      <c r="T7" s="121">
        <f>(VLOOKUP("STUNDENjahr",Dienstleistungen,5,0)/G7+IF(VLOOKUP("STUNDENjahr",Dienstleistungen,5,0)/G7&gt;=VLOOKUP("TAGEjahr",Dienstleistungen,5,0),VLOOKUP("TAGEjahr",Dienstleistungen,5,0),VLOOKUP("STUNDENjahr",Dienstleistungen,5,0)/G7))*VLOOKUP("ENTFobj",Dienstleistungen,5,0)*VLOOKUP(F7,PTRANSP,3,0)/VLOOKUP("STUNDENjahr",Dienstleistungen,5,0)</f>
        <v>4.8539893213572851</v>
      </c>
      <c r="U7" s="121">
        <f>VLOOKUP("BÜROpersPEI",Dienstleistungen,5,0)*H7/VLOOKUP("STUNDENjahr",Dienstleistungen,5,0)</f>
        <v>18.831291880357806</v>
      </c>
      <c r="V7" s="121" t="e">
        <f>I7*VLOOKUP("STROMobjPEI",Dienstleistungen,5,0)</f>
        <v>#N/A</v>
      </c>
      <c r="W7" s="121">
        <f>J7*$C$45</f>
        <v>0</v>
      </c>
      <c r="X7" s="115">
        <f>IF(Dienstleistungen!$G$17="ja",(S7+T7+U7+V7+W7)*P7,0)</f>
        <v>0</v>
      </c>
      <c r="Y7" s="56" t="s">
        <v>2131</v>
      </c>
    </row>
    <row r="8" spans="1:25" ht="15" customHeight="1" thickBot="1">
      <c r="A8" s="56" t="s">
        <v>741</v>
      </c>
      <c r="B8" s="56" t="s">
        <v>742</v>
      </c>
      <c r="C8" s="111" t="s">
        <v>2650</v>
      </c>
      <c r="D8" s="129" t="s">
        <v>368</v>
      </c>
      <c r="E8" s="129" t="s">
        <v>2129</v>
      </c>
      <c r="F8" s="129" t="s">
        <v>2123</v>
      </c>
      <c r="G8" s="130">
        <v>2</v>
      </c>
      <c r="H8" s="131">
        <v>0.25</v>
      </c>
      <c r="I8" s="132">
        <v>0</v>
      </c>
      <c r="J8" s="133">
        <v>0</v>
      </c>
      <c r="K8" s="121">
        <f>2*VLOOKUP("TAGEjahr",Dienstleistungen,5,0)*VLOOKUP("ENTFap",Dienstleistungen,5,0)*VLOOKUP(E8,PTRANSP,2,0)*H8/VLOOKUP("STUNDENjahr",Dienstleistungen,5,0)</f>
        <v>0</v>
      </c>
      <c r="L8" s="121">
        <f>(VLOOKUP("STUNDENjahr",Dienstleistungen,5,0)/G8+IF(VLOOKUP("STUNDENjahr",Dienstleistungen,5,0)/G8&gt;=VLOOKUP("TAGEjahr",Dienstleistungen,5,0),VLOOKUP("TAGEjahr",Dienstleistungen,5,0),VLOOKUP("STUNDENjahr",Dienstleistungen,5,0)/G8))*VLOOKUP("ENTFobj",Dienstleistungen,5,0)*VLOOKUP(F8,PTRANSP,2,0)/VLOOKUP("STUNDENjahr",Dienstleistungen,5,0)</f>
        <v>1.1703474868444927</v>
      </c>
      <c r="M8" s="121">
        <f>VLOOKUP("BÜROpersCO2",Dienstleistungen,5,0)*H8/VLOOKUP("STUNDENjahr",Dienstleistungen,5,0)</f>
        <v>0.26969110401865132</v>
      </c>
      <c r="N8" s="121" t="e">
        <f>I8*VLOOKUP("STROMobjCO2",Dienstleistungen,5,0)</f>
        <v>#N/A</v>
      </c>
      <c r="O8" s="121">
        <f>J8*$B$45</f>
        <v>0</v>
      </c>
      <c r="P8" s="121">
        <f>VLOOKUP(A8,Ergebnisse_Nutzung,5,0)/VLOOKUP(D8,Dienstleistungen,5,0)</f>
        <v>0</v>
      </c>
      <c r="Q8" s="115">
        <f>IF(Dienstleistungen!$G$17="ja",(K8+L8+M8+N8+O8)*P8,0)</f>
        <v>0</v>
      </c>
      <c r="R8" s="56" t="s">
        <v>2100</v>
      </c>
      <c r="S8" s="121">
        <f>2*VLOOKUP("TAGEjahr",Dienstleistungen,5,0)*VLOOKUP("ENTFap",Dienstleistungen,5,0)*VLOOKUP(E8,PTRANSP,3,0)*H8/VLOOKUP("STUNDENjahr",Dienstleistungen,5,0)</f>
        <v>0</v>
      </c>
      <c r="T8" s="121">
        <f>(VLOOKUP("STUNDENjahr",Dienstleistungen,5,0)/G8+IF(VLOOKUP("STUNDENjahr",Dienstleistungen,5,0)/G8&gt;=VLOOKUP("TAGEjahr",Dienstleistungen,5,0),VLOOKUP("TAGEjahr",Dienstleistungen,5,0),VLOOKUP("STUNDENjahr",Dienstleistungen,5,0)/G8))*VLOOKUP("ENTFobj",Dienstleistungen,5,0)*VLOOKUP(F8,PTRANSP,3,0)/VLOOKUP("STUNDENjahr",Dienstleistungen,5,0)</f>
        <v>18.452677674953122</v>
      </c>
      <c r="U8" s="121">
        <f>VLOOKUP("BÜROpersPEI",Dienstleistungen,5,0)*H8/VLOOKUP("STUNDENjahr",Dienstleistungen,5,0)</f>
        <v>3.9231858084078768</v>
      </c>
      <c r="V8" s="121" t="e">
        <f>I8*VLOOKUP("STROMobjPEI",Dienstleistungen,5,0)</f>
        <v>#N/A</v>
      </c>
      <c r="W8" s="121">
        <f>J8*$C$45</f>
        <v>0</v>
      </c>
      <c r="X8" s="115">
        <f>IF(Dienstleistungen!$G$17="ja",(S8+T8+U8+V8+W8)*P8,0)</f>
        <v>0</v>
      </c>
      <c r="Y8" s="56" t="s">
        <v>2131</v>
      </c>
    </row>
    <row r="9" spans="1:25" ht="15" customHeight="1" thickBot="1">
      <c r="A9" s="56" t="s">
        <v>744</v>
      </c>
      <c r="B9" s="56" t="s">
        <v>745</v>
      </c>
      <c r="C9" s="56"/>
      <c r="D9" s="129" t="s">
        <v>368</v>
      </c>
      <c r="E9" s="129" t="s">
        <v>2129</v>
      </c>
      <c r="F9" s="129" t="s">
        <v>2123</v>
      </c>
      <c r="G9" s="130">
        <v>2</v>
      </c>
      <c r="H9" s="131">
        <v>0.25</v>
      </c>
      <c r="I9" s="132">
        <v>0</v>
      </c>
      <c r="J9" s="133">
        <v>0</v>
      </c>
      <c r="K9" s="121">
        <f>2*VLOOKUP("TAGEjahr",Dienstleistungen,5,0)*VLOOKUP("ENTFap",Dienstleistungen,5,0)*VLOOKUP(E9,PTRANSP,2,0)*H9/VLOOKUP("STUNDENjahr",Dienstleistungen,5,0)</f>
        <v>0</v>
      </c>
      <c r="L9" s="121">
        <f>(VLOOKUP("STUNDENjahr",Dienstleistungen,5,0)/G9+IF(VLOOKUP("STUNDENjahr",Dienstleistungen,5,0)/G9&gt;=VLOOKUP("TAGEjahr",Dienstleistungen,5,0),VLOOKUP("TAGEjahr",Dienstleistungen,5,0),VLOOKUP("STUNDENjahr",Dienstleistungen,5,0)/G9))*VLOOKUP("ENTFobj",Dienstleistungen,5,0)*VLOOKUP(F9,PTRANSP,2,0)/VLOOKUP("STUNDENjahr",Dienstleistungen,5,0)</f>
        <v>1.1703474868444927</v>
      </c>
      <c r="M9" s="121">
        <f>VLOOKUP("BÜROpersCO2",Dienstleistungen,5,0)*H9/VLOOKUP("STUNDENjahr",Dienstleistungen,5,0)</f>
        <v>0.26969110401865132</v>
      </c>
      <c r="N9" s="121" t="e">
        <f>I9*VLOOKUP("STROMobjCO2",Dienstleistungen,5,0)</f>
        <v>#N/A</v>
      </c>
      <c r="O9" s="121">
        <f>J9*$B$45</f>
        <v>0</v>
      </c>
      <c r="P9" s="121">
        <f>VLOOKUP(A9,Ergebnisse_Nutzung,5,0)/VLOOKUP(D9,Dienstleistungen,5,0)</f>
        <v>0</v>
      </c>
      <c r="Q9" s="115">
        <f>IF(Dienstleistungen!$G$17="ja",(K9+L9+M9+N9+O9)*P9,0)</f>
        <v>0</v>
      </c>
      <c r="R9" s="56" t="s">
        <v>2100</v>
      </c>
      <c r="S9" s="121">
        <f>2*VLOOKUP("TAGEjahr",Dienstleistungen,5,0)*VLOOKUP("ENTFap",Dienstleistungen,5,0)*VLOOKUP(E9,PTRANSP,3,0)*H9/VLOOKUP("STUNDENjahr",Dienstleistungen,5,0)</f>
        <v>0</v>
      </c>
      <c r="T9" s="121">
        <f>(VLOOKUP("STUNDENjahr",Dienstleistungen,5,0)/G9+IF(VLOOKUP("STUNDENjahr",Dienstleistungen,5,0)/G9&gt;=VLOOKUP("TAGEjahr",Dienstleistungen,5,0),VLOOKUP("TAGEjahr",Dienstleistungen,5,0),VLOOKUP("STUNDENjahr",Dienstleistungen,5,0)/G9))*VLOOKUP("ENTFobj",Dienstleistungen,5,0)*VLOOKUP(F9,PTRANSP,3,0)/VLOOKUP("STUNDENjahr",Dienstleistungen,5,0)</f>
        <v>18.452677674953122</v>
      </c>
      <c r="U9" s="121">
        <f>VLOOKUP("BÜROpersPEI",Dienstleistungen,5,0)*H9/VLOOKUP("STUNDENjahr",Dienstleistungen,5,0)</f>
        <v>3.9231858084078768</v>
      </c>
      <c r="V9" s="121" t="e">
        <f>I9*VLOOKUP("STROMobjPEI",Dienstleistungen,5,0)</f>
        <v>#N/A</v>
      </c>
      <c r="W9" s="121">
        <f>J9*$C$45</f>
        <v>0</v>
      </c>
      <c r="X9" s="115">
        <f>IF(Dienstleistungen!$G$17="ja",(S9+T9+U9+V9+W9)*P9,0)</f>
        <v>0</v>
      </c>
      <c r="Y9" s="56" t="s">
        <v>2131</v>
      </c>
    </row>
    <row r="10" spans="1:25" ht="15" customHeight="1" thickBot="1">
      <c r="A10" s="56" t="s">
        <v>761</v>
      </c>
      <c r="B10" s="56" t="s">
        <v>762</v>
      </c>
      <c r="C10" s="56"/>
      <c r="D10" s="129" t="s">
        <v>368</v>
      </c>
      <c r="E10" s="129" t="s">
        <v>2129</v>
      </c>
      <c r="F10" s="129" t="s">
        <v>2123</v>
      </c>
      <c r="G10" s="130">
        <v>2</v>
      </c>
      <c r="H10" s="131">
        <v>0.25</v>
      </c>
      <c r="I10" s="132">
        <v>0</v>
      </c>
      <c r="J10" s="133">
        <v>0</v>
      </c>
      <c r="K10" s="121">
        <f>2*VLOOKUP("TAGEjahr",Dienstleistungen,5,0)*VLOOKUP("ENTFap",Dienstleistungen,5,0)*VLOOKUP(E10,PTRANSP,2,0)*H10/VLOOKUP("STUNDENjahr",Dienstleistungen,5,0)</f>
        <v>0</v>
      </c>
      <c r="L10" s="121">
        <f>(VLOOKUP("STUNDENjahr",Dienstleistungen,5,0)/G10+IF(VLOOKUP("STUNDENjahr",Dienstleistungen,5,0)/G10&gt;=VLOOKUP("TAGEjahr",Dienstleistungen,5,0),VLOOKUP("TAGEjahr",Dienstleistungen,5,0),VLOOKUP("STUNDENjahr",Dienstleistungen,5,0)/G10))*VLOOKUP("ENTFobj",Dienstleistungen,5,0)*VLOOKUP(F10,PTRANSP,2,0)/VLOOKUP("STUNDENjahr",Dienstleistungen,5,0)</f>
        <v>1.1703474868444927</v>
      </c>
      <c r="M10" s="121">
        <f>VLOOKUP("BÜROpersCO2",Dienstleistungen,5,0)*H10/VLOOKUP("STUNDENjahr",Dienstleistungen,5,0)</f>
        <v>0.26969110401865132</v>
      </c>
      <c r="N10" s="121" t="e">
        <f>I10*VLOOKUP("STROMobjCO2",Dienstleistungen,5,0)</f>
        <v>#N/A</v>
      </c>
      <c r="O10" s="121">
        <f>J10*$B$45</f>
        <v>0</v>
      </c>
      <c r="P10" s="121">
        <f>VLOOKUP(A10,Ergebnisse_Nutzung,5,0)/VLOOKUP(D10,Dienstleistungen,5,0)</f>
        <v>0</v>
      </c>
      <c r="Q10" s="115">
        <f>IF(Dienstleistungen!$G$17="ja",(K10+L10+M10+N10+O10)*P10,0)</f>
        <v>0</v>
      </c>
      <c r="R10" s="56" t="s">
        <v>2100</v>
      </c>
      <c r="S10" s="121">
        <f>2*VLOOKUP("TAGEjahr",Dienstleistungen,5,0)*VLOOKUP("ENTFap",Dienstleistungen,5,0)*VLOOKUP(E10,PTRANSP,3,0)*H10/VLOOKUP("STUNDENjahr",Dienstleistungen,5,0)</f>
        <v>0</v>
      </c>
      <c r="T10" s="121">
        <f>(VLOOKUP("STUNDENjahr",Dienstleistungen,5,0)/G10+IF(VLOOKUP("STUNDENjahr",Dienstleistungen,5,0)/G10&gt;=VLOOKUP("TAGEjahr",Dienstleistungen,5,0),VLOOKUP("TAGEjahr",Dienstleistungen,5,0),VLOOKUP("STUNDENjahr",Dienstleistungen,5,0)/G10))*VLOOKUP("ENTFobj",Dienstleistungen,5,0)*VLOOKUP(F10,PTRANSP,3,0)/VLOOKUP("STUNDENjahr",Dienstleistungen,5,0)</f>
        <v>18.452677674953122</v>
      </c>
      <c r="U10" s="121">
        <f>VLOOKUP("BÜROpersPEI",Dienstleistungen,5,0)*H10/VLOOKUP("STUNDENjahr",Dienstleistungen,5,0)</f>
        <v>3.9231858084078768</v>
      </c>
      <c r="V10" s="121" t="e">
        <f>I10*VLOOKUP("STROMobjPEI",Dienstleistungen,5,0)</f>
        <v>#N/A</v>
      </c>
      <c r="W10" s="121">
        <f>J10*$C$45</f>
        <v>0</v>
      </c>
      <c r="X10" s="115">
        <f>IF(Dienstleistungen!$G$17="ja",(S10+T10+U10+V10+W10)*P10,0)</f>
        <v>0</v>
      </c>
      <c r="Y10" s="56" t="s">
        <v>2131</v>
      </c>
    </row>
    <row r="11" spans="1:25" ht="15" customHeight="1" thickBot="1">
      <c r="A11" s="62"/>
      <c r="B11" s="62"/>
      <c r="C11" s="62"/>
      <c r="D11" s="134"/>
      <c r="E11" s="134"/>
      <c r="F11" s="134"/>
      <c r="G11" s="135"/>
      <c r="H11" s="136"/>
      <c r="I11" s="137"/>
      <c r="J11" s="138"/>
      <c r="K11" s="139"/>
      <c r="L11" s="65"/>
      <c r="M11" s="65"/>
      <c r="N11" s="65"/>
      <c r="O11" s="65"/>
      <c r="P11" s="65"/>
      <c r="Q11" s="65"/>
      <c r="R11" s="63"/>
      <c r="S11" s="65"/>
      <c r="T11" s="65"/>
      <c r="U11" s="65"/>
      <c r="V11" s="65"/>
      <c r="W11" s="65"/>
      <c r="X11" s="65"/>
      <c r="Y11" s="63"/>
    </row>
    <row r="12" spans="1:25" ht="15" customHeight="1" thickBot="1">
      <c r="A12" s="56" t="s">
        <v>795</v>
      </c>
      <c r="B12" s="56" t="s">
        <v>796</v>
      </c>
      <c r="C12" s="56"/>
      <c r="D12" s="129" t="s">
        <v>519</v>
      </c>
      <c r="E12" s="129" t="s">
        <v>2129</v>
      </c>
      <c r="F12" s="129" t="s">
        <v>2122</v>
      </c>
      <c r="G12" s="130">
        <v>4</v>
      </c>
      <c r="H12" s="131">
        <v>0.1</v>
      </c>
      <c r="I12" s="132">
        <v>0</v>
      </c>
      <c r="J12" s="133">
        <v>0</v>
      </c>
      <c r="K12" s="121">
        <f>2*VLOOKUP("TAGEjahr",Dienstleistungen,5,0)*VLOOKUP("ENTFap",Dienstleistungen,5,0)*VLOOKUP(E12,PTRANSP,2,0)*H12/VLOOKUP("STUNDENjahr",Dienstleistungen,5,0)</f>
        <v>0</v>
      </c>
      <c r="L12" s="121">
        <f>(VLOOKUP("STUNDENjahr",Dienstleistungen,5,0)/G12+IF(VLOOKUP("STUNDENjahr",Dienstleistungen,5,0)/G12&gt;=VLOOKUP("TAGEjahr",Dienstleistungen,5,0),VLOOKUP("TAGEjahr",Dienstleistungen,5,0),VLOOKUP("STUNDENjahr",Dienstleistungen,5,0)/G12))*VLOOKUP("ENTFobj",Dienstleistungen,5,0)*VLOOKUP(F12,PTRANSP,2,0)/VLOOKUP("STUNDENjahr",Dienstleistungen,5,0)</f>
        <v>0.44265987570313919</v>
      </c>
      <c r="M12" s="121">
        <f>VLOOKUP("BÜROpersCO2",Dienstleistungen,5,0)*H12/VLOOKUP("STUNDENjahr",Dienstleistungen,5,0)</f>
        <v>0.10787644160746053</v>
      </c>
      <c r="N12" s="121" t="e">
        <f>I12*VLOOKUP("STROMobjCO2",Dienstleistungen,5,0)</f>
        <v>#N/A</v>
      </c>
      <c r="O12" s="121">
        <f>J12*$B$45</f>
        <v>0</v>
      </c>
      <c r="P12" s="121">
        <f>VLOOKUP(A12,Ergebnisse_Nutzung,5,0)/VLOOKUP(D12,Dienstleistungen,5,0)</f>
        <v>0</v>
      </c>
      <c r="Q12" s="115">
        <f>IF(Dienstleistungen!$G$17="ja",(K12+L12+M12+N12+O12)*P12,0)</f>
        <v>0</v>
      </c>
      <c r="R12" s="56" t="s">
        <v>2100</v>
      </c>
      <c r="S12" s="121">
        <f>2*VLOOKUP("TAGEjahr",Dienstleistungen,5,0)*VLOOKUP("ENTFap",Dienstleistungen,5,0)*VLOOKUP(E12,PTRANSP,3,0)*H12/VLOOKUP("STUNDENjahr",Dienstleistungen,5,0)</f>
        <v>0</v>
      </c>
      <c r="T12" s="121">
        <f>(VLOOKUP("STUNDENjahr",Dienstleistungen,5,0)/G12+IF(VLOOKUP("STUNDENjahr",Dienstleistungen,5,0)/G12&gt;=VLOOKUP("TAGEjahr",Dienstleistungen,5,0),VLOOKUP("TAGEjahr",Dienstleistungen,5,0),VLOOKUP("STUNDENjahr",Dienstleistungen,5,0)/G12))*VLOOKUP("ENTFobj",Dienstleistungen,5,0)*VLOOKUP(F12,PTRANSP,3,0)/VLOOKUP("STUNDENjahr",Dienstleistungen,5,0)</f>
        <v>7.7958010312707904</v>
      </c>
      <c r="U12" s="121">
        <f>VLOOKUP("BÜROpersPEI",Dienstleistungen,5,0)*H12/VLOOKUP("STUNDENjahr",Dienstleistungen,5,0)</f>
        <v>1.5692743233631508</v>
      </c>
      <c r="V12" s="121" t="e">
        <f>I12*VLOOKUP("STROMobjPEI",Dienstleistungen,5,0)</f>
        <v>#N/A</v>
      </c>
      <c r="W12" s="121">
        <f>J12*$C$45</f>
        <v>0</v>
      </c>
      <c r="X12" s="115">
        <f>IF(Dienstleistungen!$G$17="ja",(S12+T12+U12+V12+W12)*P12,0)</f>
        <v>0</v>
      </c>
      <c r="Y12" s="56" t="s">
        <v>2131</v>
      </c>
    </row>
    <row r="13" spans="1:25" ht="15" customHeight="1" thickBot="1">
      <c r="A13" s="56" t="s">
        <v>797</v>
      </c>
      <c r="B13" s="56" t="s">
        <v>798</v>
      </c>
      <c r="C13" s="56"/>
      <c r="D13" s="129" t="s">
        <v>519</v>
      </c>
      <c r="E13" s="129" t="s">
        <v>2129</v>
      </c>
      <c r="F13" s="129" t="s">
        <v>2122</v>
      </c>
      <c r="G13" s="130">
        <v>4</v>
      </c>
      <c r="H13" s="131">
        <v>0.1</v>
      </c>
      <c r="I13" s="132">
        <v>0</v>
      </c>
      <c r="J13" s="133">
        <v>0</v>
      </c>
      <c r="K13" s="121">
        <f>2*VLOOKUP("TAGEjahr",Dienstleistungen,5,0)*VLOOKUP("ENTFap",Dienstleistungen,5,0)*VLOOKUP(E13,PTRANSP,2,0)*H13/VLOOKUP("STUNDENjahr",Dienstleistungen,5,0)</f>
        <v>0</v>
      </c>
      <c r="L13" s="121">
        <f>(VLOOKUP("STUNDENjahr",Dienstleistungen,5,0)/G13+IF(VLOOKUP("STUNDENjahr",Dienstleistungen,5,0)/G13&gt;=VLOOKUP("TAGEjahr",Dienstleistungen,5,0),VLOOKUP("TAGEjahr",Dienstleistungen,5,0),VLOOKUP("STUNDENjahr",Dienstleistungen,5,0)/G13))*VLOOKUP("ENTFobj",Dienstleistungen,5,0)*VLOOKUP(F13,PTRANSP,2,0)/VLOOKUP("STUNDENjahr",Dienstleistungen,5,0)</f>
        <v>0.44265987570313919</v>
      </c>
      <c r="M13" s="121">
        <f>VLOOKUP("BÜROpersCO2",Dienstleistungen,5,0)*H13/VLOOKUP("STUNDENjahr",Dienstleistungen,5,0)</f>
        <v>0.10787644160746053</v>
      </c>
      <c r="N13" s="121" t="e">
        <f>I13*VLOOKUP("STROMobjCO2",Dienstleistungen,5,0)</f>
        <v>#N/A</v>
      </c>
      <c r="O13" s="121">
        <f>J13*$B$45</f>
        <v>0</v>
      </c>
      <c r="P13" s="121">
        <f>VLOOKUP(A13,Ergebnisse_Nutzung,5,0)/VLOOKUP(D13,Dienstleistungen,5,0)</f>
        <v>0</v>
      </c>
      <c r="Q13" s="115">
        <f>IF(Dienstleistungen!$G$17="ja",(K13+L13+M13+N13+O13)*P13,0)</f>
        <v>0</v>
      </c>
      <c r="R13" s="56" t="s">
        <v>2100</v>
      </c>
      <c r="S13" s="121">
        <f>2*VLOOKUP("TAGEjahr",Dienstleistungen,5,0)*VLOOKUP("ENTFap",Dienstleistungen,5,0)*VLOOKUP(E13,PTRANSP,3,0)*H13/VLOOKUP("STUNDENjahr",Dienstleistungen,5,0)</f>
        <v>0</v>
      </c>
      <c r="T13" s="121">
        <f>(VLOOKUP("STUNDENjahr",Dienstleistungen,5,0)/G13+IF(VLOOKUP("STUNDENjahr",Dienstleistungen,5,0)/G13&gt;=VLOOKUP("TAGEjahr",Dienstleistungen,5,0),VLOOKUP("TAGEjahr",Dienstleistungen,5,0),VLOOKUP("STUNDENjahr",Dienstleistungen,5,0)/G13))*VLOOKUP("ENTFobj",Dienstleistungen,5,0)*VLOOKUP(F13,PTRANSP,3,0)/VLOOKUP("STUNDENjahr",Dienstleistungen,5,0)</f>
        <v>7.7958010312707904</v>
      </c>
      <c r="U13" s="121">
        <f>VLOOKUP("BÜROpersPEI",Dienstleistungen,5,0)*H13/VLOOKUP("STUNDENjahr",Dienstleistungen,5,0)</f>
        <v>1.5692743233631508</v>
      </c>
      <c r="V13" s="121" t="e">
        <f>I13*VLOOKUP("STROMobjPEI",Dienstleistungen,5,0)</f>
        <v>#N/A</v>
      </c>
      <c r="W13" s="121">
        <f>J13*$C$45</f>
        <v>0</v>
      </c>
      <c r="X13" s="115">
        <f>IF(Dienstleistungen!$G$17="ja",(S13+T13+U13+V13+W13)*P13,0)</f>
        <v>0</v>
      </c>
      <c r="Y13" s="56" t="s">
        <v>2131</v>
      </c>
    </row>
    <row r="14" spans="1:25" ht="15" customHeight="1" thickBot="1">
      <c r="A14" s="56" t="s">
        <v>799</v>
      </c>
      <c r="B14" s="56" t="s">
        <v>800</v>
      </c>
      <c r="C14" s="56"/>
      <c r="D14" s="129" t="s">
        <v>519</v>
      </c>
      <c r="E14" s="129" t="s">
        <v>2129</v>
      </c>
      <c r="F14" s="129" t="s">
        <v>2122</v>
      </c>
      <c r="G14" s="130">
        <v>4</v>
      </c>
      <c r="H14" s="131">
        <v>0.1</v>
      </c>
      <c r="I14" s="132">
        <v>1</v>
      </c>
      <c r="J14" s="133">
        <v>0</v>
      </c>
      <c r="K14" s="121">
        <f>2*VLOOKUP("TAGEjahr",Dienstleistungen,5,0)*VLOOKUP("ENTFap",Dienstleistungen,5,0)*VLOOKUP(E14,PTRANSP,2,0)*H14/VLOOKUP("STUNDENjahr",Dienstleistungen,5,0)</f>
        <v>0</v>
      </c>
      <c r="L14" s="121">
        <f>(VLOOKUP("STUNDENjahr",Dienstleistungen,5,0)/G14+IF(VLOOKUP("STUNDENjahr",Dienstleistungen,5,0)/G14&gt;=VLOOKUP("TAGEjahr",Dienstleistungen,5,0),VLOOKUP("TAGEjahr",Dienstleistungen,5,0),VLOOKUP("STUNDENjahr",Dienstleistungen,5,0)/G14))*VLOOKUP("ENTFobj",Dienstleistungen,5,0)*VLOOKUP(F14,PTRANSP,2,0)/VLOOKUP("STUNDENjahr",Dienstleistungen,5,0)</f>
        <v>0.44265987570313919</v>
      </c>
      <c r="M14" s="121">
        <f>VLOOKUP("BÜROpersCO2",Dienstleistungen,5,0)*H14/VLOOKUP("STUNDENjahr",Dienstleistungen,5,0)</f>
        <v>0.10787644160746053</v>
      </c>
      <c r="N14" s="121" t="e">
        <f>I14*VLOOKUP("STROMobjCO2",Dienstleistungen,5,0)</f>
        <v>#N/A</v>
      </c>
      <c r="O14" s="121">
        <f>J14*$B$45</f>
        <v>0</v>
      </c>
      <c r="P14" s="121">
        <f>VLOOKUP(A14,Ergebnisse_Nutzung,5,0)/VLOOKUP(D14,Dienstleistungen,5,0)</f>
        <v>0</v>
      </c>
      <c r="Q14" s="115">
        <f>IF(Dienstleistungen!$G$17="ja",(K14+L14+M14+N14+O14)*P14,0)</f>
        <v>0</v>
      </c>
      <c r="R14" s="56" t="s">
        <v>2100</v>
      </c>
      <c r="S14" s="121">
        <f>2*VLOOKUP("TAGEjahr",Dienstleistungen,5,0)*VLOOKUP("ENTFap",Dienstleistungen,5,0)*VLOOKUP(E14,PTRANSP,3,0)*H14/VLOOKUP("STUNDENjahr",Dienstleistungen,5,0)</f>
        <v>0</v>
      </c>
      <c r="T14" s="121">
        <f>(VLOOKUP("STUNDENjahr",Dienstleistungen,5,0)/G14+IF(VLOOKUP("STUNDENjahr",Dienstleistungen,5,0)/G14&gt;=VLOOKUP("TAGEjahr",Dienstleistungen,5,0),VLOOKUP("TAGEjahr",Dienstleistungen,5,0),VLOOKUP("STUNDENjahr",Dienstleistungen,5,0)/G14))*VLOOKUP("ENTFobj",Dienstleistungen,5,0)*VLOOKUP(F14,PTRANSP,3,0)/VLOOKUP("STUNDENjahr",Dienstleistungen,5,0)</f>
        <v>7.7958010312707904</v>
      </c>
      <c r="U14" s="121">
        <f>VLOOKUP("BÜROpersPEI",Dienstleistungen,5,0)*H14/VLOOKUP("STUNDENjahr",Dienstleistungen,5,0)</f>
        <v>1.5692743233631508</v>
      </c>
      <c r="V14" s="121" t="e">
        <f>I14*VLOOKUP("STROMobjPEI",Dienstleistungen,5,0)</f>
        <v>#N/A</v>
      </c>
      <c r="W14" s="121">
        <f>J14*$C$45</f>
        <v>0</v>
      </c>
      <c r="X14" s="115">
        <f>IF(Dienstleistungen!$G$17="ja",(S14+T14+U14+V14+W14)*P14,0)</f>
        <v>0</v>
      </c>
      <c r="Y14" s="56" t="s">
        <v>2131</v>
      </c>
    </row>
    <row r="15" spans="1:25" ht="15" customHeight="1" thickBot="1">
      <c r="A15" s="56" t="s">
        <v>801</v>
      </c>
      <c r="B15" s="56" t="s">
        <v>2166</v>
      </c>
      <c r="C15" s="56"/>
      <c r="D15" s="129" t="s">
        <v>519</v>
      </c>
      <c r="E15" s="129" t="s">
        <v>2129</v>
      </c>
      <c r="F15" s="129" t="s">
        <v>2122</v>
      </c>
      <c r="G15" s="130">
        <v>8</v>
      </c>
      <c r="H15" s="131">
        <v>0.1</v>
      </c>
      <c r="I15" s="132">
        <v>1</v>
      </c>
      <c r="J15" s="133">
        <v>0</v>
      </c>
      <c r="K15" s="121">
        <f>2*VLOOKUP("TAGEjahr",Dienstleistungen,5,0)*VLOOKUP("ENTFap",Dienstleistungen,5,0)*VLOOKUP(E15,PTRANSP,2,0)*H15/VLOOKUP("STUNDENjahr",Dienstleistungen,5,0)</f>
        <v>0</v>
      </c>
      <c r="L15" s="121">
        <f>(VLOOKUP("STUNDENjahr",Dienstleistungen,5,0)/G15+IF(VLOOKUP("STUNDENjahr",Dienstleistungen,5,0)/G15&gt;=VLOOKUP("TAGEjahr",Dienstleistungen,5,0),VLOOKUP("TAGEjahr",Dienstleistungen,5,0),VLOOKUP("STUNDENjahr",Dienstleistungen,5,0)/G15))*VLOOKUP("ENTFobj",Dienstleistungen,5,0)*VLOOKUP(F15,PTRANSP,2,0)/VLOOKUP("STUNDENjahr",Dienstleistungen,5,0)</f>
        <v>0.27561841317365271</v>
      </c>
      <c r="M15" s="121">
        <f>VLOOKUP("BÜROpersCO2",Dienstleistungen,5,0)*H15/VLOOKUP("STUNDENjahr",Dienstleistungen,5,0)</f>
        <v>0.10787644160746053</v>
      </c>
      <c r="N15" s="121" t="e">
        <f>I15*VLOOKUP("STROMobjCO2",Dienstleistungen,5,0)</f>
        <v>#N/A</v>
      </c>
      <c r="O15" s="121">
        <f>J15*$B$45</f>
        <v>0</v>
      </c>
      <c r="P15" s="121">
        <f>VLOOKUP(A15,Ergebnisse_Nutzung,5,0)/VLOOKUP(D15,Dienstleistungen,5,0)</f>
        <v>0</v>
      </c>
      <c r="Q15" s="115">
        <f>IF(Dienstleistungen!$G$17="ja",(K15+L15+M15+N15+O15)*P15,0)</f>
        <v>0</v>
      </c>
      <c r="R15" s="56" t="s">
        <v>2100</v>
      </c>
      <c r="S15" s="121">
        <f>2*VLOOKUP("TAGEjahr",Dienstleistungen,5,0)*VLOOKUP("ENTFap",Dienstleistungen,5,0)*VLOOKUP(E15,PTRANSP,3,0)*H15/VLOOKUP("STUNDENjahr",Dienstleistungen,5,0)</f>
        <v>0</v>
      </c>
      <c r="T15" s="121">
        <f>(VLOOKUP("STUNDENjahr",Dienstleistungen,5,0)/G15+IF(VLOOKUP("STUNDENjahr",Dienstleistungen,5,0)/G15&gt;=VLOOKUP("TAGEjahr",Dienstleistungen,5,0),VLOOKUP("TAGEjahr",Dienstleistungen,5,0),VLOOKUP("STUNDENjahr",Dienstleistungen,5,0)/G15))*VLOOKUP("ENTFobj",Dienstleistungen,5,0)*VLOOKUP(F15,PTRANSP,3,0)/VLOOKUP("STUNDENjahr",Dienstleistungen,5,0)</f>
        <v>4.8539893213572851</v>
      </c>
      <c r="U15" s="121">
        <f>VLOOKUP("BÜROpersPEI",Dienstleistungen,5,0)*H15/VLOOKUP("STUNDENjahr",Dienstleistungen,5,0)</f>
        <v>1.5692743233631508</v>
      </c>
      <c r="V15" s="121" t="e">
        <f>I15*VLOOKUP("STROMobjPEI",Dienstleistungen,5,0)</f>
        <v>#N/A</v>
      </c>
      <c r="W15" s="121">
        <f>J15*$C$45</f>
        <v>0</v>
      </c>
      <c r="X15" s="115">
        <f>IF(Dienstleistungen!$G$17="ja",(S15+T15+U15+V15+W15)*P15,0)</f>
        <v>0</v>
      </c>
      <c r="Y15" s="56" t="s">
        <v>2131</v>
      </c>
    </row>
    <row r="16" spans="1:25" ht="15" customHeight="1" thickBot="1">
      <c r="A16" s="62"/>
      <c r="B16" s="62"/>
      <c r="C16" s="62"/>
      <c r="D16" s="134"/>
      <c r="E16" s="134"/>
      <c r="F16" s="134"/>
      <c r="G16" s="135"/>
      <c r="H16" s="136"/>
      <c r="I16" s="137"/>
      <c r="J16" s="138"/>
      <c r="K16" s="139"/>
      <c r="L16" s="65"/>
      <c r="M16" s="65"/>
      <c r="N16" s="65"/>
      <c r="O16" s="65"/>
      <c r="P16" s="65"/>
      <c r="Q16" s="65"/>
      <c r="R16" s="63"/>
      <c r="S16" s="65"/>
      <c r="T16" s="65"/>
      <c r="U16" s="65"/>
      <c r="V16" s="65"/>
      <c r="W16" s="65"/>
      <c r="X16" s="65"/>
      <c r="Y16" s="63"/>
    </row>
    <row r="17" spans="1:25" ht="15" customHeight="1" thickBot="1">
      <c r="A17" s="56" t="s">
        <v>805</v>
      </c>
      <c r="B17" s="56" t="s">
        <v>582</v>
      </c>
      <c r="C17" s="56" t="s">
        <v>2124</v>
      </c>
      <c r="D17" s="129" t="s">
        <v>519</v>
      </c>
      <c r="E17" s="129" t="s">
        <v>2129</v>
      </c>
      <c r="F17" s="129" t="s">
        <v>2123</v>
      </c>
      <c r="G17" s="130">
        <v>8</v>
      </c>
      <c r="H17" s="131">
        <v>0.1</v>
      </c>
      <c r="I17" s="132">
        <v>0</v>
      </c>
      <c r="J17" s="133">
        <v>0</v>
      </c>
      <c r="K17" s="121">
        <f>2*VLOOKUP("TAGEjahr",Dienstleistungen,5,0)*VLOOKUP("ENTFap",Dienstleistungen,5,0)*VLOOKUP(E17,PTRANSP,2,0)*H17/VLOOKUP("STUNDENjahr",Dienstleistungen,5,0)</f>
        <v>0</v>
      </c>
      <c r="L17" s="121">
        <f>(VLOOKUP("STUNDENjahr",Dienstleistungen,5,0)/G17+IF(VLOOKUP("STUNDENjahr",Dienstleistungen,5,0)/G17&gt;=VLOOKUP("TAGEjahr",Dienstleistungen,5,0),VLOOKUP("TAGEjahr",Dienstleistungen,5,0),VLOOKUP("STUNDENjahr",Dienstleistungen,5,0)/G17))*VLOOKUP("ENTFobj",Dienstleistungen,5,0)*VLOOKUP(F17,PTRANSP,2,0)/VLOOKUP("STUNDENjahr",Dienstleistungen,5,0)</f>
        <v>0.4490868263473054</v>
      </c>
      <c r="M17" s="121">
        <f>VLOOKUP("BÜROpersCO2",Dienstleistungen,5,0)*H17/VLOOKUP("STUNDENjahr",Dienstleistungen,5,0)</f>
        <v>0.10787644160746053</v>
      </c>
      <c r="N17" s="121" t="e">
        <f>I17*VLOOKUP("STROMobjCO2",Dienstleistungen,5,0)</f>
        <v>#N/A</v>
      </c>
      <c r="O17" s="121">
        <f t="shared" ref="O17:O21" si="0">J17*$B$45</f>
        <v>0</v>
      </c>
      <c r="P17" s="121">
        <f>(VLOOKUP(A17,Ergebnisse_Nutzung,5,0)-((VLOOKUP("GLASFab",Objektkenndaten,5,0)+VLOOKUP("GLASFNVab",Objektkenndaten,5,0))*VLOOKUP("GLASFRKm2",Reinigung,5,0)*VLOOKUP("GLASFRfreq",Reinigung,5,0)/VLOOKUP("RKh",Dienstleistungen,5,0)/8)*VLOOKUP("BÜHd",Reinigung,5,0))/VLOOKUP(D17,Dienstleistungen,5,0)</f>
        <v>0</v>
      </c>
      <c r="Q17" s="115">
        <f>IF(Dienstleistungen!$G$17="ja",(K17+L17+M17+N17+O17)*P17,0)</f>
        <v>0</v>
      </c>
      <c r="R17" s="56" t="s">
        <v>2100</v>
      </c>
      <c r="S17" s="121">
        <f>2*VLOOKUP("TAGEjahr",Dienstleistungen,5,0)*VLOOKUP("ENTFap",Dienstleistungen,5,0)*VLOOKUP(E17,PTRANSP,3,0)*H17/VLOOKUP("STUNDENjahr",Dienstleistungen,5,0)</f>
        <v>0</v>
      </c>
      <c r="T17" s="121">
        <f>(VLOOKUP("STUNDENjahr",Dienstleistungen,5,0)/G17+IF(VLOOKUP("STUNDENjahr",Dienstleistungen,5,0)/G17&gt;=VLOOKUP("TAGEjahr",Dienstleistungen,5,0),VLOOKUP("TAGEjahr",Dienstleistungen,5,0),VLOOKUP("STUNDENjahr",Dienstleistungen,5,0)/G17))*VLOOKUP("ENTFobj",Dienstleistungen,5,0)*VLOOKUP(F17,PTRANSP,3,0)/VLOOKUP("STUNDENjahr",Dienstleistungen,5,0)</f>
        <v>7.0806786427145694</v>
      </c>
      <c r="U17" s="121">
        <f>VLOOKUP("BÜROpersPEI",Dienstleistungen,5,0)*H17/VLOOKUP("STUNDENjahr",Dienstleistungen,5,0)</f>
        <v>1.5692743233631508</v>
      </c>
      <c r="V17" s="121" t="e">
        <f>I17*VLOOKUP("STROMobjPEI",Dienstleistungen,5,0)</f>
        <v>#N/A</v>
      </c>
      <c r="W17" s="121">
        <f t="shared" ref="W17:W21" si="1">J17*$C$45</f>
        <v>0</v>
      </c>
      <c r="X17" s="115">
        <f>IF(Dienstleistungen!$G$17="ja",(S17+T17+U17+V17+W17)*P17,0)</f>
        <v>0</v>
      </c>
      <c r="Y17" s="56" t="s">
        <v>2131</v>
      </c>
    </row>
    <row r="18" spans="1:25" ht="15" customHeight="1" thickBot="1">
      <c r="A18" s="56" t="s">
        <v>806</v>
      </c>
      <c r="B18" s="56" t="s">
        <v>807</v>
      </c>
      <c r="C18" s="56" t="s">
        <v>2124</v>
      </c>
      <c r="D18" s="129" t="s">
        <v>519</v>
      </c>
      <c r="E18" s="129" t="s">
        <v>2129</v>
      </c>
      <c r="F18" s="129" t="s">
        <v>2123</v>
      </c>
      <c r="G18" s="130">
        <v>8</v>
      </c>
      <c r="H18" s="131">
        <v>0.1</v>
      </c>
      <c r="I18" s="132">
        <v>0</v>
      </c>
      <c r="J18" s="133">
        <v>0</v>
      </c>
      <c r="K18" s="121">
        <f>2*VLOOKUP("TAGEjahr",Dienstleistungen,5,0)*VLOOKUP("ENTFap",Dienstleistungen,5,0)*VLOOKUP(E18,PTRANSP,2,0)*H18/VLOOKUP("STUNDENjahr",Dienstleistungen,5,0)</f>
        <v>0</v>
      </c>
      <c r="L18" s="121">
        <f>(VLOOKUP("STUNDENjahr",Dienstleistungen,5,0)/G18+IF(VLOOKUP("STUNDENjahr",Dienstleistungen,5,0)/G18&gt;=VLOOKUP("TAGEjahr",Dienstleistungen,5,0),VLOOKUP("TAGEjahr",Dienstleistungen,5,0),VLOOKUP("STUNDENjahr",Dienstleistungen,5,0)/G18))*VLOOKUP("ENTFobj",Dienstleistungen,5,0)*VLOOKUP(F18,PTRANSP,2,0)/VLOOKUP("STUNDENjahr",Dienstleistungen,5,0)</f>
        <v>0.4490868263473054</v>
      </c>
      <c r="M18" s="121">
        <f>VLOOKUP("BÜROpersCO2",Dienstleistungen,5,0)*H18/VLOOKUP("STUNDENjahr",Dienstleistungen,5,0)</f>
        <v>0.10787644160746053</v>
      </c>
      <c r="N18" s="121" t="e">
        <f>I18*VLOOKUP("STROMobjCO2",Dienstleistungen,5,0)</f>
        <v>#N/A</v>
      </c>
      <c r="O18" s="121">
        <f t="shared" si="0"/>
        <v>0</v>
      </c>
      <c r="P18" s="121">
        <f>(VLOOKUP(A18,Ergebnisse_Nutzung,5,0)-(VLOOKUP("IGLASFab",Objektkenndaten,5,0)*VLOOKUP("IGLASFRKm2",Reinigung,5,0)*VLOOKUP("GLASFIRfreq",Reinigung,5,0)/VLOOKUP("RKh",Dienstleistungen,5,0)/8)*VLOOKUP("BÜHd",Reinigung,5,0))/VLOOKUP(D18,Dienstleistungen,5,0)</f>
        <v>0</v>
      </c>
      <c r="Q18" s="115">
        <f>IF(Dienstleistungen!$G$17="ja",(K18+L18+M18+N18+O18)*P18,0)</f>
        <v>0</v>
      </c>
      <c r="R18" s="56" t="s">
        <v>2100</v>
      </c>
      <c r="S18" s="121">
        <f>2*VLOOKUP("TAGEjahr",Dienstleistungen,5,0)*VLOOKUP("ENTFap",Dienstleistungen,5,0)*VLOOKUP(E18,PTRANSP,3,0)*H18/VLOOKUP("STUNDENjahr",Dienstleistungen,5,0)</f>
        <v>0</v>
      </c>
      <c r="T18" s="121">
        <f>(VLOOKUP("STUNDENjahr",Dienstleistungen,5,0)/G18+IF(VLOOKUP("STUNDENjahr",Dienstleistungen,5,0)/G18&gt;=VLOOKUP("TAGEjahr",Dienstleistungen,5,0),VLOOKUP("TAGEjahr",Dienstleistungen,5,0),VLOOKUP("STUNDENjahr",Dienstleistungen,5,0)/G18))*VLOOKUP("ENTFobj",Dienstleistungen,5,0)*VLOOKUP(F18,PTRANSP,3,0)/VLOOKUP("STUNDENjahr",Dienstleistungen,5,0)</f>
        <v>7.0806786427145694</v>
      </c>
      <c r="U18" s="121">
        <f>VLOOKUP("BÜROpersPEI",Dienstleistungen,5,0)*H18/VLOOKUP("STUNDENjahr",Dienstleistungen,5,0)</f>
        <v>1.5692743233631508</v>
      </c>
      <c r="V18" s="121" t="e">
        <f>I18*VLOOKUP("STROMobjPEI",Dienstleistungen,5,0)</f>
        <v>#N/A</v>
      </c>
      <c r="W18" s="121">
        <f t="shared" si="1"/>
        <v>0</v>
      </c>
      <c r="X18" s="115">
        <f>IF(Dienstleistungen!$G$17="ja",(S18+T18+U18+V18+W18)*P18,0)</f>
        <v>0</v>
      </c>
      <c r="Y18" s="56" t="s">
        <v>2131</v>
      </c>
    </row>
    <row r="19" spans="1:25" ht="15" customHeight="1" thickBot="1">
      <c r="A19" s="56" t="s">
        <v>808</v>
      </c>
      <c r="B19" s="56" t="s">
        <v>608</v>
      </c>
      <c r="C19" s="56" t="s">
        <v>2124</v>
      </c>
      <c r="D19" s="129" t="s">
        <v>519</v>
      </c>
      <c r="E19" s="129" t="s">
        <v>2129</v>
      </c>
      <c r="F19" s="129" t="s">
        <v>2123</v>
      </c>
      <c r="G19" s="130">
        <v>8</v>
      </c>
      <c r="H19" s="131">
        <v>0.1</v>
      </c>
      <c r="I19" s="132">
        <v>1</v>
      </c>
      <c r="J19" s="133">
        <v>0</v>
      </c>
      <c r="K19" s="121">
        <f>2*VLOOKUP("TAGEjahr",Dienstleistungen,5,0)*VLOOKUP("ENTFap",Dienstleistungen,5,0)*VLOOKUP(E19,PTRANSP,2,0)*H19/VLOOKUP("STUNDENjahr",Dienstleistungen,5,0)</f>
        <v>0</v>
      </c>
      <c r="L19" s="121">
        <f>(VLOOKUP("STUNDENjahr",Dienstleistungen,5,0)/G19+IF(VLOOKUP("STUNDENjahr",Dienstleistungen,5,0)/G19&gt;=VLOOKUP("TAGEjahr",Dienstleistungen,5,0),VLOOKUP("TAGEjahr",Dienstleistungen,5,0),VLOOKUP("STUNDENjahr",Dienstleistungen,5,0)/G19))*VLOOKUP("ENTFobj",Dienstleistungen,5,0)*VLOOKUP(F19,PTRANSP,2,0)/VLOOKUP("STUNDENjahr",Dienstleistungen,5,0)</f>
        <v>0.4490868263473054</v>
      </c>
      <c r="M19" s="121">
        <f>VLOOKUP("BÜROpersCO2",Dienstleistungen,5,0)*H19/VLOOKUP("STUNDENjahr",Dienstleistungen,5,0)</f>
        <v>0.10787644160746053</v>
      </c>
      <c r="N19" s="121" t="e">
        <f>I19*VLOOKUP("STROMobjCO2",Dienstleistungen,5,0)</f>
        <v>#N/A</v>
      </c>
      <c r="O19" s="121">
        <f t="shared" si="0"/>
        <v>0</v>
      </c>
      <c r="P19" s="121">
        <f>(VLOOKUP(A19,Ergebnisse_Nutzung,5,0)-(VLOOKUP("GLASFFab",Objektkenndaten,5,0)*VLOOKUP("FASSRKm2",Reinigung,5,0)*VLOOKUP("FASSRfreq",Reinigung,5,0)/VLOOKUP("RKh",Dienstleistungen,5,0)/8)*VLOOKUP("FBÜHd",Reinigung,5,0))/VLOOKUP(D19,Dienstleistungen,5,0)</f>
        <v>0</v>
      </c>
      <c r="Q19" s="115">
        <f>IF(Dienstleistungen!$G$17="ja",(K19+L19+M19+N19+O19)*P19,0)</f>
        <v>0</v>
      </c>
      <c r="R19" s="56" t="s">
        <v>2100</v>
      </c>
      <c r="S19" s="121">
        <f>2*VLOOKUP("TAGEjahr",Dienstleistungen,5,0)*VLOOKUP("ENTFap",Dienstleistungen,5,0)*VLOOKUP(E19,PTRANSP,3,0)*H19/VLOOKUP("STUNDENjahr",Dienstleistungen,5,0)</f>
        <v>0</v>
      </c>
      <c r="T19" s="121">
        <f>(VLOOKUP("STUNDENjahr",Dienstleistungen,5,0)/G19+IF(VLOOKUP("STUNDENjahr",Dienstleistungen,5,0)/G19&gt;=VLOOKUP("TAGEjahr",Dienstleistungen,5,0),VLOOKUP("TAGEjahr",Dienstleistungen,5,0),VLOOKUP("STUNDENjahr",Dienstleistungen,5,0)/G19))*VLOOKUP("ENTFobj",Dienstleistungen,5,0)*VLOOKUP(F19,PTRANSP,3,0)/VLOOKUP("STUNDENjahr",Dienstleistungen,5,0)</f>
        <v>7.0806786427145694</v>
      </c>
      <c r="U19" s="121">
        <f>VLOOKUP("BÜROpersPEI",Dienstleistungen,5,0)*H19/VLOOKUP("STUNDENjahr",Dienstleistungen,5,0)</f>
        <v>1.5692743233631508</v>
      </c>
      <c r="V19" s="121" t="e">
        <f>I19*VLOOKUP("STROMobjPEI",Dienstleistungen,5,0)</f>
        <v>#N/A</v>
      </c>
      <c r="W19" s="121">
        <f t="shared" si="1"/>
        <v>0</v>
      </c>
      <c r="X19" s="115">
        <f>IF(Dienstleistungen!$G$17="ja",(S19+T19+U19+V19+W19)*P19,0)</f>
        <v>0</v>
      </c>
      <c r="Y19" s="56" t="s">
        <v>2131</v>
      </c>
    </row>
    <row r="20" spans="1:25" ht="15" customHeight="1" thickBot="1">
      <c r="A20" s="56" t="s">
        <v>811</v>
      </c>
      <c r="B20" s="56" t="s">
        <v>812</v>
      </c>
      <c r="C20" s="56" t="s">
        <v>2124</v>
      </c>
      <c r="D20" s="129" t="s">
        <v>519</v>
      </c>
      <c r="E20" s="129" t="s">
        <v>2129</v>
      </c>
      <c r="F20" s="129" t="s">
        <v>2123</v>
      </c>
      <c r="G20" s="130">
        <v>8</v>
      </c>
      <c r="H20" s="131">
        <v>0.1</v>
      </c>
      <c r="I20" s="132">
        <v>1</v>
      </c>
      <c r="J20" s="133">
        <v>0</v>
      </c>
      <c r="K20" s="121">
        <f>2*VLOOKUP("TAGEjahr",Dienstleistungen,5,0)*VLOOKUP("ENTFap",Dienstleistungen,5,0)*VLOOKUP(E20,PTRANSP,2,0)*H20/VLOOKUP("STUNDENjahr",Dienstleistungen,5,0)</f>
        <v>0</v>
      </c>
      <c r="L20" s="121">
        <f>(VLOOKUP("STUNDENjahr",Dienstleistungen,5,0)/G20+IF(VLOOKUP("STUNDENjahr",Dienstleistungen,5,0)/G20&gt;=VLOOKUP("TAGEjahr",Dienstleistungen,5,0),VLOOKUP("TAGEjahr",Dienstleistungen,5,0),VLOOKUP("STUNDENjahr",Dienstleistungen,5,0)/G20))*VLOOKUP("ENTFobj",Dienstleistungen,5,0)*VLOOKUP(F20,PTRANSP,2,0)/VLOOKUP("STUNDENjahr",Dienstleistungen,5,0)</f>
        <v>0.4490868263473054</v>
      </c>
      <c r="M20" s="121">
        <f>VLOOKUP("BÜROpersCO2",Dienstleistungen,5,0)*H20/VLOOKUP("STUNDENjahr",Dienstleistungen,5,0)</f>
        <v>0.10787644160746053</v>
      </c>
      <c r="N20" s="121" t="e">
        <f>I20*VLOOKUP("STROMobjCO2",Dienstleistungen,5,0)</f>
        <v>#N/A</v>
      </c>
      <c r="O20" s="121">
        <f t="shared" si="0"/>
        <v>0</v>
      </c>
      <c r="P20" s="121">
        <f>(VLOOKUP(A20,Ergebnisse_Nutzung,5,0)-(VLOOKUP("JALFab",Objektkenndaten,5,0)*VLOOKUP("JALRKm2",Reinigung,5,0)*VLOOKUP("JALRfreq",Reinigung,5,0)/VLOOKUP("RKh",Dienstleistungen,5,0)/8)*VLOOKUP("SBÜHd",Reinigung,5,0))/VLOOKUP(D20,Dienstleistungen,5,0)</f>
        <v>0</v>
      </c>
      <c r="Q20" s="115">
        <f>IF(Dienstleistungen!$G$17="ja",(K20+L20+M20+N20+O20)*P20,0)</f>
        <v>0</v>
      </c>
      <c r="R20" s="56" t="s">
        <v>2100</v>
      </c>
      <c r="S20" s="121">
        <f>2*VLOOKUP("TAGEjahr",Dienstleistungen,5,0)*VLOOKUP("ENTFap",Dienstleistungen,5,0)*VLOOKUP(E20,PTRANSP,3,0)*H20/VLOOKUP("STUNDENjahr",Dienstleistungen,5,0)</f>
        <v>0</v>
      </c>
      <c r="T20" s="121">
        <f>(VLOOKUP("STUNDENjahr",Dienstleistungen,5,0)/G20+IF(VLOOKUP("STUNDENjahr",Dienstleistungen,5,0)/G20&gt;=VLOOKUP("TAGEjahr",Dienstleistungen,5,0),VLOOKUP("TAGEjahr",Dienstleistungen,5,0),VLOOKUP("STUNDENjahr",Dienstleistungen,5,0)/G20))*VLOOKUP("ENTFobj",Dienstleistungen,5,0)*VLOOKUP(F20,PTRANSP,3,0)/VLOOKUP("STUNDENjahr",Dienstleistungen,5,0)</f>
        <v>7.0806786427145694</v>
      </c>
      <c r="U20" s="121">
        <f>VLOOKUP("BÜROpersPEI",Dienstleistungen,5,0)*H20/VLOOKUP("STUNDENjahr",Dienstleistungen,5,0)</f>
        <v>1.5692743233631508</v>
      </c>
      <c r="V20" s="121" t="e">
        <f>I20*VLOOKUP("STROMobjPEI",Dienstleistungen,5,0)</f>
        <v>#N/A</v>
      </c>
      <c r="W20" s="121">
        <f t="shared" si="1"/>
        <v>0</v>
      </c>
      <c r="X20" s="115">
        <f>IF(Dienstleistungen!$G$17="ja",(S20+T20+U20+V20+W20)*P20,0)</f>
        <v>0</v>
      </c>
      <c r="Y20" s="56" t="s">
        <v>2131</v>
      </c>
    </row>
    <row r="21" spans="1:25" ht="15" customHeight="1" thickBot="1">
      <c r="A21" s="111" t="s">
        <v>2351</v>
      </c>
      <c r="B21" s="194" t="s">
        <v>2352</v>
      </c>
      <c r="C21" s="56" t="s">
        <v>2124</v>
      </c>
      <c r="D21" s="129" t="s">
        <v>519</v>
      </c>
      <c r="E21" s="129" t="s">
        <v>2129</v>
      </c>
      <c r="F21" s="129" t="s">
        <v>2123</v>
      </c>
      <c r="G21" s="130">
        <v>8</v>
      </c>
      <c r="H21" s="131">
        <v>0.1</v>
      </c>
      <c r="I21" s="132">
        <v>1</v>
      </c>
      <c r="J21" s="133">
        <v>0</v>
      </c>
      <c r="K21" s="121">
        <f>2*VLOOKUP("TAGEjahr",Dienstleistungen,5,0)*VLOOKUP("ENTFap",Dienstleistungen,5,0)*VLOOKUP(E21,PTRANSP,2,0)*H21/VLOOKUP("STUNDENjahr",Dienstleistungen,5,0)</f>
        <v>0</v>
      </c>
      <c r="L21" s="121">
        <f>(VLOOKUP("STUNDENjahr",Dienstleistungen,5,0)/G21+IF(VLOOKUP("STUNDENjahr",Dienstleistungen,5,0)/G21&gt;=VLOOKUP("TAGEjahr",Dienstleistungen,5,0),VLOOKUP("TAGEjahr",Dienstleistungen,5,0),VLOOKUP("STUNDENjahr",Dienstleistungen,5,0)/G21))*VLOOKUP("ENTFobj",Dienstleistungen,5,0)*VLOOKUP(F21,PTRANSP,2,0)/VLOOKUP("STUNDENjahr",Dienstleistungen,5,0)</f>
        <v>0.4490868263473054</v>
      </c>
      <c r="M21" s="121">
        <f>VLOOKUP("BÜROpersCO2",Dienstleistungen,5,0)*H21/VLOOKUP("STUNDENjahr",Dienstleistungen,5,0)</f>
        <v>0.10787644160746053</v>
      </c>
      <c r="N21" s="121" t="e">
        <f>I21*VLOOKUP("STROMobjCO2",Dienstleistungen,5,0)</f>
        <v>#N/A</v>
      </c>
      <c r="O21" s="121">
        <f t="shared" si="0"/>
        <v>0</v>
      </c>
      <c r="P21" s="121">
        <f>(VLOOKUP(A21,Ergebnisse_Nutzung,5,0)-(VLOOKUP("JALFab",Objektkenndaten,5,0)*VLOOKUP("JALRKm2",Reinigung,5,0)*VLOOKUP("JALRfreq",Reinigung,5,0)/VLOOKUP("RKh",Dienstleistungen,5,0)/8)*VLOOKUP("SBÜHd",Reinigung,5,0))/VLOOKUP(D21,Dienstleistungen,5,0)</f>
        <v>0</v>
      </c>
      <c r="Q21" s="115">
        <f>IF(Dienstleistungen!$G$17="ja",(K21+L21+M21+N21+O21)*P21,0)</f>
        <v>0</v>
      </c>
      <c r="R21" s="56" t="s">
        <v>2100</v>
      </c>
      <c r="S21" s="121">
        <f>2*VLOOKUP("TAGEjahr",Dienstleistungen,5,0)*VLOOKUP("ENTFap",Dienstleistungen,5,0)*VLOOKUP(E21,PTRANSP,3,0)*H21/VLOOKUP("STUNDENjahr",Dienstleistungen,5,0)</f>
        <v>0</v>
      </c>
      <c r="T21" s="121">
        <f>(VLOOKUP("STUNDENjahr",Dienstleistungen,5,0)/G21+IF(VLOOKUP("STUNDENjahr",Dienstleistungen,5,0)/G21&gt;=VLOOKUP("TAGEjahr",Dienstleistungen,5,0),VLOOKUP("TAGEjahr",Dienstleistungen,5,0),VLOOKUP("STUNDENjahr",Dienstleistungen,5,0)/G21))*VLOOKUP("ENTFobj",Dienstleistungen,5,0)*VLOOKUP(F21,PTRANSP,3,0)/VLOOKUP("STUNDENjahr",Dienstleistungen,5,0)</f>
        <v>7.0806786427145694</v>
      </c>
      <c r="U21" s="121">
        <f>VLOOKUP("BÜROpersPEI",Dienstleistungen,5,0)*H21/VLOOKUP("STUNDENjahr",Dienstleistungen,5,0)</f>
        <v>1.5692743233631508</v>
      </c>
      <c r="V21" s="121" t="e">
        <f>I21*VLOOKUP("STROMobjPEI",Dienstleistungen,5,0)</f>
        <v>#N/A</v>
      </c>
      <c r="W21" s="121">
        <f t="shared" si="1"/>
        <v>0</v>
      </c>
      <c r="X21" s="115">
        <f>IF(Dienstleistungen!$G$17="ja",(S21+T21+U21+V21+W21)*P21,0)</f>
        <v>0</v>
      </c>
      <c r="Y21" s="56" t="s">
        <v>2131</v>
      </c>
    </row>
    <row r="22" spans="1:25" ht="15" customHeight="1" thickBot="1">
      <c r="A22" s="62"/>
      <c r="B22" s="62"/>
      <c r="C22" s="62"/>
      <c r="D22" s="134"/>
      <c r="E22" s="134"/>
      <c r="F22" s="134"/>
      <c r="G22" s="135"/>
      <c r="H22" s="136"/>
      <c r="I22" s="137"/>
      <c r="J22" s="138"/>
      <c r="K22" s="139"/>
      <c r="L22" s="65"/>
      <c r="M22" s="65"/>
      <c r="N22" s="65"/>
      <c r="O22" s="65"/>
      <c r="P22" s="65"/>
      <c r="Q22" s="65"/>
      <c r="R22" s="63"/>
      <c r="S22" s="65"/>
      <c r="T22" s="65"/>
      <c r="U22" s="65"/>
      <c r="V22" s="65"/>
      <c r="W22" s="65"/>
      <c r="X22" s="65"/>
      <c r="Y22" s="63"/>
    </row>
    <row r="23" spans="1:25" ht="15" customHeight="1" thickBot="1">
      <c r="A23" s="56" t="s">
        <v>813</v>
      </c>
      <c r="B23" s="56" t="s">
        <v>814</v>
      </c>
      <c r="C23" s="56"/>
      <c r="D23" s="129" t="s">
        <v>2079</v>
      </c>
      <c r="E23" s="129" t="s">
        <v>2129</v>
      </c>
      <c r="F23" s="129" t="s">
        <v>2123</v>
      </c>
      <c r="G23" s="130">
        <v>2</v>
      </c>
      <c r="H23" s="131">
        <v>0.1</v>
      </c>
      <c r="I23" s="132">
        <v>0</v>
      </c>
      <c r="J23" s="133">
        <v>0.5</v>
      </c>
      <c r="K23" s="121">
        <f>2*VLOOKUP("TAGEjahr",Dienstleistungen,5,0)*VLOOKUP("ENTFap",Dienstleistungen,5,0)*VLOOKUP(E23,PTRANSP,2,0)*H23/VLOOKUP("STUNDENjahr",Dienstleistungen,5,0)</f>
        <v>0</v>
      </c>
      <c r="L23" s="121">
        <f>(VLOOKUP("STUNDENjahr",Dienstleistungen,5,0)/G23+IF(VLOOKUP("STUNDENjahr",Dienstleistungen,5,0)/G23&gt;=VLOOKUP("TAGEjahr",Dienstleistungen,5,0),VLOOKUP("TAGEjahr",Dienstleistungen,5,0),VLOOKUP("STUNDENjahr",Dienstleistungen,5,0)/G23))*VLOOKUP("ENTFobj",Dienstleistungen,5,0)*VLOOKUP(F23,PTRANSP,2,0)/VLOOKUP("STUNDENjahr",Dienstleistungen,5,0)</f>
        <v>1.1703474868444927</v>
      </c>
      <c r="M23" s="121">
        <f>VLOOKUP("BÜROpersCO2",Dienstleistungen,5,0)*H23/VLOOKUP("STUNDENjahr",Dienstleistungen,5,0)</f>
        <v>0.10787644160746053</v>
      </c>
      <c r="N23" s="121" t="e">
        <f>I23*VLOOKUP("STROMobjCO2",Dienstleistungen,5,0)</f>
        <v>#N/A</v>
      </c>
      <c r="O23" s="121">
        <f t="shared" ref="O23:O25" si="2">J23*$B$45</f>
        <v>1.6519999999999999</v>
      </c>
      <c r="P23" s="121">
        <f>VLOOKUP(A23,Ergebnisse_Nutzung,5,0)/VLOOKUP(D23,Dienstleistungen,5,0)</f>
        <v>0</v>
      </c>
      <c r="Q23" s="115">
        <f>IF(Dienstleistungen!$G$17="ja",(K23+L23+M23+N23+O23)*P23,0)</f>
        <v>0</v>
      </c>
      <c r="R23" s="56" t="s">
        <v>2100</v>
      </c>
      <c r="S23" s="121">
        <f>2*VLOOKUP("TAGEjahr",Dienstleistungen,5,0)*VLOOKUP("ENTFap",Dienstleistungen,5,0)*VLOOKUP(E23,PTRANSP,3,0)*H23/VLOOKUP("STUNDENjahr",Dienstleistungen,5,0)</f>
        <v>0</v>
      </c>
      <c r="T23" s="121">
        <f>(VLOOKUP("STUNDENjahr",Dienstleistungen,5,0)/G23+IF(VLOOKUP("STUNDENjahr",Dienstleistungen,5,0)/G23&gt;=VLOOKUP("TAGEjahr",Dienstleistungen,5,0),VLOOKUP("TAGEjahr",Dienstleistungen,5,0),VLOOKUP("STUNDENjahr",Dienstleistungen,5,0)/G23))*VLOOKUP("ENTFobj",Dienstleistungen,5,0)*VLOOKUP(F23,PTRANSP,3,0)/VLOOKUP("STUNDENjahr",Dienstleistungen,5,0)</f>
        <v>18.452677674953122</v>
      </c>
      <c r="U23" s="121">
        <f>VLOOKUP("BÜROpersPEI",Dienstleistungen,5,0)*H23/VLOOKUP("STUNDENjahr",Dienstleistungen,5,0)</f>
        <v>1.5692743233631508</v>
      </c>
      <c r="V23" s="121" t="e">
        <f>I23*VLOOKUP("STROMobjPEI",Dienstleistungen,5,0)</f>
        <v>#N/A</v>
      </c>
      <c r="W23" s="121">
        <f t="shared" ref="W23:W33" si="3">J23*$C$45</f>
        <v>23.297499999999999</v>
      </c>
      <c r="X23" s="115">
        <f>IF(Dienstleistungen!$G$17="ja",(S23+T23+U23+V23+W23)*P23,0)</f>
        <v>0</v>
      </c>
      <c r="Y23" s="56" t="s">
        <v>2131</v>
      </c>
    </row>
    <row r="24" spans="1:25" ht="15" customHeight="1" thickBot="1">
      <c r="A24" s="56" t="s">
        <v>816</v>
      </c>
      <c r="B24" s="56" t="s">
        <v>817</v>
      </c>
      <c r="C24" s="56"/>
      <c r="D24" s="129" t="s">
        <v>2079</v>
      </c>
      <c r="E24" s="129" t="s">
        <v>2129</v>
      </c>
      <c r="F24" s="129" t="s">
        <v>2123</v>
      </c>
      <c r="G24" s="130">
        <v>8</v>
      </c>
      <c r="H24" s="131">
        <v>0.1</v>
      </c>
      <c r="I24" s="132">
        <v>0</v>
      </c>
      <c r="J24" s="133">
        <v>0</v>
      </c>
      <c r="K24" s="121">
        <f>2*VLOOKUP("TAGEjahr",Dienstleistungen,5,0)*VLOOKUP("ENTFap",Dienstleistungen,5,0)*VLOOKUP(E24,PTRANSP,2,0)*H24/VLOOKUP("STUNDENjahr",Dienstleistungen,5,0)</f>
        <v>0</v>
      </c>
      <c r="L24" s="121">
        <f>(VLOOKUP("STUNDENjahr",Dienstleistungen,5,0)/G24+IF(VLOOKUP("STUNDENjahr",Dienstleistungen,5,0)/G24&gt;=VLOOKUP("TAGEjahr",Dienstleistungen,5,0),VLOOKUP("TAGEjahr",Dienstleistungen,5,0),VLOOKUP("STUNDENjahr",Dienstleistungen,5,0)/G24))*VLOOKUP("ENTFobj",Dienstleistungen,5,0)*VLOOKUP(F24,PTRANSP,2,0)/VLOOKUP("STUNDENjahr",Dienstleistungen,5,0)</f>
        <v>0.4490868263473054</v>
      </c>
      <c r="M24" s="121">
        <f>VLOOKUP("BÜROpersCO2",Dienstleistungen,5,0)*H24/VLOOKUP("STUNDENjahr",Dienstleistungen,5,0)</f>
        <v>0.10787644160746053</v>
      </c>
      <c r="N24" s="121" t="e">
        <f>I24*VLOOKUP("STROMobjCO2",Dienstleistungen,5,0)</f>
        <v>#N/A</v>
      </c>
      <c r="O24" s="121">
        <f t="shared" si="2"/>
        <v>0</v>
      </c>
      <c r="P24" s="121">
        <f>VLOOKUP(A24,Ergebnisse_Nutzung,5,0)/VLOOKUP(D24,Dienstleistungen,5,0)</f>
        <v>0</v>
      </c>
      <c r="Q24" s="115">
        <f>IF(Dienstleistungen!$G$17="ja",(K24+L24+M24+N24+O24)*P24,0)</f>
        <v>0</v>
      </c>
      <c r="R24" s="56" t="s">
        <v>2100</v>
      </c>
      <c r="S24" s="121">
        <f>2*VLOOKUP("TAGEjahr",Dienstleistungen,5,0)*VLOOKUP("ENTFap",Dienstleistungen,5,0)*VLOOKUP(E24,PTRANSP,3,0)*H24/VLOOKUP("STUNDENjahr",Dienstleistungen,5,0)</f>
        <v>0</v>
      </c>
      <c r="T24" s="121">
        <f>(VLOOKUP("STUNDENjahr",Dienstleistungen,5,0)/G24+IF(VLOOKUP("STUNDENjahr",Dienstleistungen,5,0)/G24&gt;=VLOOKUP("TAGEjahr",Dienstleistungen,5,0),VLOOKUP("TAGEjahr",Dienstleistungen,5,0),VLOOKUP("STUNDENjahr",Dienstleistungen,5,0)/G24))*VLOOKUP("ENTFobj",Dienstleistungen,5,0)*VLOOKUP(F24,PTRANSP,3,0)/VLOOKUP("STUNDENjahr",Dienstleistungen,5,0)</f>
        <v>7.0806786427145694</v>
      </c>
      <c r="U24" s="121">
        <f>VLOOKUP("BÜROpersPEI",Dienstleistungen,5,0)*H24/VLOOKUP("STUNDENjahr",Dienstleistungen,5,0)</f>
        <v>1.5692743233631508</v>
      </c>
      <c r="V24" s="121" t="e">
        <f>I24*VLOOKUP("STROMobjPEI",Dienstleistungen,5,0)</f>
        <v>#N/A</v>
      </c>
      <c r="W24" s="121">
        <f t="shared" si="3"/>
        <v>0</v>
      </c>
      <c r="X24" s="115">
        <f>IF(Dienstleistungen!$G$17="ja",(S24+T24+U24+V24+W24)*P24,0)</f>
        <v>0</v>
      </c>
      <c r="Y24" s="56" t="s">
        <v>2131</v>
      </c>
    </row>
    <row r="25" spans="1:25" ht="15" customHeight="1" thickBot="1">
      <c r="A25" s="56" t="s">
        <v>819</v>
      </c>
      <c r="B25" s="56" t="s">
        <v>820</v>
      </c>
      <c r="C25" s="56"/>
      <c r="D25" s="129" t="s">
        <v>2079</v>
      </c>
      <c r="E25" s="129" t="s">
        <v>2129</v>
      </c>
      <c r="F25" s="129" t="s">
        <v>2123</v>
      </c>
      <c r="G25" s="130">
        <v>8</v>
      </c>
      <c r="H25" s="131">
        <v>0.1</v>
      </c>
      <c r="I25" s="132">
        <v>0</v>
      </c>
      <c r="J25" s="133">
        <v>0.5</v>
      </c>
      <c r="K25" s="121">
        <f>2*VLOOKUP("TAGEjahr",Dienstleistungen,5,0)*VLOOKUP("ENTFap",Dienstleistungen,5,0)*VLOOKUP(E25,PTRANSP,2,0)*H25/VLOOKUP("STUNDENjahr",Dienstleistungen,5,0)</f>
        <v>0</v>
      </c>
      <c r="L25" s="121">
        <f>(VLOOKUP("STUNDENjahr",Dienstleistungen,5,0)/G25+IF(VLOOKUP("STUNDENjahr",Dienstleistungen,5,0)/G25&gt;=VLOOKUP("TAGEjahr",Dienstleistungen,5,0),VLOOKUP("TAGEjahr",Dienstleistungen,5,0),VLOOKUP("STUNDENjahr",Dienstleistungen,5,0)/G25))*VLOOKUP("ENTFobj",Dienstleistungen,5,0)*VLOOKUP(F25,PTRANSP,2,0)/VLOOKUP("STUNDENjahr",Dienstleistungen,5,0)</f>
        <v>0.4490868263473054</v>
      </c>
      <c r="M25" s="121">
        <f>VLOOKUP("BÜROpersCO2",Dienstleistungen,5,0)*H25/VLOOKUP("STUNDENjahr",Dienstleistungen,5,0)</f>
        <v>0.10787644160746053</v>
      </c>
      <c r="N25" s="121" t="e">
        <f>I25*VLOOKUP("STROMobjCO2",Dienstleistungen,5,0)</f>
        <v>#N/A</v>
      </c>
      <c r="O25" s="121">
        <f t="shared" si="2"/>
        <v>1.6519999999999999</v>
      </c>
      <c r="P25" s="121">
        <f>VLOOKUP(A25,Ergebnisse_Nutzung,5,0)/VLOOKUP(D25,Dienstleistungen,5,0)</f>
        <v>0</v>
      </c>
      <c r="Q25" s="115">
        <f>IF(Dienstleistungen!$G$17="ja",(K25+L25+M25+N25+O25)*P25,0)</f>
        <v>0</v>
      </c>
      <c r="R25" s="56" t="s">
        <v>2100</v>
      </c>
      <c r="S25" s="121">
        <f>2*VLOOKUP("TAGEjahr",Dienstleistungen,5,0)*VLOOKUP("ENTFap",Dienstleistungen,5,0)*VLOOKUP(E25,PTRANSP,3,0)*H25/VLOOKUP("STUNDENjahr",Dienstleistungen,5,0)</f>
        <v>0</v>
      </c>
      <c r="T25" s="121">
        <f>(VLOOKUP("STUNDENjahr",Dienstleistungen,5,0)/G25+IF(VLOOKUP("STUNDENjahr",Dienstleistungen,5,0)/G25&gt;=VLOOKUP("TAGEjahr",Dienstleistungen,5,0),VLOOKUP("TAGEjahr",Dienstleistungen,5,0),VLOOKUP("STUNDENjahr",Dienstleistungen,5,0)/G25))*VLOOKUP("ENTFobj",Dienstleistungen,5,0)*VLOOKUP(F25,PTRANSP,3,0)/VLOOKUP("STUNDENjahr",Dienstleistungen,5,0)</f>
        <v>7.0806786427145694</v>
      </c>
      <c r="U25" s="121">
        <f>VLOOKUP("BÜROpersPEI",Dienstleistungen,5,0)*H25/VLOOKUP("STUNDENjahr",Dienstleistungen,5,0)</f>
        <v>1.5692743233631508</v>
      </c>
      <c r="V25" s="121" t="e">
        <f>I25*VLOOKUP("STROMobjPEI",Dienstleistungen,5,0)</f>
        <v>#N/A</v>
      </c>
      <c r="W25" s="121">
        <f t="shared" si="3"/>
        <v>23.297499999999999</v>
      </c>
      <c r="X25" s="115">
        <f>IF(Dienstleistungen!$G$17="ja",(S25+T25+U25+V25+W25)*P25,0)</f>
        <v>0</v>
      </c>
      <c r="Y25" s="56" t="s">
        <v>2131</v>
      </c>
    </row>
    <row r="26" spans="1:25" ht="15" customHeight="1" thickBot="1">
      <c r="A26" s="62"/>
      <c r="B26" s="62"/>
      <c r="C26" s="62"/>
      <c r="D26" s="134"/>
      <c r="E26" s="134"/>
      <c r="F26" s="134"/>
      <c r="G26" s="135"/>
      <c r="H26" s="136"/>
      <c r="I26" s="137"/>
      <c r="J26" s="138"/>
      <c r="K26" s="139"/>
      <c r="L26" s="65"/>
      <c r="M26" s="65"/>
      <c r="N26" s="65"/>
      <c r="O26" s="65"/>
      <c r="P26" s="65"/>
      <c r="Q26" s="65"/>
      <c r="R26" s="63"/>
      <c r="S26" s="65"/>
      <c r="T26" s="65"/>
      <c r="U26" s="65"/>
      <c r="V26" s="65"/>
      <c r="W26" s="65"/>
      <c r="X26" s="65"/>
      <c r="Y26" s="63"/>
    </row>
    <row r="27" spans="1:25" ht="15" customHeight="1" thickBot="1">
      <c r="A27" s="56" t="s">
        <v>822</v>
      </c>
      <c r="B27" s="56" t="s">
        <v>823</v>
      </c>
      <c r="C27" s="56"/>
      <c r="D27" s="129" t="s">
        <v>649</v>
      </c>
      <c r="E27" s="129" t="s">
        <v>2129</v>
      </c>
      <c r="F27" s="129" t="s">
        <v>2123</v>
      </c>
      <c r="G27" s="130">
        <v>4</v>
      </c>
      <c r="H27" s="131">
        <v>0.1</v>
      </c>
      <c r="I27" s="132">
        <v>0</v>
      </c>
      <c r="J27" s="133">
        <v>0</v>
      </c>
      <c r="K27" s="121">
        <f>2*VLOOKUP("TAGEjahr",Dienstleistungen,5,0)*VLOOKUP("ENTFap",Dienstleistungen,5,0)*VLOOKUP(E27,PTRANSP,2,0)*H27/VLOOKUP("STUNDENjahr",Dienstleistungen,5,0)</f>
        <v>0</v>
      </c>
      <c r="L27" s="121">
        <f>(VLOOKUP("STUNDENjahr",Dienstleistungen,5,0)/G27+IF(VLOOKUP("STUNDENjahr",Dienstleistungen,5,0)/G27&gt;=VLOOKUP("TAGEjahr",Dienstleistungen,5,0),VLOOKUP("TAGEjahr",Dienstleistungen,5,0),VLOOKUP("STUNDENjahr",Dienstleistungen,5,0)/G27))*VLOOKUP("ENTFobj",Dienstleistungen,5,0)*VLOOKUP(F27,PTRANSP,2,0)/VLOOKUP("STUNDENjahr",Dienstleistungen,5,0)</f>
        <v>0.7212606604971874</v>
      </c>
      <c r="M27" s="121">
        <f>VLOOKUP("BÜROpersCO2",Dienstleistungen,5,0)*H27/VLOOKUP("STUNDENjahr",Dienstleistungen,5,0)</f>
        <v>0.10787644160746053</v>
      </c>
      <c r="N27" s="121" t="e">
        <f>I27*VLOOKUP("STROMobjCO2",Dienstleistungen,5,0)</f>
        <v>#N/A</v>
      </c>
      <c r="O27" s="121">
        <f t="shared" ref="O27:O28" si="4">J27*$B$45</f>
        <v>0</v>
      </c>
      <c r="P27" s="121">
        <f>VLOOKUP(A27,Ergebnisse_Nutzung,5,0)/VLOOKUP(D27,Dienstleistungen,5,0)</f>
        <v>0</v>
      </c>
      <c r="Q27" s="115">
        <f>IF(Dienstleistungen!$G$17="ja",(K27+L27+M27+N27+O27)*P27,0)</f>
        <v>0</v>
      </c>
      <c r="R27" s="56" t="s">
        <v>2100</v>
      </c>
      <c r="S27" s="121">
        <f>2*VLOOKUP("TAGEjahr",Dienstleistungen,5,0)*VLOOKUP("ENTFap",Dienstleistungen,5,0)*VLOOKUP(E27,PTRANSP,3,0)*H27/VLOOKUP("STUNDENjahr",Dienstleistungen,5,0)</f>
        <v>0</v>
      </c>
      <c r="T27" s="121">
        <f>(VLOOKUP("STUNDENjahr",Dienstleistungen,5,0)/G27+IF(VLOOKUP("STUNDENjahr",Dienstleistungen,5,0)/G27&gt;=VLOOKUP("TAGEjahr",Dienstleistungen,5,0),VLOOKUP("TAGEjahr",Dienstleistungen,5,0),VLOOKUP("STUNDENjahr",Dienstleistungen,5,0)/G27))*VLOOKUP("ENTFobj",Dienstleistungen,5,0)*VLOOKUP(F27,PTRANSP,3,0)/VLOOKUP("STUNDENjahr",Dienstleistungen,5,0)</f>
        <v>11.371999032238552</v>
      </c>
      <c r="U27" s="121">
        <f>VLOOKUP("BÜROpersPEI",Dienstleistungen,5,0)*H27/VLOOKUP("STUNDENjahr",Dienstleistungen,5,0)</f>
        <v>1.5692743233631508</v>
      </c>
      <c r="V27" s="121" t="e">
        <f>I27*VLOOKUP("STROMobjPEI",Dienstleistungen,5,0)</f>
        <v>#N/A</v>
      </c>
      <c r="W27" s="121">
        <f t="shared" si="3"/>
        <v>0</v>
      </c>
      <c r="X27" s="115">
        <f>IF(Dienstleistungen!$G$17="ja",(S27+T27+U27+V27+W27)*P27,0)</f>
        <v>0</v>
      </c>
      <c r="Y27" s="56" t="s">
        <v>2131</v>
      </c>
    </row>
    <row r="28" spans="1:25" ht="15" customHeight="1" thickBot="1">
      <c r="A28" s="56" t="s">
        <v>825</v>
      </c>
      <c r="B28" s="56" t="s">
        <v>826</v>
      </c>
      <c r="C28" s="56" t="s">
        <v>2125</v>
      </c>
      <c r="D28" s="129" t="s">
        <v>2081</v>
      </c>
      <c r="E28" s="129" t="s">
        <v>2129</v>
      </c>
      <c r="F28" s="129" t="s">
        <v>2123</v>
      </c>
      <c r="G28" s="130">
        <v>8</v>
      </c>
      <c r="H28" s="131">
        <v>1.2</v>
      </c>
      <c r="I28" s="132">
        <v>0</v>
      </c>
      <c r="J28" s="133">
        <v>0</v>
      </c>
      <c r="K28" s="121">
        <f>2*VLOOKUP("TAGEjahr",Dienstleistungen,5,0)*VLOOKUP("ENTFap",Dienstleistungen,5,0)*VLOOKUP(E28,PTRANSP,2,0)*H28/VLOOKUP("STUNDENjahr",Dienstleistungen,5,0)</f>
        <v>0</v>
      </c>
      <c r="L28" s="121">
        <f>(VLOOKUP("STUNDENjahr",Dienstleistungen,5,0)/G28+IF(VLOOKUP("STUNDENjahr",Dienstleistungen,5,0)/G28&gt;=VLOOKUP("TAGEjahr",Dienstleistungen,5,0),VLOOKUP("TAGEjahr",Dienstleistungen,5,0),VLOOKUP("STUNDENjahr",Dienstleistungen,5,0)/G28))*VLOOKUP("ENTFobj",Dienstleistungen,5,0)*VLOOKUP(F28,PTRANSP,2,0)/VLOOKUP("STUNDENjahr",Dienstleistungen,5,0)</f>
        <v>0.4490868263473054</v>
      </c>
      <c r="M28" s="121">
        <f>VLOOKUP("BÜROpersCO2",Dienstleistungen,5,0)*H28/VLOOKUP("STUNDENjahr",Dienstleistungen,5,0)</f>
        <v>1.2945172992895262</v>
      </c>
      <c r="N28" s="121" t="e">
        <f>I28*VLOOKUP("STROMobjCO2",Dienstleistungen,5,0)</f>
        <v>#N/A</v>
      </c>
      <c r="O28" s="121">
        <f t="shared" si="4"/>
        <v>0</v>
      </c>
      <c r="P28" s="121">
        <f>VLOOKUP(A28,Ergebnisse_Nutzung,5,0)/VLOOKUP(D28,Dienstleistungen,5,0)</f>
        <v>0</v>
      </c>
      <c r="Q28" s="115">
        <f>IF(Dienstleistungen!$G$17="ja",(K28+L28+M28+N28+O28)*P28,0)</f>
        <v>0</v>
      </c>
      <c r="R28" s="56" t="s">
        <v>2100</v>
      </c>
      <c r="S28" s="121">
        <f>2*VLOOKUP("TAGEjahr",Dienstleistungen,5,0)*VLOOKUP("ENTFap",Dienstleistungen,5,0)*VLOOKUP(E28,PTRANSP,3,0)*H28/VLOOKUP("STUNDENjahr",Dienstleistungen,5,0)</f>
        <v>0</v>
      </c>
      <c r="T28" s="121">
        <f>(VLOOKUP("STUNDENjahr",Dienstleistungen,5,0)/G28+IF(VLOOKUP("STUNDENjahr",Dienstleistungen,5,0)/G28&gt;=VLOOKUP("TAGEjahr",Dienstleistungen,5,0),VLOOKUP("TAGEjahr",Dienstleistungen,5,0),VLOOKUP("STUNDENjahr",Dienstleistungen,5,0)/G28))*VLOOKUP("ENTFobj",Dienstleistungen,5,0)*VLOOKUP(F28,PTRANSP,3,0)/VLOOKUP("STUNDENjahr",Dienstleistungen,5,0)</f>
        <v>7.0806786427145694</v>
      </c>
      <c r="U28" s="121">
        <f>VLOOKUP("BÜROpersPEI",Dienstleistungen,5,0)*H28/VLOOKUP("STUNDENjahr",Dienstleistungen,5,0)</f>
        <v>18.831291880357806</v>
      </c>
      <c r="V28" s="121" t="e">
        <f>I28*VLOOKUP("STROMobjPEI",Dienstleistungen,5,0)</f>
        <v>#N/A</v>
      </c>
      <c r="W28" s="121">
        <f t="shared" si="3"/>
        <v>0</v>
      </c>
      <c r="X28" s="115">
        <f>IF(Dienstleistungen!$G$17="ja",(S28+T28+U28+V28+W28)*P28,0)</f>
        <v>0</v>
      </c>
      <c r="Y28" s="56" t="s">
        <v>2131</v>
      </c>
    </row>
    <row r="29" spans="1:25" ht="15" customHeight="1" thickBot="1">
      <c r="A29" s="62"/>
      <c r="B29" s="62"/>
      <c r="C29" s="62"/>
      <c r="D29" s="134"/>
      <c r="E29" s="134"/>
      <c r="F29" s="134"/>
      <c r="G29" s="135"/>
      <c r="H29" s="136"/>
      <c r="I29" s="137"/>
      <c r="J29" s="138"/>
      <c r="K29" s="139"/>
      <c r="L29" s="65"/>
      <c r="M29" s="65"/>
      <c r="N29" s="65"/>
      <c r="O29" s="65"/>
      <c r="P29" s="65"/>
      <c r="Q29" s="65"/>
      <c r="R29" s="63"/>
      <c r="S29" s="65"/>
      <c r="T29" s="65"/>
      <c r="U29" s="65"/>
      <c r="V29" s="65"/>
      <c r="W29" s="65"/>
      <c r="X29" s="65"/>
      <c r="Y29" s="63"/>
    </row>
    <row r="30" spans="1:25" ht="15" customHeight="1" thickBot="1">
      <c r="A30" s="56" t="s">
        <v>829</v>
      </c>
      <c r="B30" s="56" t="s">
        <v>830</v>
      </c>
      <c r="C30" s="68"/>
      <c r="D30" s="129" t="s">
        <v>649</v>
      </c>
      <c r="E30" s="129" t="s">
        <v>2129</v>
      </c>
      <c r="F30" s="129" t="s">
        <v>2122</v>
      </c>
      <c r="G30" s="130">
        <v>8</v>
      </c>
      <c r="H30" s="131">
        <v>0</v>
      </c>
      <c r="I30" s="132">
        <v>0</v>
      </c>
      <c r="J30" s="133">
        <v>0</v>
      </c>
      <c r="K30" s="121">
        <f>2*VLOOKUP("TAGEjahr",Dienstleistungen,5,0)*VLOOKUP("ENTFap",Dienstleistungen,5,0)*VLOOKUP(E30,PTRANSP,2,0)*H30/VLOOKUP("STUNDENjahr",Dienstleistungen,5,0)</f>
        <v>0</v>
      </c>
      <c r="L30" s="121">
        <f>(VLOOKUP("STUNDENjahr",Dienstleistungen,5,0)/G30+IF(VLOOKUP("STUNDENjahr",Dienstleistungen,5,0)/G30&gt;=VLOOKUP("TAGEjahr",Dienstleistungen,5,0),VLOOKUP("TAGEjahr",Dienstleistungen,5,0),VLOOKUP("STUNDENjahr",Dienstleistungen,5,0)/G30))*VLOOKUP("ENTFobj",Dienstleistungen,5,0)*VLOOKUP(F30,PTRANSP,2,0)/VLOOKUP("STUNDENjahr",Dienstleistungen,5,0)</f>
        <v>0.27561841317365271</v>
      </c>
      <c r="M30" s="121">
        <f>VLOOKUP("BÜROpersCO2",Dienstleistungen,5,0)*H30/VLOOKUP("STUNDENjahr",Dienstleistungen,5,0)</f>
        <v>0</v>
      </c>
      <c r="N30" s="121" t="e">
        <f>I30*VLOOKUP("STROMobjCO2",Dienstleistungen,5,0)</f>
        <v>#N/A</v>
      </c>
      <c r="O30" s="121">
        <f t="shared" ref="O30:O33" si="5">J30*$B$45</f>
        <v>0</v>
      </c>
      <c r="P30" s="121">
        <f>VLOOKUP(A30,Ergebnisse_Nutzung,5,0)/VLOOKUP(D30,Dienstleistungen,5,0)</f>
        <v>0</v>
      </c>
      <c r="Q30" s="115">
        <f>IF(Dienstleistungen!$G$17="ja",(K30+L30+M30+N30+O30)*P30,0)</f>
        <v>0</v>
      </c>
      <c r="R30" s="56" t="s">
        <v>2100</v>
      </c>
      <c r="S30" s="121">
        <f>2*VLOOKUP("TAGEjahr",Dienstleistungen,5,0)*VLOOKUP("ENTFap",Dienstleistungen,5,0)*VLOOKUP(E30,PTRANSP,3,0)*H30/VLOOKUP("STUNDENjahr",Dienstleistungen,5,0)</f>
        <v>0</v>
      </c>
      <c r="T30" s="121">
        <f>(VLOOKUP("STUNDENjahr",Dienstleistungen,5,0)/G30+IF(VLOOKUP("STUNDENjahr",Dienstleistungen,5,0)/G30&gt;=VLOOKUP("TAGEjahr",Dienstleistungen,5,0),VLOOKUP("TAGEjahr",Dienstleistungen,5,0),VLOOKUP("STUNDENjahr",Dienstleistungen,5,0)/G30))*VLOOKUP("ENTFobj",Dienstleistungen,5,0)*VLOOKUP(F30,PTRANSP,3,0)/VLOOKUP("STUNDENjahr",Dienstleistungen,5,0)</f>
        <v>4.8539893213572851</v>
      </c>
      <c r="U30" s="121">
        <f>VLOOKUP("BÜROpersPEI",Dienstleistungen,5,0)*H30/VLOOKUP("STUNDENjahr",Dienstleistungen,5,0)</f>
        <v>0</v>
      </c>
      <c r="V30" s="121" t="e">
        <f>I30*VLOOKUP("STROMobjPEI",Dienstleistungen,5,0)</f>
        <v>#N/A</v>
      </c>
      <c r="W30" s="121">
        <f t="shared" si="3"/>
        <v>0</v>
      </c>
      <c r="X30" s="115">
        <f>IF(Dienstleistungen!$G$17="ja",(S30+T30+U30+V30+W30)*P30,0)</f>
        <v>0</v>
      </c>
      <c r="Y30" s="56" t="s">
        <v>2131</v>
      </c>
    </row>
    <row r="31" spans="1:25" ht="15" customHeight="1" thickBot="1">
      <c r="A31" s="56" t="s">
        <v>831</v>
      </c>
      <c r="B31" s="56" t="s">
        <v>832</v>
      </c>
      <c r="C31" s="56"/>
      <c r="D31" s="129" t="s">
        <v>368</v>
      </c>
      <c r="E31" s="129" t="s">
        <v>2129</v>
      </c>
      <c r="F31" s="129" t="s">
        <v>2123</v>
      </c>
      <c r="G31" s="130">
        <v>2</v>
      </c>
      <c r="H31" s="131">
        <v>0.25</v>
      </c>
      <c r="I31" s="132">
        <v>0</v>
      </c>
      <c r="J31" s="133">
        <v>0</v>
      </c>
      <c r="K31" s="121">
        <f>2*VLOOKUP("TAGEjahr",Dienstleistungen,5,0)*VLOOKUP("ENTFap",Dienstleistungen,5,0)*VLOOKUP(E31,PTRANSP,2,0)*H31/VLOOKUP("STUNDENjahr",Dienstleistungen,5,0)</f>
        <v>0</v>
      </c>
      <c r="L31" s="121">
        <f>(VLOOKUP("STUNDENjahr",Dienstleistungen,5,0)/G31+IF(VLOOKUP("STUNDENjahr",Dienstleistungen,5,0)/G31&gt;=VLOOKUP("TAGEjahr",Dienstleistungen,5,0),VLOOKUP("TAGEjahr",Dienstleistungen,5,0),VLOOKUP("STUNDENjahr",Dienstleistungen,5,0)/G31))*VLOOKUP("ENTFobj",Dienstleistungen,5,0)*VLOOKUP(F31,PTRANSP,2,0)/VLOOKUP("STUNDENjahr",Dienstleistungen,5,0)</f>
        <v>1.1703474868444927</v>
      </c>
      <c r="M31" s="121">
        <f>VLOOKUP("BÜROpersCO2",Dienstleistungen,5,0)*H31/VLOOKUP("STUNDENjahr",Dienstleistungen,5,0)</f>
        <v>0.26969110401865132</v>
      </c>
      <c r="N31" s="121" t="e">
        <f>I31*VLOOKUP("STROMobjCO2",Dienstleistungen,5,0)</f>
        <v>#N/A</v>
      </c>
      <c r="O31" s="121">
        <f t="shared" si="5"/>
        <v>0</v>
      </c>
      <c r="P31" s="121">
        <f>VLOOKUP(A31,Ergebnisse_Nutzung,5,0)/VLOOKUP(D31,Dienstleistungen,5,0)</f>
        <v>0</v>
      </c>
      <c r="Q31" s="115">
        <f>IF(Dienstleistungen!$G$17="ja",(K31+L31+M31+N31+O31)*P31,0)</f>
        <v>0</v>
      </c>
      <c r="R31" s="56" t="s">
        <v>2100</v>
      </c>
      <c r="S31" s="121">
        <f>2*VLOOKUP("TAGEjahr",Dienstleistungen,5,0)*VLOOKUP("ENTFap",Dienstleistungen,5,0)*VLOOKUP(E31,PTRANSP,3,0)*H31/VLOOKUP("STUNDENjahr",Dienstleistungen,5,0)</f>
        <v>0</v>
      </c>
      <c r="T31" s="121">
        <f>(VLOOKUP("STUNDENjahr",Dienstleistungen,5,0)/G31+IF(VLOOKUP("STUNDENjahr",Dienstleistungen,5,0)/G31&gt;=VLOOKUP("TAGEjahr",Dienstleistungen,5,0),VLOOKUP("TAGEjahr",Dienstleistungen,5,0),VLOOKUP("STUNDENjahr",Dienstleistungen,5,0)/G31))*VLOOKUP("ENTFobj",Dienstleistungen,5,0)*VLOOKUP(F31,PTRANSP,3,0)/VLOOKUP("STUNDENjahr",Dienstleistungen,5,0)</f>
        <v>18.452677674953122</v>
      </c>
      <c r="U31" s="121">
        <f>VLOOKUP("BÜROpersPEI",Dienstleistungen,5,0)*H31/VLOOKUP("STUNDENjahr",Dienstleistungen,5,0)</f>
        <v>3.9231858084078768</v>
      </c>
      <c r="V31" s="121" t="e">
        <f>I31*VLOOKUP("STROMobjPEI",Dienstleistungen,5,0)</f>
        <v>#N/A</v>
      </c>
      <c r="W31" s="121">
        <f t="shared" si="3"/>
        <v>0</v>
      </c>
      <c r="X31" s="115">
        <f>IF(Dienstleistungen!$G$17="ja",(S31+T31+U31+V31+W31)*P31,0)</f>
        <v>0</v>
      </c>
      <c r="Y31" s="56" t="s">
        <v>2131</v>
      </c>
    </row>
    <row r="32" spans="1:25" ht="15" customHeight="1" thickBot="1">
      <c r="A32" s="56" t="s">
        <v>833</v>
      </c>
      <c r="B32" s="56" t="s">
        <v>834</v>
      </c>
      <c r="C32" s="56"/>
      <c r="D32" s="129" t="s">
        <v>368</v>
      </c>
      <c r="E32" s="129" t="s">
        <v>2129</v>
      </c>
      <c r="F32" s="129" t="s">
        <v>2123</v>
      </c>
      <c r="G32" s="130">
        <v>8</v>
      </c>
      <c r="H32" s="131">
        <v>0.25</v>
      </c>
      <c r="I32" s="132">
        <v>0</v>
      </c>
      <c r="J32" s="133">
        <v>0</v>
      </c>
      <c r="K32" s="121">
        <f>2*VLOOKUP("TAGEjahr",Dienstleistungen,5,0)*VLOOKUP("ENTFap",Dienstleistungen,5,0)*VLOOKUP(E32,PTRANSP,2,0)*H32/VLOOKUP("STUNDENjahr",Dienstleistungen,5,0)</f>
        <v>0</v>
      </c>
      <c r="L32" s="121">
        <f>(VLOOKUP("STUNDENjahr",Dienstleistungen,5,0)/G32+IF(VLOOKUP("STUNDENjahr",Dienstleistungen,5,0)/G32&gt;=VLOOKUP("TAGEjahr",Dienstleistungen,5,0),VLOOKUP("TAGEjahr",Dienstleistungen,5,0),VLOOKUP("STUNDENjahr",Dienstleistungen,5,0)/G32))*VLOOKUP("ENTFobj",Dienstleistungen,5,0)*VLOOKUP(F32,PTRANSP,2,0)/VLOOKUP("STUNDENjahr",Dienstleistungen,5,0)</f>
        <v>0.4490868263473054</v>
      </c>
      <c r="M32" s="121">
        <f>VLOOKUP("BÜROpersCO2",Dienstleistungen,5,0)*H32/VLOOKUP("STUNDENjahr",Dienstleistungen,5,0)</f>
        <v>0.26969110401865132</v>
      </c>
      <c r="N32" s="121" t="e">
        <f>I32*VLOOKUP("STROMobjCO2",Dienstleistungen,5,0)</f>
        <v>#N/A</v>
      </c>
      <c r="O32" s="121">
        <f t="shared" si="5"/>
        <v>0</v>
      </c>
      <c r="P32" s="121">
        <f>VLOOKUP(A32,Ergebnisse_Nutzung,5,0)/VLOOKUP(D32,Dienstleistungen,5,0)</f>
        <v>0</v>
      </c>
      <c r="Q32" s="115">
        <f>IF(Dienstleistungen!$G$17="ja",(K32+L32+M32+N32+O32)*P32,0)</f>
        <v>0</v>
      </c>
      <c r="R32" s="56" t="s">
        <v>2100</v>
      </c>
      <c r="S32" s="121">
        <f>2*VLOOKUP("TAGEjahr",Dienstleistungen,5,0)*VLOOKUP("ENTFap",Dienstleistungen,5,0)*VLOOKUP(E32,PTRANSP,3,0)*H32/VLOOKUP("STUNDENjahr",Dienstleistungen,5,0)</f>
        <v>0</v>
      </c>
      <c r="T32" s="121">
        <f>(VLOOKUP("STUNDENjahr",Dienstleistungen,5,0)/G32+IF(VLOOKUP("STUNDENjahr",Dienstleistungen,5,0)/G32&gt;=VLOOKUP("TAGEjahr",Dienstleistungen,5,0),VLOOKUP("TAGEjahr",Dienstleistungen,5,0),VLOOKUP("STUNDENjahr",Dienstleistungen,5,0)/G32))*VLOOKUP("ENTFobj",Dienstleistungen,5,0)*VLOOKUP(F32,PTRANSP,3,0)/VLOOKUP("STUNDENjahr",Dienstleistungen,5,0)</f>
        <v>7.0806786427145694</v>
      </c>
      <c r="U32" s="121">
        <f>VLOOKUP("BÜROpersPEI",Dienstleistungen,5,0)*H32/VLOOKUP("STUNDENjahr",Dienstleistungen,5,0)</f>
        <v>3.9231858084078768</v>
      </c>
      <c r="V32" s="121" t="e">
        <f>I32*VLOOKUP("STROMobjPEI",Dienstleistungen,5,0)</f>
        <v>#N/A</v>
      </c>
      <c r="W32" s="121">
        <f t="shared" si="3"/>
        <v>0</v>
      </c>
      <c r="X32" s="115">
        <f>IF(Dienstleistungen!$G$17="ja",(S32+T32+U32+V32+W32)*P32,0)</f>
        <v>0</v>
      </c>
      <c r="Y32" s="56" t="s">
        <v>2131</v>
      </c>
    </row>
    <row r="33" spans="1:25" ht="15" customHeight="1" thickBot="1">
      <c r="A33" s="56" t="s">
        <v>836</v>
      </c>
      <c r="B33" s="56" t="s">
        <v>837</v>
      </c>
      <c r="C33" s="56"/>
      <c r="D33" s="129" t="s">
        <v>649</v>
      </c>
      <c r="E33" s="129" t="s">
        <v>2129</v>
      </c>
      <c r="F33" s="129" t="s">
        <v>2122</v>
      </c>
      <c r="G33" s="130">
        <v>8</v>
      </c>
      <c r="H33" s="131">
        <v>0</v>
      </c>
      <c r="I33" s="132">
        <v>0</v>
      </c>
      <c r="J33" s="133">
        <v>0</v>
      </c>
      <c r="K33" s="121">
        <f>2*VLOOKUP("TAGEjahr",Dienstleistungen,5,0)*VLOOKUP("ENTFap",Dienstleistungen,5,0)*VLOOKUP(E33,PTRANSP,2,0)*H33/VLOOKUP("STUNDENjahr",Dienstleistungen,5,0)</f>
        <v>0</v>
      </c>
      <c r="L33" s="121">
        <f>(VLOOKUP("STUNDENjahr",Dienstleistungen,5,0)/G33+IF(VLOOKUP("STUNDENjahr",Dienstleistungen,5,0)/G33&gt;=VLOOKUP("TAGEjahr",Dienstleistungen,5,0),VLOOKUP("TAGEjahr",Dienstleistungen,5,0),VLOOKUP("STUNDENjahr",Dienstleistungen,5,0)/G33))*VLOOKUP("ENTFobj",Dienstleistungen,5,0)*VLOOKUP(F33,PTRANSP,2,0)/VLOOKUP("STUNDENjahr",Dienstleistungen,5,0)</f>
        <v>0.27561841317365271</v>
      </c>
      <c r="M33" s="121">
        <f>VLOOKUP("BÜROpersCO2",Dienstleistungen,5,0)*H33/VLOOKUP("STUNDENjahr",Dienstleistungen,5,0)</f>
        <v>0</v>
      </c>
      <c r="N33" s="121" t="e">
        <f>I33*VLOOKUP("STROMobjCO2",Dienstleistungen,5,0)</f>
        <v>#N/A</v>
      </c>
      <c r="O33" s="121">
        <f t="shared" si="5"/>
        <v>0</v>
      </c>
      <c r="P33" s="121">
        <f>VLOOKUP(A33,Ergebnisse_Nutzung,5,0)/VLOOKUP(D33,Dienstleistungen,5,0)</f>
        <v>0</v>
      </c>
      <c r="Q33" s="115">
        <f>IF(Dienstleistungen!$G$17="ja",(K33+L33+M33+N33+O33)*P33,0)</f>
        <v>0</v>
      </c>
      <c r="R33" s="56" t="s">
        <v>2100</v>
      </c>
      <c r="S33" s="121">
        <f>2*VLOOKUP("TAGEjahr",Dienstleistungen,5,0)*VLOOKUP("ENTFap",Dienstleistungen,5,0)*VLOOKUP(E33,PTRANSP,3,0)*H33/VLOOKUP("STUNDENjahr",Dienstleistungen,5,0)</f>
        <v>0</v>
      </c>
      <c r="T33" s="121">
        <f>(VLOOKUP("STUNDENjahr",Dienstleistungen,5,0)/G33+IF(VLOOKUP("STUNDENjahr",Dienstleistungen,5,0)/G33&gt;=VLOOKUP("TAGEjahr",Dienstleistungen,5,0),VLOOKUP("TAGEjahr",Dienstleistungen,5,0),VLOOKUP("STUNDENjahr",Dienstleistungen,5,0)/G33))*VLOOKUP("ENTFobj",Dienstleistungen,5,0)*VLOOKUP(F33,PTRANSP,3,0)/VLOOKUP("STUNDENjahr",Dienstleistungen,5,0)</f>
        <v>4.8539893213572851</v>
      </c>
      <c r="U33" s="121">
        <f>VLOOKUP("BÜROpersPEI",Dienstleistungen,5,0)*H33/VLOOKUP("STUNDENjahr",Dienstleistungen,5,0)</f>
        <v>0</v>
      </c>
      <c r="V33" s="121" t="e">
        <f>I33*VLOOKUP("STROMobjPEI",Dienstleistungen,5,0)</f>
        <v>#N/A</v>
      </c>
      <c r="W33" s="121">
        <f t="shared" si="3"/>
        <v>0</v>
      </c>
      <c r="X33" s="115">
        <f>IF(Dienstleistungen!$G$17="ja",(S33+T33+U33+V33+W33)*P33,0)</f>
        <v>0</v>
      </c>
      <c r="Y33" s="56" t="s">
        <v>2131</v>
      </c>
    </row>
    <row r="34" spans="1:25" ht="15" customHeight="1" thickBot="1">
      <c r="A34" s="56" t="s">
        <v>838</v>
      </c>
      <c r="B34" s="56" t="s">
        <v>839</v>
      </c>
      <c r="C34" s="68" t="s">
        <v>2126</v>
      </c>
      <c r="D34" s="140"/>
      <c r="E34" s="140"/>
      <c r="F34" s="140"/>
      <c r="G34" s="141"/>
      <c r="H34" s="142"/>
      <c r="I34" s="143"/>
      <c r="J34" s="144"/>
      <c r="K34" s="145"/>
      <c r="L34" s="145"/>
      <c r="M34" s="145"/>
      <c r="N34" s="145"/>
      <c r="O34" s="145"/>
      <c r="P34" s="145"/>
      <c r="Q34" s="67"/>
      <c r="R34" s="55"/>
      <c r="S34" s="145"/>
      <c r="T34" s="145"/>
      <c r="U34" s="145"/>
      <c r="V34" s="145"/>
      <c r="W34" s="145"/>
      <c r="X34" s="67"/>
      <c r="Y34" s="55"/>
    </row>
    <row r="35" spans="1:25" ht="15" customHeight="1" thickTop="1" thickBot="1">
      <c r="A35" s="134"/>
      <c r="B35" s="482" t="s">
        <v>2647</v>
      </c>
      <c r="C35" s="30"/>
      <c r="D35" s="146"/>
      <c r="E35" s="146"/>
      <c r="F35" s="146"/>
      <c r="G35" s="146"/>
      <c r="H35" s="146"/>
      <c r="I35" s="137"/>
      <c r="J35" s="138"/>
      <c r="K35" s="146"/>
      <c r="L35" s="146"/>
      <c r="M35" s="146"/>
      <c r="N35" s="146"/>
      <c r="O35" s="146"/>
      <c r="P35" s="146"/>
      <c r="Q35" s="65"/>
      <c r="R35" s="30"/>
      <c r="S35" s="146"/>
      <c r="T35" s="146"/>
      <c r="U35" s="146"/>
      <c r="V35" s="146"/>
      <c r="W35" s="146"/>
      <c r="X35" s="65"/>
      <c r="Y35" s="30"/>
    </row>
    <row r="36" spans="1:25" ht="15" customHeight="1" thickTop="1"/>
    <row r="37" spans="1:25" ht="15" hidden="1" customHeight="1">
      <c r="A37" s="274" t="s">
        <v>2127</v>
      </c>
      <c r="B37" s="274" t="s">
        <v>2545</v>
      </c>
      <c r="C37" s="274" t="s">
        <v>2546</v>
      </c>
    </row>
    <row r="38" spans="1:25" ht="15" hidden="1" customHeight="1">
      <c r="A38" s="275" t="s">
        <v>2071</v>
      </c>
      <c r="B38" s="127"/>
      <c r="C38" s="127"/>
      <c r="G38" s="124"/>
      <c r="H38" s="124"/>
    </row>
    <row r="39" spans="1:25" ht="15" hidden="1" customHeight="1">
      <c r="A39" s="275" t="s">
        <v>2128</v>
      </c>
      <c r="B39" s="276">
        <f>VLOOKUP(VLOOKUP(A39,Dienstleistungen,5,0),Ökodaten_Transport,5,0)</f>
        <v>4.0859999999999994E-2</v>
      </c>
      <c r="C39" s="276">
        <f>VLOOKUP(VLOOKUP(A39,Dienstleistungen,5,0),Ökodaten_Transport,7,0)</f>
        <v>1.0509199999999999</v>
      </c>
      <c r="G39" s="124"/>
      <c r="H39" s="124"/>
    </row>
    <row r="40" spans="1:25" ht="15" hidden="1" customHeight="1">
      <c r="A40" s="275" t="s">
        <v>2122</v>
      </c>
      <c r="B40" s="276">
        <f>VLOOKUP(VLOOKUP(A40,Dienstleistungen,5,0),Ökodaten_Transport,5,0)</f>
        <v>0.11024736526946108</v>
      </c>
      <c r="C40" s="276">
        <f>VLOOKUP(VLOOKUP(A40,Dienstleistungen,5,0),Ökodaten_Transport,7,0)</f>
        <v>1.941595728542914</v>
      </c>
      <c r="G40" s="124"/>
      <c r="H40" s="124"/>
    </row>
    <row r="41" spans="1:25" ht="15" hidden="1" customHeight="1">
      <c r="A41" s="275" t="s">
        <v>2123</v>
      </c>
      <c r="B41" s="276">
        <f>VLOOKUP(VLOOKUP(A41,Dienstleistungen,5,0),Ökodaten_Transport,5,0)</f>
        <v>0.17963473053892215</v>
      </c>
      <c r="C41" s="276">
        <f>VLOOKUP(VLOOKUP(A41,Dienstleistungen,5,0),Ökodaten_Transport,7,0)</f>
        <v>2.8322714570858278</v>
      </c>
      <c r="G41" s="124"/>
      <c r="H41" s="124"/>
    </row>
    <row r="42" spans="1:25" ht="15" hidden="1" customHeight="1">
      <c r="A42" s="275" t="s">
        <v>2129</v>
      </c>
      <c r="B42" s="275">
        <v>0</v>
      </c>
      <c r="C42" s="275">
        <v>0</v>
      </c>
      <c r="G42" s="124"/>
      <c r="H42" s="124"/>
    </row>
    <row r="43" spans="1:25" ht="15" hidden="1" customHeight="1">
      <c r="A43" s="126"/>
      <c r="B43" s="127"/>
      <c r="C43" s="127"/>
      <c r="G43" s="124"/>
      <c r="H43" s="124"/>
      <c r="I43" s="128"/>
    </row>
    <row r="44" spans="1:25" ht="15" hidden="1" customHeight="1">
      <c r="A44" s="274" t="s">
        <v>2130</v>
      </c>
      <c r="B44" s="274" t="s">
        <v>2545</v>
      </c>
      <c r="C44" s="274" t="s">
        <v>2546</v>
      </c>
      <c r="G44" s="124"/>
      <c r="H44" s="124"/>
      <c r="I44" s="124"/>
    </row>
    <row r="45" spans="1:25" ht="15" hidden="1" customHeight="1">
      <c r="A45" s="275" t="s">
        <v>2543</v>
      </c>
      <c r="B45" s="276">
        <f>VLOOKUP(VLOOKUP(A45,Dienstleistungen,5,0),Ökodaten_Transport,5,0)</f>
        <v>3.3039999999999998</v>
      </c>
      <c r="C45" s="276">
        <f>VLOOKUP(VLOOKUP(A45,Dienstleistungen,5,0),Ökodaten_Transport,7,0)</f>
        <v>46.594999999999999</v>
      </c>
    </row>
    <row r="50" spans="1:10" ht="15" customHeight="1">
      <c r="A50" s="493"/>
      <c r="B50" s="493" t="s">
        <v>2680</v>
      </c>
      <c r="C50" s="493"/>
      <c r="D50" s="491"/>
      <c r="E50" s="491"/>
      <c r="F50" s="491"/>
      <c r="G50" s="491"/>
      <c r="H50" s="491"/>
      <c r="I50" s="539"/>
      <c r="J50" s="540"/>
    </row>
    <row r="51" spans="1:10" ht="15" customHeight="1">
      <c r="A51" s="194" t="s">
        <v>729</v>
      </c>
      <c r="B51" s="194" t="s">
        <v>730</v>
      </c>
      <c r="C51" s="194"/>
      <c r="D51" s="541" t="s">
        <v>2078</v>
      </c>
      <c r="E51" s="541" t="s">
        <v>2129</v>
      </c>
      <c r="F51" s="541" t="s">
        <v>2122</v>
      </c>
      <c r="G51" s="544">
        <v>8</v>
      </c>
      <c r="H51" s="545">
        <v>1.2</v>
      </c>
      <c r="I51" s="542">
        <v>0</v>
      </c>
      <c r="J51" s="543">
        <v>0</v>
      </c>
    </row>
    <row r="52" spans="1:10" ht="15" customHeight="1">
      <c r="A52" s="194" t="s">
        <v>735</v>
      </c>
      <c r="B52" s="194" t="s">
        <v>736</v>
      </c>
      <c r="C52" s="194"/>
      <c r="D52" s="541" t="s">
        <v>2078</v>
      </c>
      <c r="E52" s="541" t="s">
        <v>2129</v>
      </c>
      <c r="F52" s="541" t="s">
        <v>2122</v>
      </c>
      <c r="G52" s="544">
        <v>8</v>
      </c>
      <c r="H52" s="545">
        <v>1.2</v>
      </c>
      <c r="I52" s="542">
        <v>0</v>
      </c>
      <c r="J52" s="543">
        <v>0</v>
      </c>
    </row>
    <row r="53" spans="1:10" ht="15" customHeight="1">
      <c r="A53" s="62"/>
      <c r="B53" s="62"/>
      <c r="C53" s="62"/>
      <c r="D53" s="134"/>
      <c r="E53" s="134"/>
      <c r="F53" s="134"/>
      <c r="G53" s="135"/>
      <c r="H53" s="136"/>
      <c r="I53" s="137"/>
      <c r="J53" s="138"/>
    </row>
    <row r="54" spans="1:10" ht="15" customHeight="1">
      <c r="A54" s="194" t="s">
        <v>739</v>
      </c>
      <c r="B54" s="194" t="s">
        <v>367</v>
      </c>
      <c r="C54" s="194"/>
      <c r="D54" s="541" t="s">
        <v>2078</v>
      </c>
      <c r="E54" s="541" t="s">
        <v>2129</v>
      </c>
      <c r="F54" s="541" t="s">
        <v>2122</v>
      </c>
      <c r="G54" s="544">
        <v>8</v>
      </c>
      <c r="H54" s="545">
        <v>1.2</v>
      </c>
      <c r="I54" s="542">
        <v>0</v>
      </c>
      <c r="J54" s="543">
        <v>0</v>
      </c>
    </row>
    <row r="55" spans="1:10" ht="15" customHeight="1">
      <c r="A55" s="194" t="s">
        <v>741</v>
      </c>
      <c r="B55" s="194" t="s">
        <v>742</v>
      </c>
      <c r="C55" s="111" t="s">
        <v>2650</v>
      </c>
      <c r="D55" s="541" t="s">
        <v>368</v>
      </c>
      <c r="E55" s="541" t="s">
        <v>2129</v>
      </c>
      <c r="F55" s="541" t="s">
        <v>2123</v>
      </c>
      <c r="G55" s="544">
        <v>2</v>
      </c>
      <c r="H55" s="545">
        <v>0.25</v>
      </c>
      <c r="I55" s="542">
        <v>0</v>
      </c>
      <c r="J55" s="543">
        <v>0</v>
      </c>
    </row>
    <row r="56" spans="1:10" ht="15" customHeight="1">
      <c r="A56" s="194" t="s">
        <v>744</v>
      </c>
      <c r="B56" s="194" t="s">
        <v>745</v>
      </c>
      <c r="C56" s="194"/>
      <c r="D56" s="541" t="s">
        <v>368</v>
      </c>
      <c r="E56" s="541" t="s">
        <v>2129</v>
      </c>
      <c r="F56" s="541" t="s">
        <v>2123</v>
      </c>
      <c r="G56" s="544">
        <v>2</v>
      </c>
      <c r="H56" s="545">
        <v>0.25</v>
      </c>
      <c r="I56" s="542">
        <v>0</v>
      </c>
      <c r="J56" s="543">
        <v>0</v>
      </c>
    </row>
    <row r="57" spans="1:10" ht="15" customHeight="1">
      <c r="A57" s="194" t="s">
        <v>761</v>
      </c>
      <c r="B57" s="194" t="s">
        <v>762</v>
      </c>
      <c r="C57" s="194"/>
      <c r="D57" s="541" t="s">
        <v>368</v>
      </c>
      <c r="E57" s="541" t="s">
        <v>2129</v>
      </c>
      <c r="F57" s="541" t="s">
        <v>2123</v>
      </c>
      <c r="G57" s="544">
        <v>2</v>
      </c>
      <c r="H57" s="545">
        <v>0.25</v>
      </c>
      <c r="I57" s="542">
        <v>0</v>
      </c>
      <c r="J57" s="543">
        <v>0</v>
      </c>
    </row>
    <row r="58" spans="1:10" ht="15" customHeight="1">
      <c r="A58" s="62"/>
      <c r="B58" s="62"/>
      <c r="C58" s="62"/>
      <c r="D58" s="134"/>
      <c r="E58" s="134"/>
      <c r="F58" s="134"/>
      <c r="G58" s="135"/>
      <c r="H58" s="136"/>
      <c r="I58" s="137"/>
      <c r="J58" s="138"/>
    </row>
    <row r="59" spans="1:10" ht="15" customHeight="1">
      <c r="A59" s="194" t="s">
        <v>795</v>
      </c>
      <c r="B59" s="194" t="s">
        <v>796</v>
      </c>
      <c r="C59" s="194"/>
      <c r="D59" s="541" t="s">
        <v>519</v>
      </c>
      <c r="E59" s="541" t="s">
        <v>2129</v>
      </c>
      <c r="F59" s="541" t="s">
        <v>2122</v>
      </c>
      <c r="G59" s="544">
        <v>4</v>
      </c>
      <c r="H59" s="545">
        <v>0.1</v>
      </c>
      <c r="I59" s="542">
        <v>0</v>
      </c>
      <c r="J59" s="543">
        <v>0</v>
      </c>
    </row>
    <row r="60" spans="1:10" ht="15" customHeight="1">
      <c r="A60" s="194" t="s">
        <v>797</v>
      </c>
      <c r="B60" s="194" t="s">
        <v>798</v>
      </c>
      <c r="C60" s="194"/>
      <c r="D60" s="541" t="s">
        <v>519</v>
      </c>
      <c r="E60" s="541" t="s">
        <v>2129</v>
      </c>
      <c r="F60" s="541" t="s">
        <v>2122</v>
      </c>
      <c r="G60" s="544">
        <v>4</v>
      </c>
      <c r="H60" s="545">
        <v>0.1</v>
      </c>
      <c r="I60" s="542">
        <v>0</v>
      </c>
      <c r="J60" s="543">
        <v>0</v>
      </c>
    </row>
    <row r="61" spans="1:10" ht="15" customHeight="1">
      <c r="A61" s="194" t="s">
        <v>799</v>
      </c>
      <c r="B61" s="194" t="s">
        <v>800</v>
      </c>
      <c r="C61" s="194"/>
      <c r="D61" s="541" t="s">
        <v>519</v>
      </c>
      <c r="E61" s="541" t="s">
        <v>2129</v>
      </c>
      <c r="F61" s="541" t="s">
        <v>2122</v>
      </c>
      <c r="G61" s="544">
        <v>4</v>
      </c>
      <c r="H61" s="545">
        <v>0.1</v>
      </c>
      <c r="I61" s="542">
        <v>1</v>
      </c>
      <c r="J61" s="543">
        <v>0</v>
      </c>
    </row>
    <row r="62" spans="1:10" ht="15" customHeight="1">
      <c r="A62" s="194" t="s">
        <v>801</v>
      </c>
      <c r="B62" s="194" t="s">
        <v>2166</v>
      </c>
      <c r="C62" s="194"/>
      <c r="D62" s="541" t="s">
        <v>519</v>
      </c>
      <c r="E62" s="541" t="s">
        <v>2129</v>
      </c>
      <c r="F62" s="541" t="s">
        <v>2122</v>
      </c>
      <c r="G62" s="544">
        <v>8</v>
      </c>
      <c r="H62" s="545">
        <v>0.1</v>
      </c>
      <c r="I62" s="542">
        <v>1</v>
      </c>
      <c r="J62" s="543">
        <v>0</v>
      </c>
    </row>
    <row r="63" spans="1:10" ht="15" customHeight="1">
      <c r="A63" s="62"/>
      <c r="B63" s="62"/>
      <c r="C63" s="62"/>
      <c r="D63" s="134"/>
      <c r="E63" s="134"/>
      <c r="F63" s="134"/>
      <c r="G63" s="135"/>
      <c r="H63" s="136"/>
      <c r="I63" s="137"/>
      <c r="J63" s="138"/>
    </row>
    <row r="64" spans="1:10" ht="15" customHeight="1">
      <c r="A64" s="194" t="s">
        <v>805</v>
      </c>
      <c r="B64" s="194" t="s">
        <v>582</v>
      </c>
      <c r="C64" s="194" t="s">
        <v>2124</v>
      </c>
      <c r="D64" s="541" t="s">
        <v>519</v>
      </c>
      <c r="E64" s="541" t="s">
        <v>2129</v>
      </c>
      <c r="F64" s="541" t="s">
        <v>2123</v>
      </c>
      <c r="G64" s="544">
        <v>8</v>
      </c>
      <c r="H64" s="545">
        <v>0.1</v>
      </c>
      <c r="I64" s="542">
        <v>0</v>
      </c>
      <c r="J64" s="543">
        <v>0</v>
      </c>
    </row>
    <row r="65" spans="1:10" ht="15" customHeight="1">
      <c r="A65" s="194" t="s">
        <v>806</v>
      </c>
      <c r="B65" s="194" t="s">
        <v>807</v>
      </c>
      <c r="C65" s="194" t="s">
        <v>2124</v>
      </c>
      <c r="D65" s="541" t="s">
        <v>519</v>
      </c>
      <c r="E65" s="541" t="s">
        <v>2129</v>
      </c>
      <c r="F65" s="541" t="s">
        <v>2123</v>
      </c>
      <c r="G65" s="544">
        <v>8</v>
      </c>
      <c r="H65" s="545">
        <v>0.1</v>
      </c>
      <c r="I65" s="542">
        <v>0</v>
      </c>
      <c r="J65" s="543">
        <v>0</v>
      </c>
    </row>
    <row r="66" spans="1:10" ht="15" customHeight="1">
      <c r="A66" s="194" t="s">
        <v>808</v>
      </c>
      <c r="B66" s="194" t="s">
        <v>608</v>
      </c>
      <c r="C66" s="194" t="s">
        <v>2124</v>
      </c>
      <c r="D66" s="541" t="s">
        <v>519</v>
      </c>
      <c r="E66" s="541" t="s">
        <v>2129</v>
      </c>
      <c r="F66" s="541" t="s">
        <v>2123</v>
      </c>
      <c r="G66" s="544">
        <v>8</v>
      </c>
      <c r="H66" s="545">
        <v>0.1</v>
      </c>
      <c r="I66" s="542">
        <v>1</v>
      </c>
      <c r="J66" s="543">
        <v>0</v>
      </c>
    </row>
    <row r="67" spans="1:10" ht="15" customHeight="1">
      <c r="A67" s="194" t="s">
        <v>811</v>
      </c>
      <c r="B67" s="194" t="s">
        <v>812</v>
      </c>
      <c r="C67" s="194" t="s">
        <v>2124</v>
      </c>
      <c r="D67" s="541" t="s">
        <v>519</v>
      </c>
      <c r="E67" s="541" t="s">
        <v>2129</v>
      </c>
      <c r="F67" s="541" t="s">
        <v>2123</v>
      </c>
      <c r="G67" s="544">
        <v>8</v>
      </c>
      <c r="H67" s="545">
        <v>0.1</v>
      </c>
      <c r="I67" s="542">
        <v>1</v>
      </c>
      <c r="J67" s="543">
        <v>0</v>
      </c>
    </row>
    <row r="68" spans="1:10" ht="15" customHeight="1">
      <c r="A68" s="111" t="s">
        <v>2351</v>
      </c>
      <c r="B68" s="194" t="s">
        <v>2352</v>
      </c>
      <c r="C68" s="194" t="s">
        <v>2124</v>
      </c>
      <c r="D68" s="541" t="s">
        <v>519</v>
      </c>
      <c r="E68" s="541" t="s">
        <v>2129</v>
      </c>
      <c r="F68" s="541" t="s">
        <v>2123</v>
      </c>
      <c r="G68" s="544">
        <v>8</v>
      </c>
      <c r="H68" s="545">
        <v>0.1</v>
      </c>
      <c r="I68" s="542">
        <v>1</v>
      </c>
      <c r="J68" s="543">
        <v>0</v>
      </c>
    </row>
    <row r="69" spans="1:10" ht="15" customHeight="1">
      <c r="A69" s="62"/>
      <c r="B69" s="62"/>
      <c r="C69" s="62"/>
      <c r="D69" s="134"/>
      <c r="E69" s="134"/>
      <c r="F69" s="134"/>
      <c r="G69" s="135"/>
      <c r="H69" s="136"/>
      <c r="I69" s="137"/>
      <c r="J69" s="138"/>
    </row>
    <row r="70" spans="1:10" ht="15" customHeight="1">
      <c r="A70" s="194" t="s">
        <v>813</v>
      </c>
      <c r="B70" s="194" t="s">
        <v>814</v>
      </c>
      <c r="C70" s="194"/>
      <c r="D70" s="541" t="s">
        <v>2079</v>
      </c>
      <c r="E70" s="541" t="s">
        <v>2129</v>
      </c>
      <c r="F70" s="541" t="s">
        <v>2123</v>
      </c>
      <c r="G70" s="544">
        <v>2</v>
      </c>
      <c r="H70" s="545">
        <v>0.1</v>
      </c>
      <c r="I70" s="542">
        <v>0</v>
      </c>
      <c r="J70" s="543">
        <v>0.5</v>
      </c>
    </row>
    <row r="71" spans="1:10" ht="15" customHeight="1">
      <c r="A71" s="194" t="s">
        <v>816</v>
      </c>
      <c r="B71" s="194" t="s">
        <v>817</v>
      </c>
      <c r="C71" s="194"/>
      <c r="D71" s="541" t="s">
        <v>2079</v>
      </c>
      <c r="E71" s="541" t="s">
        <v>2129</v>
      </c>
      <c r="F71" s="541" t="s">
        <v>2123</v>
      </c>
      <c r="G71" s="544">
        <v>8</v>
      </c>
      <c r="H71" s="545">
        <v>0.1</v>
      </c>
      <c r="I71" s="542">
        <v>0</v>
      </c>
      <c r="J71" s="543">
        <v>0</v>
      </c>
    </row>
    <row r="72" spans="1:10" ht="15" customHeight="1">
      <c r="A72" s="194" t="s">
        <v>819</v>
      </c>
      <c r="B72" s="194" t="s">
        <v>820</v>
      </c>
      <c r="C72" s="194"/>
      <c r="D72" s="541" t="s">
        <v>2079</v>
      </c>
      <c r="E72" s="541" t="s">
        <v>2129</v>
      </c>
      <c r="F72" s="541" t="s">
        <v>2123</v>
      </c>
      <c r="G72" s="544">
        <v>8</v>
      </c>
      <c r="H72" s="545">
        <v>0.1</v>
      </c>
      <c r="I72" s="542">
        <v>0</v>
      </c>
      <c r="J72" s="543">
        <v>0.5</v>
      </c>
    </row>
    <row r="73" spans="1:10" ht="15" customHeight="1">
      <c r="A73" s="62"/>
      <c r="B73" s="62"/>
      <c r="C73" s="62"/>
      <c r="D73" s="134"/>
      <c r="E73" s="134"/>
      <c r="F73" s="134"/>
      <c r="G73" s="135"/>
      <c r="H73" s="136"/>
      <c r="I73" s="137"/>
      <c r="J73" s="138"/>
    </row>
    <row r="74" spans="1:10" ht="15" customHeight="1">
      <c r="A74" s="194" t="s">
        <v>822</v>
      </c>
      <c r="B74" s="194" t="s">
        <v>823</v>
      </c>
      <c r="C74" s="194"/>
      <c r="D74" s="541" t="s">
        <v>649</v>
      </c>
      <c r="E74" s="541" t="s">
        <v>2129</v>
      </c>
      <c r="F74" s="541" t="s">
        <v>2123</v>
      </c>
      <c r="G74" s="544">
        <v>4</v>
      </c>
      <c r="H74" s="545">
        <v>0.1</v>
      </c>
      <c r="I74" s="542">
        <v>0</v>
      </c>
      <c r="J74" s="543">
        <v>0</v>
      </c>
    </row>
    <row r="75" spans="1:10" ht="15" customHeight="1">
      <c r="A75" s="194" t="s">
        <v>825</v>
      </c>
      <c r="B75" s="194" t="s">
        <v>826</v>
      </c>
      <c r="C75" s="194" t="s">
        <v>2125</v>
      </c>
      <c r="D75" s="541" t="s">
        <v>2081</v>
      </c>
      <c r="E75" s="541" t="s">
        <v>2129</v>
      </c>
      <c r="F75" s="541" t="s">
        <v>2123</v>
      </c>
      <c r="G75" s="544">
        <v>8</v>
      </c>
      <c r="H75" s="545">
        <v>1.2</v>
      </c>
      <c r="I75" s="542">
        <v>0</v>
      </c>
      <c r="J75" s="543">
        <v>0</v>
      </c>
    </row>
    <row r="76" spans="1:10" ht="15" customHeight="1">
      <c r="A76" s="62"/>
      <c r="B76" s="62"/>
      <c r="C76" s="62"/>
      <c r="D76" s="134"/>
      <c r="E76" s="134"/>
      <c r="F76" s="134"/>
      <c r="G76" s="135"/>
      <c r="H76" s="136"/>
      <c r="I76" s="137"/>
      <c r="J76" s="138"/>
    </row>
    <row r="77" spans="1:10" ht="15" customHeight="1">
      <c r="A77" s="194" t="s">
        <v>829</v>
      </c>
      <c r="B77" s="194" t="s">
        <v>830</v>
      </c>
      <c r="C77" s="68"/>
      <c r="D77" s="541" t="s">
        <v>649</v>
      </c>
      <c r="E77" s="541" t="s">
        <v>2129</v>
      </c>
      <c r="F77" s="541" t="s">
        <v>2122</v>
      </c>
      <c r="G77" s="544">
        <v>8</v>
      </c>
      <c r="H77" s="545">
        <v>0</v>
      </c>
      <c r="I77" s="542">
        <v>0</v>
      </c>
      <c r="J77" s="543">
        <v>0</v>
      </c>
    </row>
    <row r="78" spans="1:10" ht="15" customHeight="1">
      <c r="A78" s="194" t="s">
        <v>831</v>
      </c>
      <c r="B78" s="194" t="s">
        <v>832</v>
      </c>
      <c r="C78" s="194"/>
      <c r="D78" s="541" t="s">
        <v>368</v>
      </c>
      <c r="E78" s="541" t="s">
        <v>2129</v>
      </c>
      <c r="F78" s="541" t="s">
        <v>2123</v>
      </c>
      <c r="G78" s="544">
        <v>2</v>
      </c>
      <c r="H78" s="545">
        <v>0.25</v>
      </c>
      <c r="I78" s="542">
        <v>0</v>
      </c>
      <c r="J78" s="543">
        <v>0</v>
      </c>
    </row>
    <row r="79" spans="1:10" ht="15" customHeight="1">
      <c r="A79" s="194" t="s">
        <v>833</v>
      </c>
      <c r="B79" s="194" t="s">
        <v>834</v>
      </c>
      <c r="C79" s="194"/>
      <c r="D79" s="541" t="s">
        <v>368</v>
      </c>
      <c r="E79" s="541" t="s">
        <v>2129</v>
      </c>
      <c r="F79" s="541" t="s">
        <v>2123</v>
      </c>
      <c r="G79" s="544">
        <v>8</v>
      </c>
      <c r="H79" s="545">
        <v>0.25</v>
      </c>
      <c r="I79" s="542">
        <v>0</v>
      </c>
      <c r="J79" s="543">
        <v>0</v>
      </c>
    </row>
    <row r="80" spans="1:10" ht="15" customHeight="1">
      <c r="A80" s="194" t="s">
        <v>836</v>
      </c>
      <c r="B80" s="194" t="s">
        <v>837</v>
      </c>
      <c r="C80" s="194"/>
      <c r="D80" s="541" t="s">
        <v>649</v>
      </c>
      <c r="E80" s="541" t="s">
        <v>2129</v>
      </c>
      <c r="F80" s="541" t="s">
        <v>2122</v>
      </c>
      <c r="G80" s="544">
        <v>8</v>
      </c>
      <c r="H80" s="545">
        <v>0</v>
      </c>
      <c r="I80" s="542">
        <v>0</v>
      </c>
      <c r="J80" s="543">
        <v>0</v>
      </c>
    </row>
    <row r="81" spans="1:10" ht="15" customHeight="1">
      <c r="A81" s="194" t="s">
        <v>838</v>
      </c>
      <c r="B81" s="194" t="s">
        <v>839</v>
      </c>
      <c r="C81" s="68" t="s">
        <v>2126</v>
      </c>
      <c r="D81" s="140"/>
      <c r="E81" s="140"/>
      <c r="F81" s="140"/>
      <c r="G81" s="141"/>
      <c r="H81" s="142"/>
      <c r="I81" s="143"/>
      <c r="J81" s="144"/>
    </row>
  </sheetData>
  <sheetProtection password="FDAF" sheet="1" objects="1" scenarios="1" selectLockedCells="1"/>
  <mergeCells count="14">
    <mergeCell ref="X1:X2"/>
    <mergeCell ref="Y1:Y2"/>
    <mergeCell ref="C1:C2"/>
    <mergeCell ref="D1:D2"/>
    <mergeCell ref="A1:A2"/>
    <mergeCell ref="B1:B2"/>
    <mergeCell ref="Q1:Q2"/>
    <mergeCell ref="R1:R2"/>
    <mergeCell ref="J1:J2"/>
    <mergeCell ref="E1:E2"/>
    <mergeCell ref="F1:F2"/>
    <mergeCell ref="G1:G2"/>
    <mergeCell ref="H1:H2"/>
    <mergeCell ref="I1:I2"/>
  </mergeCells>
  <dataValidations count="2">
    <dataValidation type="list" allowBlank="1" showInputMessage="1" showErrorMessage="1" sqref="D4:D5 D7:D10 D30:D33 D23:D25 D27:D28 D17:D21 D12:D15">
      <formula1>Stundensatz_Liste</formula1>
    </dataValidation>
    <dataValidation type="list" allowBlank="1" showInputMessage="1" showErrorMessage="1" sqref="E30:F33 E23:F25 E7:F10 E27:F28 E4:F5 E17:F21 E12:F15">
      <formula1>PTRANSP_Liste</formula1>
    </dataValidation>
  </dataValidations>
  <hyperlinks>
    <hyperlink ref="B3" location="'Nutzung &amp; Betrieb'!A1" display="zurück zu &quot;Nutzung &amp; Betrieb&quot;"/>
    <hyperlink ref="B35" location="'Nutzung &amp; Betrieb'!A1" display="zurück zu &quot;Nutzung &amp; Betrieb&quot;"/>
  </hyperlinks>
  <pageMargins left="0.70866141732283472" right="0.70866141732283472" top="0.78740157480314965" bottom="0.78740157480314965" header="0.31496062992125984" footer="0.31496062992125984"/>
  <pageSetup paperSize="9" scale="84" fitToHeight="0" orientation="landscape" r:id="rId1"/>
  <headerFooter>
    <oddFooter>&amp;L&amp;F&amp;C&amp;A&amp;R&amp;P von &amp;N</oddFooter>
  </headerFooter>
  <legacyDrawing r:id="rId2"/>
</worksheet>
</file>

<file path=xl/worksheets/sheet17.xml><?xml version="1.0" encoding="utf-8"?>
<worksheet xmlns="http://schemas.openxmlformats.org/spreadsheetml/2006/main" xmlns:r="http://schemas.openxmlformats.org/officeDocument/2006/relationships">
  <sheetPr codeName="Tabelle13">
    <tabColor theme="8" tint="0.79998168889431442"/>
    <pageSetUpPr fitToPage="1"/>
  </sheetPr>
  <dimension ref="A1:R82"/>
  <sheetViews>
    <sheetView zoomScaleNormal="100" workbookViewId="0">
      <pane ySplit="1" topLeftCell="A2" activePane="bottomLeft" state="frozen"/>
      <selection activeCell="C23" sqref="C23:M24"/>
      <selection pane="bottomLeft" activeCell="I3" sqref="I3"/>
    </sheetView>
  </sheetViews>
  <sheetFormatPr baseColWidth="10" defaultRowHeight="15" customHeight="1"/>
  <cols>
    <col min="1" max="1" width="6.5" style="79" hidden="1" customWidth="1"/>
    <col min="2" max="2" width="5.1640625" style="79" hidden="1" customWidth="1"/>
    <col min="3" max="3" width="10.33203125" style="79" hidden="1" customWidth="1"/>
    <col min="4" max="4" width="43.5" style="79" customWidth="1"/>
    <col min="5" max="5" width="15.6640625" style="79" hidden="1" customWidth="1"/>
    <col min="6" max="6" width="16.83203125" style="79" hidden="1" customWidth="1"/>
    <col min="7" max="7" width="12.83203125" style="79" customWidth="1"/>
    <col min="8" max="8" width="12.83203125" style="79" hidden="1" customWidth="1"/>
    <col min="9" max="10" width="12.83203125" style="79" customWidth="1"/>
    <col min="11" max="11" width="5.5" style="105" customWidth="1"/>
    <col min="12" max="16384" width="12" style="79"/>
  </cols>
  <sheetData>
    <row r="1" spans="1:18" ht="15" customHeight="1" thickBot="1">
      <c r="A1" s="102" t="s">
        <v>1</v>
      </c>
      <c r="B1" s="102"/>
      <c r="C1" s="102" t="s">
        <v>2</v>
      </c>
      <c r="D1" s="102" t="s">
        <v>66</v>
      </c>
      <c r="E1" s="102" t="s">
        <v>89</v>
      </c>
      <c r="F1" s="102" t="s">
        <v>90</v>
      </c>
      <c r="G1" s="102" t="s">
        <v>1207</v>
      </c>
      <c r="H1" s="102" t="s">
        <v>1208</v>
      </c>
      <c r="I1" s="102" t="s">
        <v>1206</v>
      </c>
      <c r="J1" s="102" t="s">
        <v>1484</v>
      </c>
      <c r="K1" s="193"/>
      <c r="L1" s="193"/>
      <c r="M1" s="193"/>
      <c r="N1" s="193"/>
      <c r="O1" s="193"/>
      <c r="P1" s="193"/>
      <c r="Q1" s="193"/>
      <c r="R1" s="193"/>
    </row>
    <row r="2" spans="1:18" ht="15" customHeight="1" thickTop="1" thickBot="1">
      <c r="A2" s="63">
        <v>100</v>
      </c>
      <c r="B2" s="63"/>
      <c r="C2" s="62"/>
      <c r="D2" s="62" t="s">
        <v>2317</v>
      </c>
      <c r="E2" s="62"/>
      <c r="F2" s="62"/>
      <c r="G2" s="613" t="s">
        <v>2647</v>
      </c>
      <c r="H2" s="613"/>
      <c r="I2" s="613"/>
      <c r="J2" s="613"/>
      <c r="K2" s="193"/>
      <c r="M2" s="193"/>
      <c r="N2" s="193"/>
      <c r="O2" s="193"/>
      <c r="P2" s="193"/>
      <c r="Q2" s="193"/>
      <c r="R2" s="193"/>
    </row>
    <row r="3" spans="1:18" ht="15" customHeight="1" thickTop="1" thickBot="1">
      <c r="A3" s="78">
        <v>200</v>
      </c>
      <c r="B3" s="78"/>
      <c r="C3" s="59" t="s">
        <v>363</v>
      </c>
      <c r="D3" s="56" t="s">
        <v>2316</v>
      </c>
      <c r="E3" s="59"/>
      <c r="F3" s="59"/>
      <c r="G3" s="87">
        <f>IF(I3="",H3,I3)</f>
        <v>3.6959999999999997</v>
      </c>
      <c r="H3" s="53">
        <f>3.08*(1+VLOOKUP("USTDL",Umsatzsteuersaetze,5,0))</f>
        <v>3.6959999999999997</v>
      </c>
      <c r="I3" s="73"/>
      <c r="J3" s="59" t="s">
        <v>364</v>
      </c>
      <c r="K3" s="193"/>
      <c r="M3" s="193"/>
      <c r="N3" s="193"/>
      <c r="O3" s="193"/>
      <c r="P3" s="193"/>
      <c r="Q3" s="193"/>
      <c r="R3" s="193"/>
    </row>
    <row r="4" spans="1:18" s="193" customFormat="1" ht="15" customHeight="1"/>
    <row r="5" spans="1:18" ht="15" customHeight="1" thickBot="1">
      <c r="A5" s="63">
        <v>400</v>
      </c>
      <c r="B5" s="63"/>
      <c r="C5" s="62"/>
      <c r="D5" s="62" t="s">
        <v>2318</v>
      </c>
      <c r="E5" s="62"/>
      <c r="F5" s="62"/>
      <c r="G5" s="62"/>
      <c r="H5" s="62"/>
      <c r="I5" s="62"/>
      <c r="J5" s="62"/>
      <c r="K5" s="193"/>
      <c r="L5" s="193"/>
      <c r="M5" s="193"/>
      <c r="N5" s="193"/>
      <c r="O5" s="193"/>
      <c r="P5" s="193"/>
      <c r="Q5" s="193"/>
      <c r="R5" s="193"/>
    </row>
    <row r="6" spans="1:18" ht="15" customHeight="1" thickBot="1">
      <c r="A6" s="78">
        <v>500</v>
      </c>
      <c r="B6" s="78"/>
      <c r="C6" s="59" t="s">
        <v>366</v>
      </c>
      <c r="D6" s="59" t="s">
        <v>367</v>
      </c>
      <c r="E6" s="59"/>
      <c r="F6" s="59"/>
      <c r="G6" s="87">
        <f t="shared" ref="G6:G68" si="0">IF(I6="",H6,I6)</f>
        <v>2.4</v>
      </c>
      <c r="H6" s="53">
        <f>2*(1+VLOOKUP("USTDL",Umsatzsteuersaetze,5,0))</f>
        <v>2.4</v>
      </c>
      <c r="I6" s="73"/>
      <c r="J6" s="118" t="s">
        <v>364</v>
      </c>
      <c r="K6" s="193"/>
      <c r="L6" s="193"/>
      <c r="M6" s="193"/>
      <c r="N6" s="193"/>
      <c r="O6" s="193"/>
      <c r="P6" s="193"/>
      <c r="Q6" s="193"/>
      <c r="R6" s="193"/>
    </row>
    <row r="7" spans="1:18" s="193" customFormat="1" ht="15" customHeight="1"/>
    <row r="8" spans="1:18" ht="15" customHeight="1">
      <c r="A8" s="63">
        <v>800</v>
      </c>
      <c r="B8" s="63"/>
      <c r="C8" s="62"/>
      <c r="D8" s="62" t="s">
        <v>2319</v>
      </c>
      <c r="E8" s="62"/>
      <c r="F8" s="62"/>
      <c r="G8" s="62"/>
      <c r="H8" s="62"/>
      <c r="I8" s="62"/>
      <c r="J8" s="62"/>
      <c r="K8" s="193"/>
      <c r="L8" s="19"/>
      <c r="M8" s="193"/>
      <c r="N8" s="193"/>
      <c r="O8" s="193"/>
      <c r="P8" s="193"/>
      <c r="Q8" s="193"/>
      <c r="R8" s="193"/>
    </row>
    <row r="9" spans="1:18" ht="15" customHeight="1" thickBot="1">
      <c r="A9" s="63">
        <v>1200</v>
      </c>
      <c r="B9" s="63"/>
      <c r="C9" s="62"/>
      <c r="D9" s="62" t="s">
        <v>287</v>
      </c>
      <c r="E9" s="62"/>
      <c r="F9" s="62"/>
      <c r="G9" s="63"/>
      <c r="H9" s="63"/>
      <c r="I9" s="63"/>
      <c r="J9" s="62"/>
      <c r="K9" s="193"/>
      <c r="L9" s="19"/>
      <c r="M9" s="193"/>
      <c r="N9" s="193"/>
      <c r="O9" s="193"/>
      <c r="P9" s="193"/>
      <c r="Q9" s="193"/>
      <c r="R9" s="193"/>
    </row>
    <row r="10" spans="1:18" ht="15" customHeight="1" thickBot="1">
      <c r="A10" s="78">
        <v>1300</v>
      </c>
      <c r="B10" s="78"/>
      <c r="C10" s="59" t="s">
        <v>370</v>
      </c>
      <c r="D10" s="59" t="s">
        <v>371</v>
      </c>
      <c r="E10" s="59"/>
      <c r="F10" s="59"/>
      <c r="G10" s="87">
        <f t="shared" si="0"/>
        <v>1.5</v>
      </c>
      <c r="H10" s="53">
        <v>1.5</v>
      </c>
      <c r="I10" s="73"/>
      <c r="J10" s="59" t="s">
        <v>98</v>
      </c>
      <c r="K10" s="193"/>
      <c r="L10" s="19"/>
      <c r="M10" s="193"/>
      <c r="N10" s="193"/>
      <c r="O10" s="193"/>
      <c r="P10" s="193"/>
      <c r="Q10" s="193"/>
      <c r="R10" s="193"/>
    </row>
    <row r="11" spans="1:18" ht="15" customHeight="1" thickBot="1">
      <c r="A11" s="78">
        <v>1400</v>
      </c>
      <c r="B11" s="78"/>
      <c r="C11" s="59" t="s">
        <v>372</v>
      </c>
      <c r="D11" s="59" t="s">
        <v>373</v>
      </c>
      <c r="E11" s="59"/>
      <c r="F11" s="59"/>
      <c r="G11" s="87">
        <f t="shared" si="0"/>
        <v>1</v>
      </c>
      <c r="H11" s="53">
        <v>1</v>
      </c>
      <c r="I11" s="73"/>
      <c r="J11" s="59" t="s">
        <v>98</v>
      </c>
      <c r="K11" s="193"/>
      <c r="L11" s="193"/>
      <c r="M11" s="193"/>
      <c r="N11" s="193"/>
      <c r="O11" s="193"/>
      <c r="P11" s="193"/>
      <c r="Q11" s="193"/>
      <c r="R11" s="193"/>
    </row>
    <row r="12" spans="1:18" ht="15" customHeight="1" thickBot="1">
      <c r="A12" s="63">
        <v>1600</v>
      </c>
      <c r="B12" s="63"/>
      <c r="C12" s="62"/>
      <c r="D12" s="62" t="s">
        <v>285</v>
      </c>
      <c r="E12" s="62"/>
      <c r="F12" s="62"/>
      <c r="G12" s="63"/>
      <c r="H12" s="63"/>
      <c r="I12" s="63"/>
      <c r="J12" s="62"/>
      <c r="K12" s="193"/>
      <c r="L12" s="193"/>
      <c r="M12" s="193"/>
      <c r="N12" s="193"/>
      <c r="O12" s="193"/>
      <c r="P12" s="193"/>
      <c r="Q12" s="193"/>
      <c r="R12" s="193"/>
    </row>
    <row r="13" spans="1:18" ht="15" customHeight="1" thickBot="1">
      <c r="A13" s="78">
        <v>1700</v>
      </c>
      <c r="B13" s="78"/>
      <c r="C13" s="59" t="s">
        <v>374</v>
      </c>
      <c r="D13" s="59" t="s">
        <v>375</v>
      </c>
      <c r="E13" s="59"/>
      <c r="F13" s="59"/>
      <c r="G13" s="87">
        <f t="shared" si="0"/>
        <v>1</v>
      </c>
      <c r="H13" s="53">
        <v>1</v>
      </c>
      <c r="I13" s="73"/>
      <c r="J13" s="59" t="s">
        <v>98</v>
      </c>
      <c r="K13" s="193"/>
      <c r="L13" s="193"/>
      <c r="M13" s="193"/>
      <c r="N13" s="193"/>
      <c r="O13" s="193"/>
      <c r="P13" s="193"/>
      <c r="Q13" s="193"/>
      <c r="R13" s="193"/>
    </row>
    <row r="14" spans="1:18" ht="15" customHeight="1" thickBot="1">
      <c r="A14" s="78">
        <v>1800</v>
      </c>
      <c r="B14" s="78"/>
      <c r="C14" s="59" t="s">
        <v>376</v>
      </c>
      <c r="D14" s="59" t="s">
        <v>377</v>
      </c>
      <c r="E14" s="59"/>
      <c r="F14" s="59"/>
      <c r="G14" s="87">
        <f t="shared" si="0"/>
        <v>2</v>
      </c>
      <c r="H14" s="53">
        <v>2</v>
      </c>
      <c r="I14" s="73"/>
      <c r="J14" s="59" t="s">
        <v>98</v>
      </c>
      <c r="K14" s="193"/>
      <c r="L14" s="193"/>
      <c r="M14" s="193"/>
      <c r="N14" s="193"/>
      <c r="O14" s="193"/>
      <c r="P14" s="193"/>
      <c r="Q14" s="193"/>
      <c r="R14" s="193"/>
    </row>
    <row r="15" spans="1:18" ht="15" customHeight="1" thickBot="1">
      <c r="A15" s="78">
        <v>1900</v>
      </c>
      <c r="B15" s="78"/>
      <c r="C15" s="59" t="s">
        <v>378</v>
      </c>
      <c r="D15" s="59" t="s">
        <v>379</v>
      </c>
      <c r="E15" s="59"/>
      <c r="F15" s="59"/>
      <c r="G15" s="87">
        <f t="shared" si="0"/>
        <v>0.5</v>
      </c>
      <c r="H15" s="53">
        <v>0.5</v>
      </c>
      <c r="I15" s="73"/>
      <c r="J15" s="59" t="s">
        <v>98</v>
      </c>
      <c r="K15" s="193"/>
      <c r="L15" s="193"/>
      <c r="M15" s="193"/>
      <c r="N15" s="193"/>
      <c r="O15" s="193"/>
      <c r="P15" s="193"/>
      <c r="Q15" s="193"/>
      <c r="R15" s="193"/>
    </row>
    <row r="16" spans="1:18" ht="15" customHeight="1" thickBot="1">
      <c r="A16" s="78">
        <v>2000</v>
      </c>
      <c r="B16" s="78"/>
      <c r="C16" s="59" t="s">
        <v>380</v>
      </c>
      <c r="D16" s="59" t="s">
        <v>381</v>
      </c>
      <c r="E16" s="59"/>
      <c r="F16" s="59"/>
      <c r="G16" s="87">
        <f t="shared" si="0"/>
        <v>0.5</v>
      </c>
      <c r="H16" s="53">
        <v>0.5</v>
      </c>
      <c r="I16" s="73"/>
      <c r="J16" s="59" t="s">
        <v>98</v>
      </c>
      <c r="K16" s="193"/>
      <c r="L16" s="193"/>
      <c r="M16" s="193"/>
      <c r="N16" s="193"/>
      <c r="O16" s="193"/>
      <c r="P16" s="193"/>
      <c r="Q16" s="193"/>
      <c r="R16" s="193"/>
    </row>
    <row r="17" spans="1:18" ht="15" customHeight="1" thickBot="1">
      <c r="A17" s="78">
        <v>2100</v>
      </c>
      <c r="B17" s="78"/>
      <c r="C17" s="59" t="s">
        <v>382</v>
      </c>
      <c r="D17" s="59" t="s">
        <v>383</v>
      </c>
      <c r="E17" s="59"/>
      <c r="F17" s="59"/>
      <c r="G17" s="87">
        <f t="shared" si="0"/>
        <v>0.5</v>
      </c>
      <c r="H17" s="53">
        <v>0.5</v>
      </c>
      <c r="I17" s="73"/>
      <c r="J17" s="59" t="s">
        <v>98</v>
      </c>
      <c r="K17" s="193"/>
      <c r="L17" s="193"/>
      <c r="M17" s="193"/>
      <c r="N17" s="193"/>
      <c r="O17" s="193"/>
      <c r="P17" s="193"/>
      <c r="Q17" s="193"/>
      <c r="R17" s="193"/>
    </row>
    <row r="18" spans="1:18" ht="15" customHeight="1" thickBot="1">
      <c r="A18" s="78">
        <v>2200</v>
      </c>
      <c r="B18" s="78"/>
      <c r="C18" s="59" t="s">
        <v>384</v>
      </c>
      <c r="D18" s="59" t="s">
        <v>385</v>
      </c>
      <c r="E18" s="59"/>
      <c r="F18" s="59"/>
      <c r="G18" s="87">
        <f t="shared" si="0"/>
        <v>0.5</v>
      </c>
      <c r="H18" s="53">
        <v>0.5</v>
      </c>
      <c r="I18" s="73"/>
      <c r="J18" s="59" t="s">
        <v>98</v>
      </c>
    </row>
    <row r="19" spans="1:18" ht="15" customHeight="1" thickBot="1">
      <c r="A19" s="78">
        <v>2300</v>
      </c>
      <c r="B19" s="78"/>
      <c r="C19" s="59" t="s">
        <v>386</v>
      </c>
      <c r="D19" s="59" t="s">
        <v>387</v>
      </c>
      <c r="E19" s="59"/>
      <c r="F19" s="59"/>
      <c r="G19" s="87">
        <f t="shared" si="0"/>
        <v>0.5</v>
      </c>
      <c r="H19" s="53">
        <v>0.5</v>
      </c>
      <c r="I19" s="73"/>
      <c r="J19" s="59" t="s">
        <v>98</v>
      </c>
    </row>
    <row r="20" spans="1:18" ht="15" customHeight="1" thickBot="1">
      <c r="A20" s="78">
        <v>2400</v>
      </c>
      <c r="B20" s="78"/>
      <c r="C20" s="59" t="s">
        <v>388</v>
      </c>
      <c r="D20" s="59" t="s">
        <v>389</v>
      </c>
      <c r="E20" s="59"/>
      <c r="F20" s="59"/>
      <c r="G20" s="87">
        <f t="shared" si="0"/>
        <v>0.5</v>
      </c>
      <c r="H20" s="53">
        <v>0.5</v>
      </c>
      <c r="I20" s="73"/>
      <c r="J20" s="59" t="s">
        <v>98</v>
      </c>
    </row>
    <row r="21" spans="1:18" ht="15" customHeight="1" thickBot="1">
      <c r="A21" s="63">
        <v>2600</v>
      </c>
      <c r="B21" s="63"/>
      <c r="C21" s="62"/>
      <c r="D21" s="62" t="s">
        <v>274</v>
      </c>
      <c r="E21" s="62"/>
      <c r="F21" s="62"/>
      <c r="G21" s="63"/>
      <c r="H21" s="63"/>
      <c r="I21" s="63"/>
      <c r="J21" s="62"/>
    </row>
    <row r="22" spans="1:18" ht="15" customHeight="1" thickBot="1">
      <c r="A22" s="78">
        <v>2700</v>
      </c>
      <c r="B22" s="78"/>
      <c r="C22" s="59" t="s">
        <v>390</v>
      </c>
      <c r="D22" s="59" t="s">
        <v>391</v>
      </c>
      <c r="E22" s="59"/>
      <c r="F22" s="59"/>
      <c r="G22" s="87">
        <f t="shared" si="0"/>
        <v>0.5</v>
      </c>
      <c r="H22" s="53">
        <v>0.5</v>
      </c>
      <c r="I22" s="73"/>
      <c r="J22" s="59" t="s">
        <v>98</v>
      </c>
    </row>
    <row r="23" spans="1:18" ht="15" customHeight="1" thickBot="1">
      <c r="A23" s="78">
        <v>2800</v>
      </c>
      <c r="B23" s="78"/>
      <c r="C23" s="59" t="s">
        <v>392</v>
      </c>
      <c r="D23" s="59" t="s">
        <v>393</v>
      </c>
      <c r="E23" s="59"/>
      <c r="F23" s="59"/>
      <c r="G23" s="87">
        <f t="shared" si="0"/>
        <v>0</v>
      </c>
      <c r="H23" s="53">
        <v>0</v>
      </c>
      <c r="I23" s="73"/>
      <c r="J23" s="59" t="s">
        <v>98</v>
      </c>
    </row>
    <row r="24" spans="1:18" ht="15" customHeight="1" thickBot="1">
      <c r="A24" s="78">
        <v>2900</v>
      </c>
      <c r="B24" s="78"/>
      <c r="C24" s="59" t="s">
        <v>394</v>
      </c>
      <c r="D24" s="59" t="s">
        <v>395</v>
      </c>
      <c r="E24" s="59"/>
      <c r="F24" s="59"/>
      <c r="G24" s="87">
        <f t="shared" si="0"/>
        <v>10</v>
      </c>
      <c r="H24" s="53">
        <v>10</v>
      </c>
      <c r="I24" s="73"/>
      <c r="J24" s="59" t="s">
        <v>98</v>
      </c>
    </row>
    <row r="25" spans="1:18" ht="15" customHeight="1" thickBot="1">
      <c r="A25" s="78">
        <v>3000</v>
      </c>
      <c r="B25" s="78"/>
      <c r="C25" s="59" t="s">
        <v>396</v>
      </c>
      <c r="D25" s="59" t="s">
        <v>397</v>
      </c>
      <c r="E25" s="59"/>
      <c r="F25" s="59"/>
      <c r="G25" s="87">
        <f t="shared" si="0"/>
        <v>2</v>
      </c>
      <c r="H25" s="53">
        <v>2</v>
      </c>
      <c r="I25" s="73"/>
      <c r="J25" s="59" t="s">
        <v>98</v>
      </c>
    </row>
    <row r="26" spans="1:18" ht="15" customHeight="1" thickBot="1">
      <c r="A26" s="78">
        <v>3100</v>
      </c>
      <c r="B26" s="78"/>
      <c r="C26" s="59" t="s">
        <v>398</v>
      </c>
      <c r="D26" s="59" t="s">
        <v>399</v>
      </c>
      <c r="E26" s="59"/>
      <c r="F26" s="59"/>
      <c r="G26" s="87">
        <f t="shared" si="0"/>
        <v>10</v>
      </c>
      <c r="H26" s="53">
        <v>10</v>
      </c>
      <c r="I26" s="73"/>
      <c r="J26" s="59" t="s">
        <v>98</v>
      </c>
    </row>
    <row r="27" spans="1:18" ht="15" customHeight="1" thickBot="1">
      <c r="A27" s="78">
        <v>3200</v>
      </c>
      <c r="B27" s="78"/>
      <c r="C27" s="59" t="s">
        <v>400</v>
      </c>
      <c r="D27" s="59" t="s">
        <v>401</v>
      </c>
      <c r="E27" s="59"/>
      <c r="F27" s="59"/>
      <c r="G27" s="87">
        <f t="shared" si="0"/>
        <v>1</v>
      </c>
      <c r="H27" s="53">
        <v>1</v>
      </c>
      <c r="I27" s="73"/>
      <c r="J27" s="59" t="s">
        <v>98</v>
      </c>
    </row>
    <row r="28" spans="1:18" ht="15" customHeight="1" thickBot="1">
      <c r="A28" s="78">
        <v>3300</v>
      </c>
      <c r="B28" s="78"/>
      <c r="C28" s="59" t="s">
        <v>402</v>
      </c>
      <c r="D28" s="59" t="s">
        <v>403</v>
      </c>
      <c r="E28" s="59"/>
      <c r="F28" s="59"/>
      <c r="G28" s="87">
        <f t="shared" si="0"/>
        <v>2</v>
      </c>
      <c r="H28" s="53">
        <v>2</v>
      </c>
      <c r="I28" s="73"/>
      <c r="J28" s="59" t="s">
        <v>98</v>
      </c>
    </row>
    <row r="29" spans="1:18" ht="15" customHeight="1" thickBot="1">
      <c r="A29" s="78">
        <v>3400</v>
      </c>
      <c r="B29" s="78"/>
      <c r="C29" s="59" t="s">
        <v>404</v>
      </c>
      <c r="D29" s="59" t="s">
        <v>405</v>
      </c>
      <c r="E29" s="59"/>
      <c r="F29" s="59"/>
      <c r="G29" s="87">
        <f t="shared" si="0"/>
        <v>1</v>
      </c>
      <c r="H29" s="53">
        <v>1</v>
      </c>
      <c r="I29" s="73"/>
      <c r="J29" s="59" t="s">
        <v>98</v>
      </c>
    </row>
    <row r="30" spans="1:18" ht="15" customHeight="1" thickBot="1">
      <c r="A30" s="78">
        <v>3500</v>
      </c>
      <c r="B30" s="78"/>
      <c r="C30" s="59" t="s">
        <v>406</v>
      </c>
      <c r="D30" s="59" t="s">
        <v>407</v>
      </c>
      <c r="E30" s="59"/>
      <c r="F30" s="59"/>
      <c r="G30" s="87">
        <f t="shared" si="0"/>
        <v>2</v>
      </c>
      <c r="H30" s="53">
        <v>2</v>
      </c>
      <c r="I30" s="73"/>
      <c r="J30" s="59" t="s">
        <v>98</v>
      </c>
    </row>
    <row r="31" spans="1:18" ht="15" customHeight="1" thickBot="1">
      <c r="A31" s="78">
        <v>3600</v>
      </c>
      <c r="B31" s="78"/>
      <c r="C31" s="59" t="s">
        <v>408</v>
      </c>
      <c r="D31" s="59" t="s">
        <v>409</v>
      </c>
      <c r="E31" s="59"/>
      <c r="F31" s="59"/>
      <c r="G31" s="87">
        <f t="shared" si="0"/>
        <v>1</v>
      </c>
      <c r="H31" s="53">
        <v>1</v>
      </c>
      <c r="I31" s="73"/>
      <c r="J31" s="59" t="s">
        <v>98</v>
      </c>
    </row>
    <row r="32" spans="1:18" ht="15" customHeight="1" thickBot="1">
      <c r="A32" s="78">
        <v>3700</v>
      </c>
      <c r="B32" s="78"/>
      <c r="C32" s="59" t="s">
        <v>410</v>
      </c>
      <c r="D32" s="59" t="s">
        <v>411</v>
      </c>
      <c r="E32" s="59"/>
      <c r="F32" s="59"/>
      <c r="G32" s="87">
        <f t="shared" si="0"/>
        <v>2</v>
      </c>
      <c r="H32" s="53">
        <v>2</v>
      </c>
      <c r="I32" s="73"/>
      <c r="J32" s="59" t="s">
        <v>98</v>
      </c>
    </row>
    <row r="33" spans="1:10" ht="15" customHeight="1" thickBot="1">
      <c r="A33" s="78">
        <v>3800</v>
      </c>
      <c r="B33" s="78"/>
      <c r="C33" s="59" t="s">
        <v>412</v>
      </c>
      <c r="D33" s="59" t="s">
        <v>413</v>
      </c>
      <c r="E33" s="59"/>
      <c r="F33" s="59"/>
      <c r="G33" s="87">
        <f t="shared" si="0"/>
        <v>0.5</v>
      </c>
      <c r="H33" s="53">
        <v>0.5</v>
      </c>
      <c r="I33" s="73"/>
      <c r="J33" s="59" t="s">
        <v>98</v>
      </c>
    </row>
    <row r="34" spans="1:10" ht="15" customHeight="1" thickBot="1">
      <c r="A34" s="78">
        <v>3900</v>
      </c>
      <c r="B34" s="78"/>
      <c r="C34" s="59" t="s">
        <v>414</v>
      </c>
      <c r="D34" s="59" t="s">
        <v>415</v>
      </c>
      <c r="E34" s="59"/>
      <c r="F34" s="59"/>
      <c r="G34" s="87">
        <f t="shared" si="0"/>
        <v>0</v>
      </c>
      <c r="H34" s="53">
        <v>0</v>
      </c>
      <c r="I34" s="73"/>
      <c r="J34" s="59" t="s">
        <v>98</v>
      </c>
    </row>
    <row r="35" spans="1:10" ht="15" customHeight="1" thickBot="1">
      <c r="A35" s="78">
        <v>4000</v>
      </c>
      <c r="B35" s="78"/>
      <c r="C35" s="59" t="s">
        <v>416</v>
      </c>
      <c r="D35" s="59" t="s">
        <v>417</v>
      </c>
      <c r="E35" s="59"/>
      <c r="F35" s="59"/>
      <c r="G35" s="87">
        <f t="shared" si="0"/>
        <v>0.5</v>
      </c>
      <c r="H35" s="53">
        <v>0.5</v>
      </c>
      <c r="I35" s="73"/>
      <c r="J35" s="59" t="s">
        <v>98</v>
      </c>
    </row>
    <row r="36" spans="1:10" ht="15" customHeight="1" thickBot="1">
      <c r="A36" s="78">
        <v>4100</v>
      </c>
      <c r="B36" s="78"/>
      <c r="C36" s="59" t="s">
        <v>418</v>
      </c>
      <c r="D36" s="59" t="s">
        <v>419</v>
      </c>
      <c r="E36" s="59"/>
      <c r="F36" s="59"/>
      <c r="G36" s="87">
        <f t="shared" si="0"/>
        <v>0.5</v>
      </c>
      <c r="H36" s="53">
        <v>0.5</v>
      </c>
      <c r="I36" s="73"/>
      <c r="J36" s="59" t="s">
        <v>98</v>
      </c>
    </row>
    <row r="37" spans="1:10" ht="15" customHeight="1" thickBot="1">
      <c r="A37" s="63">
        <v>4300</v>
      </c>
      <c r="B37" s="63"/>
      <c r="C37" s="62"/>
      <c r="D37" s="62" t="s">
        <v>259</v>
      </c>
      <c r="E37" s="62"/>
      <c r="F37" s="62"/>
      <c r="G37" s="63"/>
      <c r="H37" s="63"/>
      <c r="I37" s="63"/>
      <c r="J37" s="62"/>
    </row>
    <row r="38" spans="1:10" ht="15" customHeight="1" thickBot="1">
      <c r="A38" s="78">
        <v>4400</v>
      </c>
      <c r="B38" s="78"/>
      <c r="C38" s="59" t="s">
        <v>420</v>
      </c>
      <c r="D38" s="59" t="s">
        <v>421</v>
      </c>
      <c r="E38" s="59"/>
      <c r="F38" s="59"/>
      <c r="G38" s="87">
        <f t="shared" si="0"/>
        <v>0</v>
      </c>
      <c r="H38" s="53">
        <v>0</v>
      </c>
      <c r="I38" s="73"/>
      <c r="J38" s="59" t="s">
        <v>98</v>
      </c>
    </row>
    <row r="39" spans="1:10" ht="15" customHeight="1" thickBot="1">
      <c r="A39" s="78">
        <v>4500</v>
      </c>
      <c r="B39" s="78"/>
      <c r="C39" s="59" t="s">
        <v>422</v>
      </c>
      <c r="D39" s="59" t="s">
        <v>423</v>
      </c>
      <c r="E39" s="59"/>
      <c r="F39" s="59"/>
      <c r="G39" s="87">
        <f t="shared" si="0"/>
        <v>1</v>
      </c>
      <c r="H39" s="53">
        <v>1</v>
      </c>
      <c r="I39" s="73"/>
      <c r="J39" s="59" t="s">
        <v>98</v>
      </c>
    </row>
    <row r="40" spans="1:10" ht="15" customHeight="1" thickBot="1">
      <c r="A40" s="78">
        <v>4600</v>
      </c>
      <c r="B40" s="78"/>
      <c r="C40" s="59" t="s">
        <v>424</v>
      </c>
      <c r="D40" s="59" t="s">
        <v>425</v>
      </c>
      <c r="E40" s="59"/>
      <c r="F40" s="59"/>
      <c r="G40" s="87">
        <f t="shared" si="0"/>
        <v>0.3</v>
      </c>
      <c r="H40" s="53">
        <v>0.3</v>
      </c>
      <c r="I40" s="73"/>
      <c r="J40" s="59" t="s">
        <v>98</v>
      </c>
    </row>
    <row r="41" spans="1:10" ht="15" customHeight="1" thickBot="1">
      <c r="A41" s="78">
        <v>4700</v>
      </c>
      <c r="B41" s="78"/>
      <c r="C41" s="59" t="s">
        <v>426</v>
      </c>
      <c r="D41" s="59" t="s">
        <v>427</v>
      </c>
      <c r="E41" s="59"/>
      <c r="F41" s="59"/>
      <c r="G41" s="87">
        <f t="shared" si="0"/>
        <v>1</v>
      </c>
      <c r="H41" s="53">
        <v>1</v>
      </c>
      <c r="I41" s="73"/>
      <c r="J41" s="59" t="s">
        <v>98</v>
      </c>
    </row>
    <row r="42" spans="1:10" ht="15" customHeight="1" thickBot="1">
      <c r="A42" s="78">
        <v>4800</v>
      </c>
      <c r="B42" s="78"/>
      <c r="C42" s="59" t="s">
        <v>428</v>
      </c>
      <c r="D42" s="59" t="s">
        <v>429</v>
      </c>
      <c r="E42" s="59"/>
      <c r="F42" s="59"/>
      <c r="G42" s="87">
        <f t="shared" si="0"/>
        <v>1</v>
      </c>
      <c r="H42" s="53">
        <v>1</v>
      </c>
      <c r="I42" s="73"/>
      <c r="J42" s="59" t="s">
        <v>98</v>
      </c>
    </row>
    <row r="43" spans="1:10" ht="15" customHeight="1" thickBot="1">
      <c r="A43" s="78">
        <v>4900</v>
      </c>
      <c r="B43" s="78"/>
      <c r="C43" s="59" t="s">
        <v>430</v>
      </c>
      <c r="D43" s="59" t="s">
        <v>431</v>
      </c>
      <c r="E43" s="59"/>
      <c r="F43" s="59"/>
      <c r="G43" s="87">
        <f t="shared" si="0"/>
        <v>1</v>
      </c>
      <c r="H43" s="53">
        <v>1</v>
      </c>
      <c r="I43" s="73"/>
      <c r="J43" s="59" t="s">
        <v>98</v>
      </c>
    </row>
    <row r="44" spans="1:10" ht="15" customHeight="1" thickBot="1">
      <c r="A44" s="78">
        <v>5000</v>
      </c>
      <c r="B44" s="78"/>
      <c r="C44" s="59" t="s">
        <v>432</v>
      </c>
      <c r="D44" s="59" t="s">
        <v>433</v>
      </c>
      <c r="E44" s="59"/>
      <c r="F44" s="59"/>
      <c r="G44" s="87">
        <f t="shared" si="0"/>
        <v>1.5</v>
      </c>
      <c r="H44" s="53">
        <v>1.5</v>
      </c>
      <c r="I44" s="73"/>
      <c r="J44" s="59" t="s">
        <v>98</v>
      </c>
    </row>
    <row r="45" spans="1:10" ht="15" customHeight="1" thickBot="1">
      <c r="A45" s="78">
        <v>5100</v>
      </c>
      <c r="B45" s="78"/>
      <c r="C45" s="59" t="s">
        <v>434</v>
      </c>
      <c r="D45" s="59" t="s">
        <v>435</v>
      </c>
      <c r="E45" s="59"/>
      <c r="F45" s="59"/>
      <c r="G45" s="87">
        <f t="shared" si="0"/>
        <v>0.5</v>
      </c>
      <c r="H45" s="53">
        <v>0.5</v>
      </c>
      <c r="I45" s="73"/>
      <c r="J45" s="59" t="s">
        <v>98</v>
      </c>
    </row>
    <row r="46" spans="1:10" ht="15" customHeight="1" thickBot="1">
      <c r="A46" s="78">
        <v>5200</v>
      </c>
      <c r="B46" s="78"/>
      <c r="C46" s="59" t="s">
        <v>436</v>
      </c>
      <c r="D46" s="59" t="s">
        <v>437</v>
      </c>
      <c r="E46" s="59"/>
      <c r="F46" s="59"/>
      <c r="G46" s="87">
        <f t="shared" si="0"/>
        <v>0.2</v>
      </c>
      <c r="H46" s="53">
        <v>0.2</v>
      </c>
      <c r="I46" s="73"/>
      <c r="J46" s="59" t="s">
        <v>98</v>
      </c>
    </row>
    <row r="47" spans="1:10" ht="15" customHeight="1" thickBot="1">
      <c r="A47" s="78">
        <v>5300</v>
      </c>
      <c r="B47" s="78"/>
      <c r="C47" s="59" t="s">
        <v>438</v>
      </c>
      <c r="D47" s="59" t="s">
        <v>439</v>
      </c>
      <c r="E47" s="59"/>
      <c r="F47" s="59"/>
      <c r="G47" s="87">
        <f t="shared" si="0"/>
        <v>0.5</v>
      </c>
      <c r="H47" s="53">
        <v>0.5</v>
      </c>
      <c r="I47" s="73"/>
      <c r="J47" s="59" t="s">
        <v>98</v>
      </c>
    </row>
    <row r="48" spans="1:10" ht="15" customHeight="1" thickBot="1">
      <c r="A48" s="63">
        <v>5500</v>
      </c>
      <c r="B48" s="63"/>
      <c r="C48" s="62"/>
      <c r="D48" s="62" t="s">
        <v>246</v>
      </c>
      <c r="E48" s="62"/>
      <c r="F48" s="62"/>
      <c r="G48" s="63"/>
      <c r="H48" s="63"/>
      <c r="I48" s="63"/>
      <c r="J48" s="62"/>
    </row>
    <row r="49" spans="1:10" ht="15" customHeight="1" thickBot="1">
      <c r="A49" s="78">
        <v>5600</v>
      </c>
      <c r="B49" s="78"/>
      <c r="C49" s="59" t="s">
        <v>440</v>
      </c>
      <c r="D49" s="59" t="s">
        <v>441</v>
      </c>
      <c r="E49" s="59"/>
      <c r="F49" s="59"/>
      <c r="G49" s="87">
        <f t="shared" si="0"/>
        <v>1</v>
      </c>
      <c r="H49" s="53">
        <v>1</v>
      </c>
      <c r="I49" s="73"/>
      <c r="J49" s="59" t="s">
        <v>98</v>
      </c>
    </row>
    <row r="50" spans="1:10" ht="15" customHeight="1" thickBot="1">
      <c r="A50" s="78">
        <v>5700</v>
      </c>
      <c r="B50" s="78"/>
      <c r="C50" s="59" t="s">
        <v>442</v>
      </c>
      <c r="D50" s="59" t="s">
        <v>443</v>
      </c>
      <c r="E50" s="59"/>
      <c r="F50" s="59"/>
      <c r="G50" s="87">
        <f t="shared" si="0"/>
        <v>1.5</v>
      </c>
      <c r="H50" s="53">
        <v>1.5</v>
      </c>
      <c r="I50" s="73"/>
      <c r="J50" s="59" t="s">
        <v>98</v>
      </c>
    </row>
    <row r="51" spans="1:10" ht="15" customHeight="1" thickBot="1">
      <c r="A51" s="63">
        <v>5900</v>
      </c>
      <c r="B51" s="63"/>
      <c r="C51" s="62"/>
      <c r="D51" s="62" t="s">
        <v>229</v>
      </c>
      <c r="E51" s="62"/>
      <c r="F51" s="62"/>
      <c r="G51" s="63"/>
      <c r="H51" s="63"/>
      <c r="I51" s="63"/>
      <c r="J51" s="62"/>
    </row>
    <row r="52" spans="1:10" ht="15" customHeight="1" thickBot="1">
      <c r="A52" s="78">
        <v>6000</v>
      </c>
      <c r="B52" s="78"/>
      <c r="C52" s="59" t="s">
        <v>444</v>
      </c>
      <c r="D52" s="59" t="s">
        <v>445</v>
      </c>
      <c r="E52" s="59"/>
      <c r="F52" s="59"/>
      <c r="G52" s="87">
        <f t="shared" si="0"/>
        <v>1</v>
      </c>
      <c r="H52" s="53">
        <v>1</v>
      </c>
      <c r="I52" s="73"/>
      <c r="J52" s="59" t="s">
        <v>98</v>
      </c>
    </row>
    <row r="53" spans="1:10" ht="15" customHeight="1" thickBot="1">
      <c r="A53" s="78">
        <v>6100</v>
      </c>
      <c r="B53" s="78"/>
      <c r="C53" s="59" t="s">
        <v>446</v>
      </c>
      <c r="D53" s="59" t="s">
        <v>447</v>
      </c>
      <c r="E53" s="59"/>
      <c r="F53" s="59"/>
      <c r="G53" s="87">
        <f t="shared" si="0"/>
        <v>1.5</v>
      </c>
      <c r="H53" s="53">
        <v>1.5</v>
      </c>
      <c r="I53" s="73"/>
      <c r="J53" s="59" t="s">
        <v>98</v>
      </c>
    </row>
    <row r="54" spans="1:10" ht="15" customHeight="1" thickBot="1">
      <c r="A54" s="63">
        <v>6300</v>
      </c>
      <c r="B54" s="63"/>
      <c r="C54" s="62"/>
      <c r="D54" s="62" t="s">
        <v>210</v>
      </c>
      <c r="E54" s="62"/>
      <c r="F54" s="62"/>
      <c r="G54" s="63"/>
      <c r="H54" s="63"/>
      <c r="I54" s="63"/>
      <c r="J54" s="62"/>
    </row>
    <row r="55" spans="1:10" ht="15" customHeight="1" thickBot="1">
      <c r="A55" s="78">
        <v>6400</v>
      </c>
      <c r="B55" s="78"/>
      <c r="C55" s="59" t="s">
        <v>448</v>
      </c>
      <c r="D55" s="59" t="s">
        <v>449</v>
      </c>
      <c r="E55" s="59"/>
      <c r="F55" s="59"/>
      <c r="G55" s="87">
        <f t="shared" si="0"/>
        <v>1</v>
      </c>
      <c r="H55" s="53">
        <v>1</v>
      </c>
      <c r="I55" s="73"/>
      <c r="J55" s="59" t="s">
        <v>98</v>
      </c>
    </row>
    <row r="56" spans="1:10" ht="15" customHeight="1" thickBot="1">
      <c r="A56" s="78">
        <v>6500</v>
      </c>
      <c r="B56" s="78"/>
      <c r="C56" s="59" t="s">
        <v>450</v>
      </c>
      <c r="D56" s="59" t="s">
        <v>451</v>
      </c>
      <c r="E56" s="59"/>
      <c r="F56" s="59"/>
      <c r="G56" s="87">
        <f t="shared" si="0"/>
        <v>1.5</v>
      </c>
      <c r="H56" s="53">
        <v>1.5</v>
      </c>
      <c r="I56" s="73"/>
      <c r="J56" s="59" t="s">
        <v>98</v>
      </c>
    </row>
    <row r="57" spans="1:10" ht="15" customHeight="1" thickBot="1">
      <c r="A57" s="63">
        <v>6700</v>
      </c>
      <c r="B57" s="63"/>
      <c r="C57" s="62"/>
      <c r="D57" s="62" t="s">
        <v>204</v>
      </c>
      <c r="E57" s="62"/>
      <c r="F57" s="62"/>
      <c r="G57" s="63"/>
      <c r="H57" s="63"/>
      <c r="I57" s="63"/>
      <c r="J57" s="62"/>
    </row>
    <row r="58" spans="1:10" ht="15" customHeight="1" thickBot="1">
      <c r="A58" s="78">
        <v>6800</v>
      </c>
      <c r="B58" s="78"/>
      <c r="C58" s="59" t="s">
        <v>452</v>
      </c>
      <c r="D58" s="59" t="s">
        <v>453</v>
      </c>
      <c r="E58" s="59"/>
      <c r="F58" s="59"/>
      <c r="G58" s="87">
        <f t="shared" si="0"/>
        <v>1</v>
      </c>
      <c r="H58" s="53">
        <v>1</v>
      </c>
      <c r="I58" s="73"/>
      <c r="J58" s="59" t="s">
        <v>98</v>
      </c>
    </row>
    <row r="59" spans="1:10" ht="15" customHeight="1" thickBot="1">
      <c r="A59" s="78">
        <v>6900</v>
      </c>
      <c r="B59" s="78"/>
      <c r="C59" s="59" t="s">
        <v>454</v>
      </c>
      <c r="D59" s="59" t="s">
        <v>455</v>
      </c>
      <c r="E59" s="59"/>
      <c r="F59" s="59"/>
      <c r="G59" s="87">
        <f t="shared" si="0"/>
        <v>1.5</v>
      </c>
      <c r="H59" s="53">
        <v>1.5</v>
      </c>
      <c r="I59" s="73"/>
      <c r="J59" s="59" t="s">
        <v>98</v>
      </c>
    </row>
    <row r="60" spans="1:10" ht="15" customHeight="1" thickBot="1">
      <c r="A60" s="63">
        <v>7100</v>
      </c>
      <c r="B60" s="63"/>
      <c r="C60" s="62"/>
      <c r="D60" s="62" t="s">
        <v>190</v>
      </c>
      <c r="E60" s="62"/>
      <c r="F60" s="62"/>
      <c r="G60" s="63"/>
      <c r="H60" s="63"/>
      <c r="I60" s="63"/>
      <c r="J60" s="62"/>
    </row>
    <row r="61" spans="1:10" ht="15" customHeight="1" thickBot="1">
      <c r="A61" s="78">
        <v>7200</v>
      </c>
      <c r="B61" s="78"/>
      <c r="C61" s="59" t="s">
        <v>456</v>
      </c>
      <c r="D61" s="59" t="s">
        <v>457</v>
      </c>
      <c r="E61" s="59"/>
      <c r="F61" s="59"/>
      <c r="G61" s="87">
        <f t="shared" si="0"/>
        <v>0</v>
      </c>
      <c r="H61" s="53">
        <v>0</v>
      </c>
      <c r="I61" s="73"/>
      <c r="J61" s="59" t="s">
        <v>98</v>
      </c>
    </row>
    <row r="62" spans="1:10" ht="15" customHeight="1" thickBot="1">
      <c r="A62" s="78">
        <v>7300</v>
      </c>
      <c r="B62" s="78"/>
      <c r="C62" s="59" t="s">
        <v>458</v>
      </c>
      <c r="D62" s="59" t="s">
        <v>459</v>
      </c>
      <c r="E62" s="59"/>
      <c r="F62" s="59"/>
      <c r="G62" s="87">
        <f t="shared" si="0"/>
        <v>1.5</v>
      </c>
      <c r="H62" s="53">
        <v>1.5</v>
      </c>
      <c r="I62" s="73"/>
      <c r="J62" s="59" t="s">
        <v>98</v>
      </c>
    </row>
    <row r="63" spans="1:10" ht="15" customHeight="1" thickBot="1">
      <c r="A63" s="63">
        <v>7500</v>
      </c>
      <c r="B63" s="63"/>
      <c r="C63" s="62"/>
      <c r="D63" s="62" t="s">
        <v>177</v>
      </c>
      <c r="E63" s="62"/>
      <c r="F63" s="62"/>
      <c r="G63" s="63"/>
      <c r="H63" s="63"/>
      <c r="I63" s="63"/>
      <c r="J63" s="62"/>
    </row>
    <row r="64" spans="1:10" ht="15" customHeight="1" thickBot="1">
      <c r="A64" s="78">
        <v>7600</v>
      </c>
      <c r="B64" s="78"/>
      <c r="C64" s="59" t="s">
        <v>460</v>
      </c>
      <c r="D64" s="59" t="s">
        <v>461</v>
      </c>
      <c r="E64" s="59"/>
      <c r="F64" s="59"/>
      <c r="G64" s="87">
        <f t="shared" si="0"/>
        <v>0</v>
      </c>
      <c r="H64" s="53">
        <v>0</v>
      </c>
      <c r="I64" s="73"/>
      <c r="J64" s="59" t="s">
        <v>98</v>
      </c>
    </row>
    <row r="65" spans="1:10" ht="15" customHeight="1" thickBot="1">
      <c r="A65" s="78">
        <v>7700</v>
      </c>
      <c r="B65" s="78"/>
      <c r="C65" s="59" t="s">
        <v>462</v>
      </c>
      <c r="D65" s="59" t="s">
        <v>463</v>
      </c>
      <c r="E65" s="59"/>
      <c r="F65" s="59"/>
      <c r="G65" s="87">
        <f t="shared" si="0"/>
        <v>0.5</v>
      </c>
      <c r="H65" s="53">
        <v>0.5</v>
      </c>
      <c r="I65" s="73"/>
      <c r="J65" s="59" t="s">
        <v>98</v>
      </c>
    </row>
    <row r="66" spans="1:10" ht="15" customHeight="1" thickBot="1">
      <c r="A66" s="63">
        <v>7900</v>
      </c>
      <c r="B66" s="63"/>
      <c r="C66" s="62"/>
      <c r="D66" s="62" t="s">
        <v>166</v>
      </c>
      <c r="E66" s="62"/>
      <c r="F66" s="62"/>
      <c r="G66" s="63"/>
      <c r="H66" s="63"/>
      <c r="I66" s="63"/>
      <c r="J66" s="62"/>
    </row>
    <row r="67" spans="1:10" ht="15" customHeight="1" thickBot="1">
      <c r="A67" s="78">
        <v>8000</v>
      </c>
      <c r="B67" s="78"/>
      <c r="C67" s="59" t="s">
        <v>464</v>
      </c>
      <c r="D67" s="59" t="s">
        <v>465</v>
      </c>
      <c r="E67" s="59"/>
      <c r="F67" s="59"/>
      <c r="G67" s="87">
        <f t="shared" si="0"/>
        <v>0</v>
      </c>
      <c r="H67" s="53">
        <v>0</v>
      </c>
      <c r="I67" s="73"/>
      <c r="J67" s="59" t="s">
        <v>98</v>
      </c>
    </row>
    <row r="68" spans="1:10" ht="15" customHeight="1" thickBot="1">
      <c r="A68" s="78">
        <v>8100</v>
      </c>
      <c r="B68" s="78"/>
      <c r="C68" s="59" t="s">
        <v>466</v>
      </c>
      <c r="D68" s="59" t="s">
        <v>467</v>
      </c>
      <c r="E68" s="59"/>
      <c r="F68" s="59"/>
      <c r="G68" s="87">
        <f t="shared" si="0"/>
        <v>0.5</v>
      </c>
      <c r="H68" s="53">
        <v>0.5</v>
      </c>
      <c r="I68" s="73"/>
      <c r="J68" s="59" t="s">
        <v>98</v>
      </c>
    </row>
    <row r="69" spans="1:10" ht="15" customHeight="1" thickBot="1">
      <c r="A69" s="63">
        <v>8300</v>
      </c>
      <c r="B69" s="63"/>
      <c r="C69" s="62"/>
      <c r="D69" s="62" t="s">
        <v>147</v>
      </c>
      <c r="E69" s="62"/>
      <c r="F69" s="62"/>
      <c r="G69" s="63"/>
      <c r="H69" s="63"/>
      <c r="I69" s="63"/>
      <c r="J69" s="62"/>
    </row>
    <row r="70" spans="1:10" ht="15" customHeight="1" thickBot="1">
      <c r="A70" s="78">
        <v>8400</v>
      </c>
      <c r="B70" s="78"/>
      <c r="C70" s="59" t="s">
        <v>468</v>
      </c>
      <c r="D70" s="59" t="s">
        <v>469</v>
      </c>
      <c r="E70" s="59"/>
      <c r="F70" s="59"/>
      <c r="G70" s="87">
        <f t="shared" ref="G70:G80" si="1">IF(I70="",H70,I70)</f>
        <v>1</v>
      </c>
      <c r="H70" s="53">
        <v>1</v>
      </c>
      <c r="I70" s="73"/>
      <c r="J70" s="59" t="s">
        <v>98</v>
      </c>
    </row>
    <row r="71" spans="1:10" ht="15" customHeight="1" thickBot="1">
      <c r="A71" s="78">
        <v>8500</v>
      </c>
      <c r="B71" s="78"/>
      <c r="C71" s="59" t="s">
        <v>470</v>
      </c>
      <c r="D71" s="59" t="s">
        <v>471</v>
      </c>
      <c r="E71" s="59"/>
      <c r="F71" s="59"/>
      <c r="G71" s="87">
        <f t="shared" si="1"/>
        <v>2</v>
      </c>
      <c r="H71" s="53">
        <v>2</v>
      </c>
      <c r="I71" s="73"/>
      <c r="J71" s="59" t="s">
        <v>98</v>
      </c>
    </row>
    <row r="72" spans="1:10" ht="15" customHeight="1" thickBot="1">
      <c r="A72" s="63">
        <v>8700</v>
      </c>
      <c r="B72" s="63"/>
      <c r="C72" s="62"/>
      <c r="D72" s="62" t="s">
        <v>145</v>
      </c>
      <c r="E72" s="62"/>
      <c r="F72" s="62"/>
      <c r="G72" s="63"/>
      <c r="H72" s="63"/>
      <c r="I72" s="63"/>
      <c r="J72" s="62"/>
    </row>
    <row r="73" spans="1:10" ht="15" customHeight="1" thickBot="1">
      <c r="A73" s="78">
        <v>8800</v>
      </c>
      <c r="B73" s="78"/>
      <c r="C73" s="59" t="s">
        <v>472</v>
      </c>
      <c r="D73" s="59" t="s">
        <v>473</v>
      </c>
      <c r="E73" s="59"/>
      <c r="F73" s="59"/>
      <c r="G73" s="87">
        <f t="shared" si="1"/>
        <v>0</v>
      </c>
      <c r="H73" s="53">
        <v>0</v>
      </c>
      <c r="I73" s="73"/>
      <c r="J73" s="59" t="s">
        <v>98</v>
      </c>
    </row>
    <row r="74" spans="1:10" ht="15" customHeight="1" thickBot="1">
      <c r="A74" s="78">
        <v>8900</v>
      </c>
      <c r="B74" s="78"/>
      <c r="C74" s="59" t="s">
        <v>474</v>
      </c>
      <c r="D74" s="59" t="s">
        <v>475</v>
      </c>
      <c r="E74" s="59"/>
      <c r="F74" s="59"/>
      <c r="G74" s="87">
        <f t="shared" si="1"/>
        <v>0.5</v>
      </c>
      <c r="H74" s="53">
        <v>0.5</v>
      </c>
      <c r="I74" s="73"/>
      <c r="J74" s="59" t="s">
        <v>98</v>
      </c>
    </row>
    <row r="75" spans="1:10" ht="15" customHeight="1" thickBot="1">
      <c r="A75" s="63">
        <v>9100</v>
      </c>
      <c r="B75" s="63"/>
      <c r="C75" s="62"/>
      <c r="D75" s="62" t="s">
        <v>136</v>
      </c>
      <c r="E75" s="62"/>
      <c r="F75" s="62"/>
      <c r="G75" s="63"/>
      <c r="H75" s="63"/>
      <c r="I75" s="62"/>
      <c r="J75" s="62"/>
    </row>
    <row r="76" spans="1:10" ht="15" customHeight="1" thickBot="1">
      <c r="A76" s="78">
        <v>9200</v>
      </c>
      <c r="B76" s="78"/>
      <c r="C76" s="59" t="s">
        <v>476</v>
      </c>
      <c r="D76" s="59" t="s">
        <v>477</v>
      </c>
      <c r="E76" s="59"/>
      <c r="F76" s="59"/>
      <c r="G76" s="87">
        <f t="shared" si="1"/>
        <v>0</v>
      </c>
      <c r="H76" s="53">
        <v>0</v>
      </c>
      <c r="I76" s="73"/>
      <c r="J76" s="59" t="s">
        <v>98</v>
      </c>
    </row>
    <row r="77" spans="1:10" ht="15" customHeight="1" thickBot="1">
      <c r="A77" s="78">
        <v>9300</v>
      </c>
      <c r="B77" s="78"/>
      <c r="C77" s="59" t="s">
        <v>478</v>
      </c>
      <c r="D77" s="59" t="s">
        <v>479</v>
      </c>
      <c r="E77" s="59"/>
      <c r="F77" s="59"/>
      <c r="G77" s="87">
        <f t="shared" si="1"/>
        <v>0.5</v>
      </c>
      <c r="H77" s="53">
        <v>0.5</v>
      </c>
      <c r="I77" s="73"/>
      <c r="J77" s="59" t="s">
        <v>98</v>
      </c>
    </row>
    <row r="78" spans="1:10" ht="15" customHeight="1" thickBot="1">
      <c r="A78" s="63">
        <v>9500</v>
      </c>
      <c r="B78" s="63"/>
      <c r="C78" s="62"/>
      <c r="D78" s="62" t="s">
        <v>480</v>
      </c>
      <c r="E78" s="62"/>
      <c r="F78" s="62"/>
      <c r="G78" s="63"/>
      <c r="H78" s="63"/>
      <c r="I78" s="63"/>
      <c r="J78" s="62"/>
    </row>
    <row r="79" spans="1:10" ht="15" customHeight="1" thickBot="1">
      <c r="A79" s="78">
        <v>9600</v>
      </c>
      <c r="B79" s="78"/>
      <c r="C79" s="59" t="s">
        <v>481</v>
      </c>
      <c r="D79" s="59" t="s">
        <v>482</v>
      </c>
      <c r="E79" s="59"/>
      <c r="F79" s="59"/>
      <c r="G79" s="87">
        <f t="shared" si="1"/>
        <v>0.5</v>
      </c>
      <c r="H79" s="53">
        <v>0.5</v>
      </c>
      <c r="I79" s="73"/>
      <c r="J79" s="59" t="s">
        <v>98</v>
      </c>
    </row>
    <row r="80" spans="1:10" ht="15" customHeight="1" thickBot="1">
      <c r="A80" s="78">
        <v>9700</v>
      </c>
      <c r="B80" s="78"/>
      <c r="C80" s="59" t="s">
        <v>483</v>
      </c>
      <c r="D80" s="59" t="s">
        <v>484</v>
      </c>
      <c r="E80" s="59"/>
      <c r="F80" s="59"/>
      <c r="G80" s="87">
        <f t="shared" si="1"/>
        <v>0.5</v>
      </c>
      <c r="H80" s="53">
        <v>0.5</v>
      </c>
      <c r="I80" s="73"/>
      <c r="J80" s="59" t="s">
        <v>98</v>
      </c>
    </row>
    <row r="81" spans="1:10" ht="15" customHeight="1" thickTop="1" thickBot="1">
      <c r="A81" s="62"/>
      <c r="B81" s="62"/>
      <c r="C81" s="62"/>
      <c r="D81" s="62"/>
      <c r="E81" s="62"/>
      <c r="F81" s="62"/>
      <c r="G81" s="613" t="s">
        <v>2647</v>
      </c>
      <c r="H81" s="613"/>
      <c r="I81" s="613"/>
      <c r="J81" s="613"/>
    </row>
    <row r="82" spans="1:10" ht="15" customHeight="1" thickTop="1"/>
  </sheetData>
  <sheetProtection password="FDAF" sheet="1" objects="1" scenarios="1" selectLockedCells="1"/>
  <mergeCells count="2">
    <mergeCell ref="G2:J2"/>
    <mergeCell ref="G81:J81"/>
  </mergeCells>
  <hyperlinks>
    <hyperlink ref="G2" location="Nutzung_Betrieb" display="zurück zu &quot;Nutzung und Betrieb&quot;"/>
    <hyperlink ref="G2:J2" location="'Nutzung &amp; Betrieb'!A1" display="zurück zu &quot;Nutzung &amp; Betrieb&quot;"/>
    <hyperlink ref="G81" location="Nutzung_Betrieb" display="zurück zu &quot;Nutzung und Betrieb&quot;"/>
    <hyperlink ref="G81:J81" location="'Nutzung &amp; Betrieb'!A1" display="zurück zu &quot;Nutzung &amp; Betrieb&quot;"/>
  </hyperlinks>
  <pageMargins left="0.78740157480314965" right="0.78740157480314965" top="0.98425196850393704" bottom="0.98425196850393704" header="0.51181102362204722" footer="0.51181102362204722"/>
  <pageSetup paperSize="9" fitToHeight="0" orientation="portrait" r:id="rId1"/>
  <headerFooter>
    <oddFooter>&amp;L&amp;F&amp;C&amp;A&amp;R&amp;P von &amp;N</oddFooter>
  </headerFooter>
  <legacyDrawing r:id="rId2"/>
</worksheet>
</file>

<file path=xl/worksheets/sheet18.xml><?xml version="1.0" encoding="utf-8"?>
<worksheet xmlns="http://schemas.openxmlformats.org/spreadsheetml/2006/main" xmlns:r="http://schemas.openxmlformats.org/officeDocument/2006/relationships">
  <sheetPr codeName="Tabelle9">
    <tabColor theme="8" tint="0.79998168889431442"/>
  </sheetPr>
  <dimension ref="A1:J107"/>
  <sheetViews>
    <sheetView zoomScaleNormal="100" workbookViewId="0">
      <pane ySplit="1" topLeftCell="A2" activePane="bottomLeft" state="frozen"/>
      <selection activeCell="C23" sqref="C23:M24"/>
      <selection pane="bottomLeft" activeCell="I4" sqref="I4"/>
    </sheetView>
  </sheetViews>
  <sheetFormatPr baseColWidth="10" defaultRowHeight="15" customHeight="1"/>
  <cols>
    <col min="1" max="2" width="5.1640625" style="106" hidden="1" customWidth="1"/>
    <col min="3" max="3" width="11.6640625" style="106" hidden="1" customWidth="1"/>
    <col min="4" max="4" width="41.6640625" style="106" bestFit="1" customWidth="1"/>
    <col min="5" max="5" width="24.83203125" style="106" hidden="1" customWidth="1"/>
    <col min="6" max="6" width="43.33203125" style="106" hidden="1" customWidth="1"/>
    <col min="7" max="7" width="12.83203125" style="106" customWidth="1"/>
    <col min="8" max="8" width="12.83203125" style="106" hidden="1" customWidth="1"/>
    <col min="9" max="9" width="14.83203125" style="106" customWidth="1"/>
    <col min="10" max="10" width="12.83203125" style="106" customWidth="1"/>
    <col min="11" max="16384" width="12" style="106"/>
  </cols>
  <sheetData>
    <row r="1" spans="1:10" ht="15" customHeight="1" thickBot="1">
      <c r="A1" s="344" t="s">
        <v>1</v>
      </c>
      <c r="B1" s="344"/>
      <c r="C1" s="344" t="s">
        <v>2</v>
      </c>
      <c r="D1" s="344" t="s">
        <v>66</v>
      </c>
      <c r="E1" s="344" t="s">
        <v>89</v>
      </c>
      <c r="F1" s="344" t="s">
        <v>90</v>
      </c>
      <c r="G1" s="344" t="s">
        <v>1207</v>
      </c>
      <c r="H1" s="344" t="s">
        <v>1208</v>
      </c>
      <c r="I1" s="344" t="s">
        <v>1206</v>
      </c>
      <c r="J1" s="344" t="s">
        <v>1484</v>
      </c>
    </row>
    <row r="2" spans="1:10" ht="15" customHeight="1" thickTop="1" thickBot="1">
      <c r="A2" s="172"/>
      <c r="B2" s="172"/>
      <c r="C2" s="172"/>
      <c r="D2" s="172" t="s">
        <v>2281</v>
      </c>
      <c r="E2" s="172"/>
      <c r="F2" s="172"/>
      <c r="G2" s="613" t="s">
        <v>2057</v>
      </c>
      <c r="H2" s="613"/>
      <c r="I2" s="613"/>
      <c r="J2" s="613"/>
    </row>
    <row r="3" spans="1:10" ht="15" customHeight="1" thickTop="1" thickBot="1">
      <c r="A3" s="293">
        <v>100</v>
      </c>
      <c r="B3" s="293"/>
      <c r="C3" s="172"/>
      <c r="D3" s="172" t="s">
        <v>1630</v>
      </c>
      <c r="E3" s="172"/>
      <c r="F3" s="172"/>
      <c r="G3" s="289"/>
      <c r="H3" s="289"/>
      <c r="I3" s="289"/>
      <c r="J3" s="289"/>
    </row>
    <row r="4" spans="1:10" ht="15" customHeight="1" thickBot="1">
      <c r="A4" s="55">
        <v>200</v>
      </c>
      <c r="B4" s="55"/>
      <c r="C4" s="194" t="s">
        <v>486</v>
      </c>
      <c r="D4" s="194" t="s">
        <v>1619</v>
      </c>
      <c r="E4" s="194" t="s">
        <v>2440</v>
      </c>
      <c r="F4" s="194"/>
      <c r="G4" s="389">
        <f t="shared" ref="G4:G105" si="0">IF(I4="",H4,I4)</f>
        <v>0.18</v>
      </c>
      <c r="H4" s="322">
        <f>0.15*(1+VLOOKUP("USTENERG",Umsatzsteuersaetze,5,0))</f>
        <v>0.18</v>
      </c>
      <c r="I4" s="326"/>
      <c r="J4" s="194" t="s">
        <v>487</v>
      </c>
    </row>
    <row r="5" spans="1:10" ht="15" customHeight="1" thickBot="1">
      <c r="A5" s="55"/>
      <c r="B5" s="55"/>
      <c r="C5" s="194" t="s">
        <v>2162</v>
      </c>
      <c r="D5" s="194" t="s">
        <v>2148</v>
      </c>
      <c r="E5" s="194" t="s">
        <v>2441</v>
      </c>
      <c r="F5" s="194"/>
      <c r="G5" s="389">
        <f t="shared" si="0"/>
        <v>0.219</v>
      </c>
      <c r="H5" s="322">
        <f>0.1825*(1+VLOOKUP("USTENERG",Umsatzsteuersaetze,5,0))</f>
        <v>0.219</v>
      </c>
      <c r="I5" s="326"/>
      <c r="J5" s="194" t="s">
        <v>487</v>
      </c>
    </row>
    <row r="6" spans="1:10" ht="15" customHeight="1" thickBot="1">
      <c r="A6" s="55">
        <v>300</v>
      </c>
      <c r="B6" s="55"/>
      <c r="C6" s="194" t="s">
        <v>488</v>
      </c>
      <c r="D6" s="194" t="s">
        <v>1627</v>
      </c>
      <c r="E6" s="194" t="s">
        <v>2440</v>
      </c>
      <c r="F6" s="194"/>
      <c r="G6" s="389">
        <f t="shared" si="0"/>
        <v>7.2996000000000005E-2</v>
      </c>
      <c r="H6" s="322">
        <f>0.06083*(1+VLOOKUP("USTENERG",Umsatzsteuersaetze,5,0))</f>
        <v>7.2996000000000005E-2</v>
      </c>
      <c r="I6" s="326"/>
      <c r="J6" s="194" t="s">
        <v>487</v>
      </c>
    </row>
    <row r="7" spans="1:10" ht="15" customHeight="1" thickBot="1">
      <c r="A7" s="55"/>
      <c r="B7" s="55"/>
      <c r="C7" s="194" t="s">
        <v>1568</v>
      </c>
      <c r="D7" s="194" t="s">
        <v>1620</v>
      </c>
      <c r="E7" s="194" t="s">
        <v>2442</v>
      </c>
      <c r="F7" s="194"/>
      <c r="G7" s="389">
        <f t="shared" si="0"/>
        <v>9.2604000000000006E-2</v>
      </c>
      <c r="H7" s="322">
        <f>0.07717*(1+VLOOKUP("USTENERG",Umsatzsteuersaetze,5,0))</f>
        <v>9.2604000000000006E-2</v>
      </c>
      <c r="I7" s="326"/>
      <c r="J7" s="194" t="s">
        <v>487</v>
      </c>
    </row>
    <row r="8" spans="1:10" ht="15" customHeight="1" thickBot="1">
      <c r="A8" s="55"/>
      <c r="B8" s="55"/>
      <c r="C8" s="194" t="s">
        <v>1618</v>
      </c>
      <c r="D8" s="194" t="s">
        <v>1628</v>
      </c>
      <c r="E8" s="194"/>
      <c r="F8" s="194"/>
      <c r="G8" s="389">
        <f t="shared" si="0"/>
        <v>0</v>
      </c>
      <c r="H8" s="322"/>
      <c r="I8" s="390"/>
      <c r="J8" s="194" t="s">
        <v>487</v>
      </c>
    </row>
    <row r="9" spans="1:10" ht="15" customHeight="1" thickBot="1">
      <c r="A9" s="55"/>
      <c r="B9" s="55"/>
      <c r="C9" s="194" t="s">
        <v>1567</v>
      </c>
      <c r="D9" s="194" t="s">
        <v>1629</v>
      </c>
      <c r="E9" s="194" t="s">
        <v>2443</v>
      </c>
      <c r="F9" s="194"/>
      <c r="G9" s="389">
        <f t="shared" ref="G9:G10" si="1">IF(I9="",H9,I9)</f>
        <v>5.4204000000000002E-2</v>
      </c>
      <c r="H9" s="322">
        <f>0.04517*(1+VLOOKUP("USTENERG",Umsatzsteuersaetze,5,0))</f>
        <v>5.4204000000000002E-2</v>
      </c>
      <c r="I9" s="326"/>
      <c r="J9" s="194" t="s">
        <v>487</v>
      </c>
    </row>
    <row r="10" spans="1:10" ht="15" customHeight="1" thickBot="1">
      <c r="A10" s="55"/>
      <c r="B10" s="55"/>
      <c r="C10" s="194" t="s">
        <v>2163</v>
      </c>
      <c r="D10" s="194" t="s">
        <v>2147</v>
      </c>
      <c r="E10" s="194" t="s">
        <v>2444</v>
      </c>
      <c r="F10" s="194"/>
      <c r="G10" s="389">
        <f t="shared" si="1"/>
        <v>4.6199999999999998E-2</v>
      </c>
      <c r="H10" s="322">
        <f>0.0385*(1+VLOOKUP("USTENERG",Umsatzsteuersaetze,5,0))</f>
        <v>4.6199999999999998E-2</v>
      </c>
      <c r="I10" s="326"/>
      <c r="J10" s="194" t="s">
        <v>487</v>
      </c>
    </row>
    <row r="11" spans="1:10" ht="15" customHeight="1" thickBot="1">
      <c r="A11" s="293"/>
      <c r="B11" s="293"/>
      <c r="C11" s="172"/>
      <c r="D11" s="172" t="s">
        <v>2065</v>
      </c>
      <c r="E11" s="172"/>
      <c r="F11" s="172"/>
      <c r="G11" s="391"/>
      <c r="H11" s="293"/>
      <c r="I11" s="293"/>
      <c r="J11" s="172"/>
    </row>
    <row r="12" spans="1:10" ht="15" customHeight="1" thickBot="1">
      <c r="A12" s="108"/>
      <c r="B12" s="108"/>
      <c r="C12" s="68"/>
      <c r="D12" s="194" t="s">
        <v>2066</v>
      </c>
      <c r="E12" s="68"/>
      <c r="F12" s="68"/>
      <c r="G12" s="389" t="str">
        <f>IF(I12="Bitte auswählen",H12,I12)</f>
        <v>nein</v>
      </c>
      <c r="H12" s="472" t="s">
        <v>1269</v>
      </c>
      <c r="I12" s="392" t="s">
        <v>2071</v>
      </c>
      <c r="J12" s="194"/>
    </row>
    <row r="13" spans="1:10" ht="15" customHeight="1" thickBot="1">
      <c r="A13" s="55"/>
      <c r="B13" s="55"/>
      <c r="C13" s="194" t="s">
        <v>2375</v>
      </c>
      <c r="D13" s="194" t="s">
        <v>2065</v>
      </c>
      <c r="E13" s="194" t="s">
        <v>2743</v>
      </c>
      <c r="F13" s="194"/>
      <c r="G13" s="389">
        <f t="shared" si="0"/>
        <v>3.49E-2</v>
      </c>
      <c r="H13" s="322">
        <f>IF(G12="ja",0.125*(1+VLOOKUP("USTPVEIN",Umsatzsteuersaetze,5,0)),0.0349*(1+VLOOKUP("USTPVEIN",Umsatzsteuersaetze,5,0)))</f>
        <v>3.49E-2</v>
      </c>
      <c r="I13" s="326"/>
      <c r="J13" s="194" t="s">
        <v>487</v>
      </c>
    </row>
    <row r="14" spans="1:10" ht="15" customHeight="1" thickTop="1" thickBot="1">
      <c r="A14" s="293"/>
      <c r="B14" s="293"/>
      <c r="C14" s="172"/>
      <c r="D14" s="172"/>
      <c r="E14" s="172"/>
      <c r="F14" s="172"/>
      <c r="G14" s="613" t="s">
        <v>2057</v>
      </c>
      <c r="H14" s="613"/>
      <c r="I14" s="613"/>
      <c r="J14" s="613"/>
    </row>
    <row r="15" spans="1:10" ht="15" customHeight="1" thickTop="1"/>
    <row r="93" spans="1:10" ht="15" customHeight="1" thickBot="1"/>
    <row r="94" spans="1:10" ht="15" customHeight="1" thickTop="1" thickBot="1">
      <c r="A94" s="293"/>
      <c r="B94" s="293"/>
      <c r="C94" s="172"/>
      <c r="D94" s="172" t="s">
        <v>780</v>
      </c>
      <c r="E94" s="172"/>
      <c r="F94" s="172"/>
      <c r="G94" s="613" t="s">
        <v>2647</v>
      </c>
      <c r="H94" s="613"/>
      <c r="I94" s="613"/>
      <c r="J94" s="613"/>
    </row>
    <row r="95" spans="1:10" s="23" customFormat="1" ht="15" customHeight="1" thickTop="1" thickBot="1">
      <c r="A95" s="293">
        <v>1800</v>
      </c>
      <c r="B95" s="293"/>
      <c r="C95" s="172"/>
      <c r="D95" s="172" t="s">
        <v>494</v>
      </c>
      <c r="E95" s="172"/>
      <c r="F95" s="172"/>
      <c r="G95" s="172"/>
      <c r="H95" s="293"/>
      <c r="I95" s="293"/>
      <c r="J95" s="172"/>
    </row>
    <row r="96" spans="1:10" s="23" customFormat="1" ht="15" customHeight="1" thickBot="1">
      <c r="A96" s="55">
        <v>1900</v>
      </c>
      <c r="B96" s="55"/>
      <c r="C96" s="194" t="s">
        <v>495</v>
      </c>
      <c r="D96" s="194" t="s">
        <v>496</v>
      </c>
      <c r="E96" s="194" t="s">
        <v>1173</v>
      </c>
      <c r="F96" s="194"/>
      <c r="G96" s="325">
        <f t="shared" si="0"/>
        <v>1.5727</v>
      </c>
      <c r="H96" s="322">
        <f>1.5727*(1+VLOOKUP("USTWASS",Umsatzsteuersaetze,5,0))</f>
        <v>1.5727</v>
      </c>
      <c r="I96" s="326"/>
      <c r="J96" s="194" t="s">
        <v>96</v>
      </c>
    </row>
    <row r="97" spans="1:10" s="23" customFormat="1" ht="15" customHeight="1" thickBot="1">
      <c r="A97" s="55">
        <v>2000</v>
      </c>
      <c r="B97" s="55"/>
      <c r="C97" s="194" t="s">
        <v>497</v>
      </c>
      <c r="D97" s="194" t="s">
        <v>498</v>
      </c>
      <c r="E97" s="194" t="s">
        <v>1173</v>
      </c>
      <c r="F97" s="194"/>
      <c r="G97" s="325">
        <f t="shared" si="0"/>
        <v>1.7181999999999999</v>
      </c>
      <c r="H97" s="322">
        <f>1.7182*(1+VLOOKUP("USTWASS",Umsatzsteuersaetze,5,0))</f>
        <v>1.7181999999999999</v>
      </c>
      <c r="I97" s="326"/>
      <c r="J97" s="194" t="s">
        <v>96</v>
      </c>
    </row>
    <row r="98" spans="1:10" s="23" customFormat="1" ht="15" customHeight="1" thickBot="1">
      <c r="A98" s="55">
        <v>2100</v>
      </c>
      <c r="B98" s="55"/>
      <c r="C98" s="194" t="s">
        <v>499</v>
      </c>
      <c r="D98" s="194" t="s">
        <v>500</v>
      </c>
      <c r="E98" s="194" t="s">
        <v>2677</v>
      </c>
      <c r="F98" s="194" t="s">
        <v>2676</v>
      </c>
      <c r="G98" s="325">
        <f t="shared" si="0"/>
        <v>14600</v>
      </c>
      <c r="H98" s="322">
        <f>IF(VLOOKUP("PROJEKTART",Allgemeine_Angaben,5,0)="Mehrgeschoßiger Wohnbau",135*365,40*365)</f>
        <v>14600</v>
      </c>
      <c r="I98" s="150"/>
      <c r="J98" s="194" t="s">
        <v>501</v>
      </c>
    </row>
    <row r="99" spans="1:10" s="23" customFormat="1" ht="15" customHeight="1" thickBot="1">
      <c r="A99" s="55">
        <v>2200</v>
      </c>
      <c r="B99" s="55"/>
      <c r="C99" s="194" t="s">
        <v>502</v>
      </c>
      <c r="D99" s="194" t="s">
        <v>503</v>
      </c>
      <c r="E99" s="194"/>
      <c r="F99" s="194" t="s">
        <v>504</v>
      </c>
      <c r="G99" s="325">
        <f t="shared" si="0"/>
        <v>0.73</v>
      </c>
      <c r="H99" s="322">
        <f>VLOOKUP("WAVpa",Ver_Entsorgung,5,0)/1000/VLOOKUP("NFNUE",Objektkenndaten,5,0)</f>
        <v>0.73</v>
      </c>
      <c r="I99" s="326"/>
      <c r="J99" s="194" t="s">
        <v>505</v>
      </c>
    </row>
    <row r="100" spans="1:10" s="23" customFormat="1" ht="15" customHeight="1" thickBot="1">
      <c r="A100" s="55">
        <v>2300</v>
      </c>
      <c r="B100" s="55"/>
      <c r="C100" s="194" t="s">
        <v>506</v>
      </c>
      <c r="D100" s="194" t="s">
        <v>507</v>
      </c>
      <c r="E100" s="194"/>
      <c r="F100" s="194" t="s">
        <v>502</v>
      </c>
      <c r="G100" s="325">
        <f t="shared" si="0"/>
        <v>0.73</v>
      </c>
      <c r="H100" s="322">
        <f>VLOOKUP("Wavnf",Ver_Entsorgung,5,0)</f>
        <v>0.73</v>
      </c>
      <c r="I100" s="326"/>
      <c r="J100" s="194" t="s">
        <v>505</v>
      </c>
    </row>
    <row r="101" spans="1:10" s="23" customFormat="1" ht="15" customHeight="1" thickBot="1">
      <c r="A101" s="55">
        <v>2400</v>
      </c>
      <c r="B101" s="55"/>
      <c r="C101" s="194" t="s">
        <v>508</v>
      </c>
      <c r="D101" s="194" t="s">
        <v>509</v>
      </c>
      <c r="E101" s="194" t="s">
        <v>2675</v>
      </c>
      <c r="F101" s="194"/>
      <c r="G101" s="325">
        <f t="shared" si="0"/>
        <v>0.36499999999999999</v>
      </c>
      <c r="H101" s="322">
        <v>0.36499999999999999</v>
      </c>
      <c r="I101" s="326"/>
      <c r="J101" s="194" t="s">
        <v>510</v>
      </c>
    </row>
    <row r="102" spans="1:10" s="23" customFormat="1" ht="15" customHeight="1" thickBot="1">
      <c r="A102" s="55">
        <v>2500</v>
      </c>
      <c r="B102" s="55"/>
      <c r="C102" s="194" t="s">
        <v>511</v>
      </c>
      <c r="D102" s="194" t="s">
        <v>512</v>
      </c>
      <c r="E102" s="194"/>
      <c r="F102" s="194" t="s">
        <v>508</v>
      </c>
      <c r="G102" s="325">
        <f t="shared" si="0"/>
        <v>0.36499999999999999</v>
      </c>
      <c r="H102" s="322">
        <f>VLOOKUP("WAVgf",Ver_Entsorgung,5,0)</f>
        <v>0.36499999999999999</v>
      </c>
      <c r="I102" s="326"/>
      <c r="J102" s="194" t="s">
        <v>510</v>
      </c>
    </row>
    <row r="103" spans="1:10" s="23" customFormat="1" ht="15" customHeight="1" thickBot="1">
      <c r="A103" s="293">
        <v>2700</v>
      </c>
      <c r="B103" s="293"/>
      <c r="C103" s="172"/>
      <c r="D103" s="172" t="s">
        <v>513</v>
      </c>
      <c r="E103" s="172"/>
      <c r="F103" s="172"/>
      <c r="G103" s="172"/>
      <c r="H103" s="293"/>
      <c r="I103" s="293"/>
      <c r="J103" s="172"/>
    </row>
    <row r="104" spans="1:10" ht="15" customHeight="1" thickBot="1">
      <c r="A104" s="55">
        <v>2800</v>
      </c>
      <c r="B104" s="55"/>
      <c r="C104" s="194" t="s">
        <v>514</v>
      </c>
      <c r="D104" s="194" t="s">
        <v>515</v>
      </c>
      <c r="E104" s="194" t="s">
        <v>1174</v>
      </c>
      <c r="F104" s="194"/>
      <c r="G104" s="325">
        <f t="shared" si="0"/>
        <v>35.040999999999997</v>
      </c>
      <c r="H104" s="322">
        <f>35.041*(1+VLOOKUP("USTMÜLL",Umsatzsteuersaetze,5,0))</f>
        <v>35.040999999999997</v>
      </c>
      <c r="I104" s="326"/>
      <c r="J104" s="194" t="s">
        <v>516</v>
      </c>
    </row>
    <row r="105" spans="1:10" ht="15" customHeight="1" thickBot="1">
      <c r="A105" s="55">
        <v>2900</v>
      </c>
      <c r="B105" s="55"/>
      <c r="C105" s="194" t="s">
        <v>517</v>
      </c>
      <c r="D105" s="194" t="s">
        <v>1548</v>
      </c>
      <c r="E105" s="194" t="s">
        <v>2678</v>
      </c>
      <c r="F105" s="194" t="s">
        <v>2679</v>
      </c>
      <c r="G105" s="325">
        <f t="shared" si="0"/>
        <v>0.5</v>
      </c>
      <c r="H105" s="322">
        <f>IF(VLOOKUP("PROJEKTART",Allgemeine_Angaben,5,0)="Mehrgeschoßiger Wohnbau",1.5,IF(VLOOKUP("PROJEKTART",Allgemeine_Angaben,5,0)="Bürogebäude",1,0.5))</f>
        <v>0.5</v>
      </c>
      <c r="I105" s="326"/>
      <c r="J105" s="194" t="s">
        <v>518</v>
      </c>
    </row>
    <row r="106" spans="1:10" ht="15" customHeight="1" thickTop="1" thickBot="1">
      <c r="A106" s="293"/>
      <c r="B106" s="293"/>
      <c r="C106" s="172"/>
      <c r="D106" s="172"/>
      <c r="E106" s="172"/>
      <c r="F106" s="172"/>
      <c r="G106" s="613" t="s">
        <v>2647</v>
      </c>
      <c r="H106" s="613"/>
      <c r="I106" s="613"/>
      <c r="J106" s="613"/>
    </row>
    <row r="107" spans="1:10" ht="15" customHeight="1" thickTop="1"/>
  </sheetData>
  <sheetProtection password="FDAF" sheet="1" objects="1" scenarios="1" selectLockedCells="1"/>
  <mergeCells count="4">
    <mergeCell ref="G106:J106"/>
    <mergeCell ref="G14:J14"/>
    <mergeCell ref="G2:J2"/>
    <mergeCell ref="G94:J94"/>
  </mergeCells>
  <dataValidations count="1">
    <dataValidation type="list" allowBlank="1" showInputMessage="1" showErrorMessage="1" sqref="I12">
      <formula1>JaNein</formula1>
    </dataValidation>
  </dataValidations>
  <hyperlinks>
    <hyperlink ref="G94" location="Nutzung_Betrieb" display="zurück zu &quot;Nutzung und Betrieb&quot;"/>
    <hyperlink ref="G2" location="Energie" display="zurück zu &quot;Energie&quot;"/>
    <hyperlink ref="G94:J94" location="'Nutzung &amp; Betrieb'!A1" display="zurück zu &quot;Nutzung &amp; Betrieb&quot;"/>
    <hyperlink ref="G2:J2" location="Energie!L4" display="zurück zu &quot;Energie&quot;"/>
    <hyperlink ref="G106" location="Nutzung_Betrieb" display="zurück zu &quot;Nutzung und Betrieb&quot;"/>
    <hyperlink ref="G106:J106" location="'Nutzung &amp; Betrieb'!A1" display="zurück zu &quot;Nutzung &amp; Betrieb&quot;"/>
    <hyperlink ref="G14" location="Energie" display="zurück zu &quot;Energie&quot;"/>
    <hyperlink ref="G14:J14" location="Energie!L4" display="zurück zu &quot;Energie&quot;"/>
  </hyperlinks>
  <pageMargins left="0.78740157480314965" right="0.78740157480314965" top="0.98425196850393704" bottom="0.98425196850393704" header="0.51181102362204722" footer="0.51181102362204722"/>
  <pageSetup paperSize="8" orientation="landscape" r:id="rId1"/>
  <headerFooter>
    <oddFooter>&amp;L&amp;F&amp;C&amp;A&amp;R&amp;P von &amp;N</oddFooter>
  </headerFooter>
  <legacyDrawing r:id="rId2"/>
</worksheet>
</file>

<file path=xl/worksheets/sheet19.xml><?xml version="1.0" encoding="utf-8"?>
<worksheet xmlns="http://schemas.openxmlformats.org/spreadsheetml/2006/main" xmlns:r="http://schemas.openxmlformats.org/officeDocument/2006/relationships">
  <sheetPr codeName="Tabelle15">
    <tabColor theme="8" tint="0.79998168889431442"/>
    <pageSetUpPr fitToPage="1"/>
  </sheetPr>
  <dimension ref="A1:M66"/>
  <sheetViews>
    <sheetView zoomScaleNormal="100" workbookViewId="0">
      <pane ySplit="1" topLeftCell="A2" activePane="bottomLeft" state="frozen"/>
      <selection activeCell="C23" sqref="C23:M24"/>
      <selection pane="bottomLeft" activeCell="I3" sqref="I3"/>
    </sheetView>
  </sheetViews>
  <sheetFormatPr baseColWidth="10" defaultRowHeight="15" customHeight="1"/>
  <cols>
    <col min="1" max="1" width="5.83203125" style="106" hidden="1" customWidth="1"/>
    <col min="2" max="2" width="5.1640625" style="106" hidden="1" customWidth="1"/>
    <col min="3" max="3" width="12" style="106" hidden="1" customWidth="1"/>
    <col min="4" max="4" width="50.5" style="106" customWidth="1"/>
    <col min="5" max="5" width="16.1640625" style="106" hidden="1" customWidth="1"/>
    <col min="6" max="6" width="52.83203125" style="106" hidden="1" customWidth="1"/>
    <col min="7" max="7" width="16.83203125" style="106" customWidth="1"/>
    <col min="8" max="8" width="16.83203125" style="106" hidden="1" customWidth="1"/>
    <col min="9" max="9" width="16.83203125" style="394" customWidth="1"/>
    <col min="10" max="10" width="16.83203125" style="106" customWidth="1"/>
    <col min="11" max="16384" width="12" style="106"/>
  </cols>
  <sheetData>
    <row r="1" spans="1:10" ht="15" customHeight="1" thickBot="1">
      <c r="A1" s="344" t="s">
        <v>1</v>
      </c>
      <c r="B1" s="344"/>
      <c r="C1" s="344" t="s">
        <v>2</v>
      </c>
      <c r="D1" s="344" t="s">
        <v>66</v>
      </c>
      <c r="E1" s="344" t="s">
        <v>89</v>
      </c>
      <c r="F1" s="344" t="s">
        <v>90</v>
      </c>
      <c r="G1" s="344" t="s">
        <v>1207</v>
      </c>
      <c r="H1" s="344" t="s">
        <v>1208</v>
      </c>
      <c r="I1" s="344" t="s">
        <v>1206</v>
      </c>
      <c r="J1" s="344" t="s">
        <v>1484</v>
      </c>
    </row>
    <row r="2" spans="1:10" ht="15" customHeight="1" thickTop="1" thickBot="1">
      <c r="A2" s="293">
        <v>400</v>
      </c>
      <c r="B2" s="293"/>
      <c r="C2" s="172"/>
      <c r="D2" s="172" t="s">
        <v>520</v>
      </c>
      <c r="E2" s="172"/>
      <c r="F2" s="172"/>
      <c r="G2" s="613" t="s">
        <v>2647</v>
      </c>
      <c r="H2" s="613"/>
      <c r="I2" s="613"/>
      <c r="J2" s="613"/>
    </row>
    <row r="3" spans="1:10" ht="15" customHeight="1" thickTop="1" thickBot="1">
      <c r="A3" s="55">
        <v>500</v>
      </c>
      <c r="B3" s="55"/>
      <c r="C3" s="194" t="s">
        <v>521</v>
      </c>
      <c r="D3" s="194" t="s">
        <v>2554</v>
      </c>
      <c r="E3" s="194"/>
      <c r="F3" s="194"/>
      <c r="G3" s="291">
        <f t="shared" ref="G3:G64" si="0">IF(I3="",H3,I3)</f>
        <v>5</v>
      </c>
      <c r="H3" s="292">
        <v>5</v>
      </c>
      <c r="I3" s="50"/>
      <c r="J3" s="194" t="s">
        <v>522</v>
      </c>
    </row>
    <row r="4" spans="1:10" ht="15" customHeight="1" thickBot="1">
      <c r="A4" s="55">
        <v>600</v>
      </c>
      <c r="B4" s="55"/>
      <c r="C4" s="194" t="s">
        <v>523</v>
      </c>
      <c r="D4" s="194" t="s">
        <v>2555</v>
      </c>
      <c r="E4" s="194"/>
      <c r="F4" s="194"/>
      <c r="G4" s="291">
        <f t="shared" si="0"/>
        <v>0.27</v>
      </c>
      <c r="H4" s="292">
        <v>0.27</v>
      </c>
      <c r="I4" s="168"/>
      <c r="J4" s="194" t="s">
        <v>524</v>
      </c>
    </row>
    <row r="5" spans="1:10" ht="15" customHeight="1" thickBot="1">
      <c r="A5" s="55">
        <v>700</v>
      </c>
      <c r="B5" s="55"/>
      <c r="C5" s="194" t="s">
        <v>525</v>
      </c>
      <c r="D5" s="194" t="s">
        <v>2211</v>
      </c>
      <c r="E5" s="194"/>
      <c r="F5" s="194" t="s">
        <v>526</v>
      </c>
      <c r="G5" s="291">
        <f t="shared" si="0"/>
        <v>2.5838999999999999</v>
      </c>
      <c r="H5" s="292">
        <f>VLOOKUP("RKh",Dienstleistungen,5,0)*VLOOKUP("RBWfreq",Reinigung,5,0)*VLOOKUP("RBWleis",Reinigung,5,0)*4.35/60</f>
        <v>2.5838999999999999</v>
      </c>
      <c r="I5" s="168"/>
      <c r="J5" s="194" t="s">
        <v>527</v>
      </c>
    </row>
    <row r="6" spans="1:10" ht="15" customHeight="1" thickBot="1">
      <c r="A6" s="55">
        <v>800</v>
      </c>
      <c r="B6" s="55"/>
      <c r="C6" s="194" t="s">
        <v>528</v>
      </c>
      <c r="D6" s="194" t="s">
        <v>2212</v>
      </c>
      <c r="E6" s="194"/>
      <c r="F6" s="194" t="s">
        <v>2210</v>
      </c>
      <c r="G6" s="291">
        <f t="shared" si="0"/>
        <v>0</v>
      </c>
      <c r="H6" s="292">
        <f>VLOOKUP("RKBWm2mon",Reinigung,5,0)*VLOOKUP("HNF",Objektkenndaten,5,0)*12</f>
        <v>0</v>
      </c>
      <c r="I6" s="168"/>
      <c r="J6" s="194" t="s">
        <v>493</v>
      </c>
    </row>
    <row r="7" spans="1:10" ht="15" customHeight="1" thickBot="1">
      <c r="A7" s="293">
        <v>900</v>
      </c>
      <c r="B7" s="293"/>
      <c r="C7" s="172"/>
      <c r="D7" s="172" t="s">
        <v>640</v>
      </c>
      <c r="E7" s="172"/>
      <c r="F7" s="172"/>
      <c r="G7" s="171"/>
      <c r="H7" s="171"/>
      <c r="I7" s="171"/>
      <c r="J7" s="172"/>
    </row>
    <row r="8" spans="1:10" ht="15" customHeight="1" thickBot="1">
      <c r="A8" s="55">
        <v>1000</v>
      </c>
      <c r="B8" s="55"/>
      <c r="C8" s="194" t="s">
        <v>529</v>
      </c>
      <c r="D8" s="194" t="s">
        <v>530</v>
      </c>
      <c r="E8" s="194"/>
      <c r="F8" s="194"/>
      <c r="G8" s="291">
        <f t="shared" si="0"/>
        <v>5</v>
      </c>
      <c r="H8" s="292">
        <v>5</v>
      </c>
      <c r="I8" s="50"/>
      <c r="J8" s="194" t="s">
        <v>522</v>
      </c>
    </row>
    <row r="9" spans="1:10" ht="15" customHeight="1" thickBot="1">
      <c r="A9" s="55">
        <v>1100</v>
      </c>
      <c r="B9" s="55"/>
      <c r="C9" s="194" t="s">
        <v>531</v>
      </c>
      <c r="D9" s="194" t="s">
        <v>532</v>
      </c>
      <c r="E9" s="194"/>
      <c r="F9" s="194"/>
      <c r="G9" s="291">
        <f t="shared" si="0"/>
        <v>0.4</v>
      </c>
      <c r="H9" s="292">
        <v>0.4</v>
      </c>
      <c r="I9" s="168"/>
      <c r="J9" s="194" t="s">
        <v>524</v>
      </c>
    </row>
    <row r="10" spans="1:10" ht="15" customHeight="1" thickBot="1">
      <c r="A10" s="55">
        <v>1200</v>
      </c>
      <c r="B10" s="55"/>
      <c r="C10" s="194" t="s">
        <v>533</v>
      </c>
      <c r="D10" s="194" t="s">
        <v>534</v>
      </c>
      <c r="E10" s="194"/>
      <c r="F10" s="194" t="s">
        <v>535</v>
      </c>
      <c r="G10" s="291">
        <f t="shared" si="0"/>
        <v>3.8279999999999998</v>
      </c>
      <c r="H10" s="292">
        <f>VLOOKUP("Rfliesfreqh",Reinigung,5,0)*VLOOKUP("RFliesLeish",Reinigung,5,0)*VLOOKUP("RKh",Dienstleistungen,5,0)*4.35/60</f>
        <v>3.8279999999999998</v>
      </c>
      <c r="I10" s="168"/>
      <c r="J10" s="194" t="s">
        <v>527</v>
      </c>
    </row>
    <row r="11" spans="1:10" ht="15" customHeight="1" thickBot="1">
      <c r="A11" s="55">
        <v>1300</v>
      </c>
      <c r="B11" s="55"/>
      <c r="C11" s="194" t="s">
        <v>536</v>
      </c>
      <c r="D11" s="194" t="s">
        <v>537</v>
      </c>
      <c r="E11" s="194"/>
      <c r="F11" s="194"/>
      <c r="G11" s="291">
        <f t="shared" si="0"/>
        <v>1</v>
      </c>
      <c r="H11" s="292">
        <v>1</v>
      </c>
      <c r="I11" s="50"/>
      <c r="J11" s="194" t="s">
        <v>522</v>
      </c>
    </row>
    <row r="12" spans="1:10" ht="15" customHeight="1" thickBot="1">
      <c r="A12" s="55">
        <v>1400</v>
      </c>
      <c r="B12" s="55"/>
      <c r="C12" s="194" t="s">
        <v>538</v>
      </c>
      <c r="D12" s="194" t="s">
        <v>539</v>
      </c>
      <c r="E12" s="194"/>
      <c r="F12" s="194"/>
      <c r="G12" s="291">
        <f t="shared" si="0"/>
        <v>1.1000000000000001</v>
      </c>
      <c r="H12" s="292">
        <v>1.1000000000000001</v>
      </c>
      <c r="I12" s="168"/>
      <c r="J12" s="194" t="s">
        <v>524</v>
      </c>
    </row>
    <row r="13" spans="1:10" ht="15" customHeight="1" thickBot="1">
      <c r="A13" s="55">
        <v>1500</v>
      </c>
      <c r="B13" s="55"/>
      <c r="C13" s="194" t="s">
        <v>540</v>
      </c>
      <c r="D13" s="194" t="s">
        <v>541</v>
      </c>
      <c r="E13" s="194"/>
      <c r="F13" s="194" t="s">
        <v>542</v>
      </c>
      <c r="G13" s="291">
        <f t="shared" si="0"/>
        <v>2.1053999999999999</v>
      </c>
      <c r="H13" s="292">
        <f>VLOOKUP("Rfliesfreqv",Reinigung,5,0)*VLOOKUP("RFliesLeisv",Reinigung,5,0)*VLOOKUP("RKh",Dienstleistungen,5,0)*4.35/60</f>
        <v>2.1053999999999999</v>
      </c>
      <c r="I13" s="168"/>
      <c r="J13" s="194" t="s">
        <v>527</v>
      </c>
    </row>
    <row r="14" spans="1:10" ht="15" customHeight="1" thickBot="1">
      <c r="A14" s="55">
        <v>1600</v>
      </c>
      <c r="B14" s="55"/>
      <c r="C14" s="194" t="s">
        <v>543</v>
      </c>
      <c r="D14" s="194" t="s">
        <v>544</v>
      </c>
      <c r="E14" s="194"/>
      <c r="F14" s="194" t="s">
        <v>545</v>
      </c>
      <c r="G14" s="291">
        <f t="shared" si="0"/>
        <v>0</v>
      </c>
      <c r="H14" s="292">
        <f>(VLOOKUP("RKSANhm2mon",Reinigung,5,0)*VLOOKUP("SANFH",Objektkenndaten,5,0)+VLOOKUP("RKSANvm2mon",Reinigung,5,0)*VLOOKUP("SANFV",Objektkenndaten,5,0))*12</f>
        <v>0</v>
      </c>
      <c r="I14" s="168"/>
      <c r="J14" s="194" t="s">
        <v>493</v>
      </c>
    </row>
    <row r="15" spans="1:10" s="193" customFormat="1" ht="15" customHeight="1" thickBot="1">
      <c r="A15" s="293">
        <v>1700</v>
      </c>
      <c r="B15" s="293"/>
      <c r="C15" s="172"/>
      <c r="D15" s="172" t="s">
        <v>637</v>
      </c>
      <c r="E15" s="172"/>
      <c r="F15" s="172"/>
      <c r="G15" s="171"/>
      <c r="H15" s="171"/>
      <c r="I15" s="171"/>
      <c r="J15" s="172"/>
    </row>
    <row r="16" spans="1:10" ht="15" customHeight="1" thickBot="1">
      <c r="A16" s="55">
        <v>1800</v>
      </c>
      <c r="B16" s="55"/>
      <c r="C16" s="194" t="s">
        <v>546</v>
      </c>
      <c r="D16" s="194" t="s">
        <v>547</v>
      </c>
      <c r="E16" s="194"/>
      <c r="F16" s="194"/>
      <c r="G16" s="291">
        <f t="shared" si="0"/>
        <v>5</v>
      </c>
      <c r="H16" s="292">
        <v>5</v>
      </c>
      <c r="I16" s="50"/>
      <c r="J16" s="194" t="s">
        <v>522</v>
      </c>
    </row>
    <row r="17" spans="1:10" ht="15" customHeight="1" thickBot="1">
      <c r="A17" s="55">
        <v>1900</v>
      </c>
      <c r="B17" s="55"/>
      <c r="C17" s="194" t="s">
        <v>548</v>
      </c>
      <c r="D17" s="194" t="s">
        <v>549</v>
      </c>
      <c r="E17" s="194"/>
      <c r="F17" s="194"/>
      <c r="G17" s="291">
        <f t="shared" si="0"/>
        <v>0.12</v>
      </c>
      <c r="H17" s="292">
        <v>0.12</v>
      </c>
      <c r="I17" s="168"/>
      <c r="J17" s="194" t="s">
        <v>524</v>
      </c>
    </row>
    <row r="18" spans="1:10" ht="15" customHeight="1" thickBot="1">
      <c r="A18" s="55">
        <v>2000</v>
      </c>
      <c r="B18" s="55"/>
      <c r="C18" s="194" t="s">
        <v>550</v>
      </c>
      <c r="D18" s="194" t="s">
        <v>551</v>
      </c>
      <c r="E18" s="194"/>
      <c r="F18" s="194" t="s">
        <v>552</v>
      </c>
      <c r="G18" s="291">
        <f t="shared" si="0"/>
        <v>1.1483999999999996</v>
      </c>
      <c r="H18" s="292">
        <f>VLOOKUP("Rgangfreq",Reinigung,5,0)*VLOOKUP("RGangLeis",Reinigung,5,0)*VLOOKUP("RKh",Dienstleistungen,5,0)*4.35/60</f>
        <v>1.1483999999999996</v>
      </c>
      <c r="I18" s="168"/>
      <c r="J18" s="194" t="s">
        <v>527</v>
      </c>
    </row>
    <row r="19" spans="1:10" ht="15" customHeight="1" thickBot="1">
      <c r="A19" s="55">
        <v>2100</v>
      </c>
      <c r="B19" s="55"/>
      <c r="C19" s="194" t="s">
        <v>553</v>
      </c>
      <c r="D19" s="194" t="s">
        <v>554</v>
      </c>
      <c r="E19" s="194"/>
      <c r="F19" s="194"/>
      <c r="G19" s="291">
        <f t="shared" si="0"/>
        <v>5</v>
      </c>
      <c r="H19" s="292">
        <v>5</v>
      </c>
      <c r="I19" s="50"/>
      <c r="J19" s="194" t="s">
        <v>522</v>
      </c>
    </row>
    <row r="20" spans="1:10" ht="15" customHeight="1" thickBot="1">
      <c r="A20" s="55">
        <v>2200</v>
      </c>
      <c r="B20" s="55"/>
      <c r="C20" s="194" t="s">
        <v>555</v>
      </c>
      <c r="D20" s="194" t="s">
        <v>556</v>
      </c>
      <c r="E20" s="194"/>
      <c r="F20" s="194"/>
      <c r="G20" s="291">
        <f t="shared" si="0"/>
        <v>0.3</v>
      </c>
      <c r="H20" s="292">
        <v>0.3</v>
      </c>
      <c r="I20" s="168"/>
      <c r="J20" s="194" t="s">
        <v>524</v>
      </c>
    </row>
    <row r="21" spans="1:10" ht="15" customHeight="1" thickBot="1">
      <c r="A21" s="55">
        <v>2300</v>
      </c>
      <c r="B21" s="55"/>
      <c r="C21" s="194" t="s">
        <v>557</v>
      </c>
      <c r="D21" s="194" t="s">
        <v>558</v>
      </c>
      <c r="E21" s="194"/>
      <c r="F21" s="194" t="s">
        <v>559</v>
      </c>
      <c r="G21" s="291">
        <f t="shared" si="0"/>
        <v>2.8709999999999996</v>
      </c>
      <c r="H21" s="292">
        <f>VLOOKUP("Rstiegfreq",Reinigung,5,0)*VLOOKUP("RStiegLeis",Reinigung,5,0)*VLOOKUP("RKh",Dienstleistungen,5,0)*4.35/60</f>
        <v>2.8709999999999996</v>
      </c>
      <c r="I21" s="168"/>
      <c r="J21" s="194" t="s">
        <v>527</v>
      </c>
    </row>
    <row r="22" spans="1:10" ht="15" customHeight="1" thickBot="1">
      <c r="A22" s="55">
        <v>2400</v>
      </c>
      <c r="B22" s="55"/>
      <c r="C22" s="194" t="s">
        <v>560</v>
      </c>
      <c r="D22" s="194" t="s">
        <v>561</v>
      </c>
      <c r="E22" s="194"/>
      <c r="F22" s="194" t="s">
        <v>562</v>
      </c>
      <c r="G22" s="291">
        <f t="shared" si="0"/>
        <v>0</v>
      </c>
      <c r="H22" s="292">
        <f>(VLOOKUP("RKGm2mon",Reinigung,5,0)*VLOOKUP("GANGF",Objektkenndaten,5,0)+VLOOKUP("RKSTm2mon",Reinigung,5,0)*VLOOKUP("STIEGF",Objektkenndaten,5,0))*12</f>
        <v>0</v>
      </c>
      <c r="I22" s="168"/>
      <c r="J22" s="194" t="s">
        <v>493</v>
      </c>
    </row>
    <row r="23" spans="1:10" ht="15" customHeight="1" thickBot="1">
      <c r="A23" s="293">
        <v>2500</v>
      </c>
      <c r="B23" s="293"/>
      <c r="C23" s="172"/>
      <c r="D23" s="172" t="s">
        <v>638</v>
      </c>
      <c r="E23" s="172"/>
      <c r="F23" s="172"/>
      <c r="G23" s="171"/>
      <c r="H23" s="171"/>
      <c r="I23" s="171"/>
      <c r="J23" s="172"/>
    </row>
    <row r="24" spans="1:10" ht="15" customHeight="1" thickBot="1">
      <c r="A24" s="55">
        <v>2600</v>
      </c>
      <c r="B24" s="55"/>
      <c r="C24" s="194" t="s">
        <v>563</v>
      </c>
      <c r="D24" s="194" t="s">
        <v>564</v>
      </c>
      <c r="E24" s="194"/>
      <c r="F24" s="194"/>
      <c r="G24" s="291">
        <f t="shared" si="0"/>
        <v>0.1</v>
      </c>
      <c r="H24" s="292">
        <v>0.1</v>
      </c>
      <c r="I24" s="50"/>
      <c r="J24" s="194" t="s">
        <v>522</v>
      </c>
    </row>
    <row r="25" spans="1:10" ht="15" customHeight="1" thickBot="1">
      <c r="A25" s="55">
        <v>2700</v>
      </c>
      <c r="B25" s="55"/>
      <c r="C25" s="194" t="s">
        <v>565</v>
      </c>
      <c r="D25" s="194" t="s">
        <v>566</v>
      </c>
      <c r="E25" s="194"/>
      <c r="F25" s="194"/>
      <c r="G25" s="291">
        <f t="shared" si="0"/>
        <v>0.15</v>
      </c>
      <c r="H25" s="292">
        <v>0.15</v>
      </c>
      <c r="I25" s="168"/>
      <c r="J25" s="194" t="s">
        <v>524</v>
      </c>
    </row>
    <row r="26" spans="1:10" ht="15" customHeight="1" thickBot="1">
      <c r="A26" s="55">
        <v>2800</v>
      </c>
      <c r="B26" s="55"/>
      <c r="C26" s="194" t="s">
        <v>567</v>
      </c>
      <c r="D26" s="194" t="s">
        <v>568</v>
      </c>
      <c r="E26" s="194"/>
      <c r="F26" s="194" t="s">
        <v>569</v>
      </c>
      <c r="G26" s="291">
        <f t="shared" si="0"/>
        <v>2.8049999999999999E-2</v>
      </c>
      <c r="H26" s="292">
        <f>VLOOKUP("RTGfreq",Reinigung,5,0)*VLOOKUP("RTGLeis",Reinigung,5,0)*VLOOKUP("RKh",Dienstleistungen,5,0)*4.25/60</f>
        <v>2.8049999999999999E-2</v>
      </c>
      <c r="I26" s="168"/>
      <c r="J26" s="194" t="s">
        <v>527</v>
      </c>
    </row>
    <row r="27" spans="1:10" ht="15" customHeight="1" thickBot="1">
      <c r="A27" s="55">
        <v>2900</v>
      </c>
      <c r="B27" s="55"/>
      <c r="C27" s="194" t="s">
        <v>570</v>
      </c>
      <c r="D27" s="194" t="s">
        <v>571</v>
      </c>
      <c r="E27" s="194"/>
      <c r="F27" s="194"/>
      <c r="G27" s="291">
        <f t="shared" si="0"/>
        <v>1</v>
      </c>
      <c r="H27" s="292">
        <v>1</v>
      </c>
      <c r="I27" s="50"/>
      <c r="J27" s="194" t="s">
        <v>522</v>
      </c>
    </row>
    <row r="28" spans="1:10" ht="15" customHeight="1" thickBot="1">
      <c r="A28" s="55">
        <v>3000</v>
      </c>
      <c r="B28" s="55"/>
      <c r="C28" s="194" t="s">
        <v>572</v>
      </c>
      <c r="D28" s="194" t="s">
        <v>573</v>
      </c>
      <c r="E28" s="194"/>
      <c r="F28" s="194"/>
      <c r="G28" s="291">
        <f t="shared" si="0"/>
        <v>0.2</v>
      </c>
      <c r="H28" s="292">
        <v>0.2</v>
      </c>
      <c r="I28" s="168"/>
      <c r="J28" s="194" t="s">
        <v>524</v>
      </c>
    </row>
    <row r="29" spans="1:10" ht="15" customHeight="1" thickBot="1">
      <c r="A29" s="55">
        <v>3100</v>
      </c>
      <c r="B29" s="55"/>
      <c r="C29" s="194" t="s">
        <v>574</v>
      </c>
      <c r="D29" s="194" t="s">
        <v>575</v>
      </c>
      <c r="E29" s="194"/>
      <c r="F29" s="194" t="s">
        <v>576</v>
      </c>
      <c r="G29" s="291">
        <f t="shared" si="0"/>
        <v>0.374</v>
      </c>
      <c r="H29" s="292">
        <f>VLOOKUP("Rnebfreq",Reinigung,5,0)*VLOOKUP("RNebFLeis",Reinigung,5,0)*VLOOKUP("RKh",Dienstleistungen,5,0)*4.25/60</f>
        <v>0.374</v>
      </c>
      <c r="I29" s="168"/>
      <c r="J29" s="194" t="s">
        <v>527</v>
      </c>
    </row>
    <row r="30" spans="1:10" ht="15" customHeight="1" thickBot="1">
      <c r="A30" s="55">
        <v>3200</v>
      </c>
      <c r="B30" s="55"/>
      <c r="C30" s="194" t="s">
        <v>577</v>
      </c>
      <c r="D30" s="194" t="s">
        <v>578</v>
      </c>
      <c r="E30" s="194"/>
      <c r="F30" s="194" t="s">
        <v>579</v>
      </c>
      <c r="G30" s="291">
        <f t="shared" si="0"/>
        <v>0</v>
      </c>
      <c r="H30" s="292">
        <f>(VLOOKUP("RKTGm2mon",Reinigung,5,0)*VLOOKUP("GARAF",Objektkenndaten,5,0)+VLOOKUP("RKNebFm2mon",Reinigung,5,0)*VLOOKUP("NEBF",Objektkenndaten,5,0))*12</f>
        <v>0</v>
      </c>
      <c r="I30" s="168"/>
      <c r="J30" s="194" t="s">
        <v>493</v>
      </c>
    </row>
    <row r="31" spans="1:10" s="193" customFormat="1" ht="15" customHeight="1" thickBot="1">
      <c r="A31" s="293">
        <v>3400</v>
      </c>
      <c r="B31" s="293"/>
      <c r="C31" s="172"/>
      <c r="D31" s="172" t="s">
        <v>580</v>
      </c>
      <c r="E31" s="172"/>
      <c r="F31" s="172"/>
      <c r="G31" s="171"/>
      <c r="H31" s="171"/>
      <c r="I31" s="171"/>
      <c r="J31" s="172"/>
    </row>
    <row r="32" spans="1:10" ht="15" customHeight="1" thickBot="1">
      <c r="A32" s="55">
        <v>3500</v>
      </c>
      <c r="B32" s="55"/>
      <c r="C32" s="194" t="s">
        <v>581</v>
      </c>
      <c r="D32" s="194" t="s">
        <v>582</v>
      </c>
      <c r="E32" s="194"/>
      <c r="F32" s="194"/>
      <c r="G32" s="291">
        <f t="shared" si="0"/>
        <v>1.44</v>
      </c>
      <c r="H32" s="292">
        <f>1.2*(1+VLOOKUP("USTDL",Umsatzsteuersaetze,5,0))</f>
        <v>1.44</v>
      </c>
      <c r="I32" s="168"/>
      <c r="J32" s="194" t="s">
        <v>97</v>
      </c>
    </row>
    <row r="33" spans="1:13" ht="15" customHeight="1" thickBot="1">
      <c r="A33" s="55">
        <v>3600</v>
      </c>
      <c r="B33" s="55"/>
      <c r="C33" s="194" t="s">
        <v>583</v>
      </c>
      <c r="D33" s="194" t="s">
        <v>584</v>
      </c>
      <c r="E33" s="194"/>
      <c r="F33" s="194"/>
      <c r="G33" s="291">
        <f t="shared" si="0"/>
        <v>2</v>
      </c>
      <c r="H33" s="292">
        <v>2</v>
      </c>
      <c r="I33" s="50"/>
      <c r="J33" s="194" t="s">
        <v>585</v>
      </c>
    </row>
    <row r="34" spans="1:13" ht="15" customHeight="1" thickBot="1">
      <c r="A34" s="55">
        <v>3700</v>
      </c>
      <c r="B34" s="55"/>
      <c r="C34" s="194" t="s">
        <v>586</v>
      </c>
      <c r="D34" s="194" t="s">
        <v>587</v>
      </c>
      <c r="E34" s="194"/>
      <c r="F34" s="194"/>
      <c r="G34" s="291">
        <f t="shared" si="0"/>
        <v>120</v>
      </c>
      <c r="H34" s="292">
        <f>100*(1+VLOOKUP("USTDL",Umsatzsteuersaetze,5,0))</f>
        <v>120</v>
      </c>
      <c r="I34" s="168"/>
      <c r="J34" s="194" t="s">
        <v>588</v>
      </c>
    </row>
    <row r="35" spans="1:13" ht="15" customHeight="1" thickBot="1">
      <c r="A35" s="55">
        <v>3800</v>
      </c>
      <c r="B35" s="55"/>
      <c r="C35" s="194" t="s">
        <v>589</v>
      </c>
      <c r="D35" s="194" t="s">
        <v>590</v>
      </c>
      <c r="E35" s="194"/>
      <c r="F35" s="194" t="s">
        <v>591</v>
      </c>
      <c r="G35" s="291">
        <f t="shared" si="0"/>
        <v>0</v>
      </c>
      <c r="H35" s="292">
        <f>VLOOKUP("GLASFRKm2",Reinigung,5,0)*VLOOKUP("GLASFRfreq",Reinigung,5,0)*(VLOOKUP("GLASF",Objektkenndaten,5,0)+VLOOKUP("GLASFNV",Objektkenndaten,5,0))+((VLOOKUP("GLASFab",Objektkenndaten,5,0)+VLOOKUP("GLASFNVab",Objektkenndaten,5,0))*VLOOKUP("GLASFRKm2",Reinigung,5,0)*VLOOKUP("GLASFRfreq",Reinigung,5,0)/VLOOKUP("RKh",Dienstleistungen,5,0)/8)*VLOOKUP("BÜHd",Reinigung,5,0)</f>
        <v>0</v>
      </c>
      <c r="I35" s="168"/>
      <c r="J35" s="194" t="s">
        <v>493</v>
      </c>
      <c r="K35" s="393"/>
      <c r="L35" s="393"/>
      <c r="M35" s="393"/>
    </row>
    <row r="36" spans="1:13" ht="15" customHeight="1" thickBot="1">
      <c r="A36" s="55">
        <v>4000</v>
      </c>
      <c r="B36" s="55"/>
      <c r="C36" s="194" t="s">
        <v>592</v>
      </c>
      <c r="D36" s="194" t="s">
        <v>593</v>
      </c>
      <c r="E36" s="194"/>
      <c r="F36" s="194"/>
      <c r="G36" s="291">
        <f t="shared" si="0"/>
        <v>1.2</v>
      </c>
      <c r="H36" s="292">
        <f>1*(1+VLOOKUP("USTDL",Umsatzsteuersaetze,5,0))</f>
        <v>1.2</v>
      </c>
      <c r="I36" s="168"/>
      <c r="J36" s="194" t="s">
        <v>97</v>
      </c>
    </row>
    <row r="37" spans="1:13" ht="15" customHeight="1" thickBot="1">
      <c r="A37" s="55">
        <v>4100</v>
      </c>
      <c r="B37" s="55"/>
      <c r="C37" s="194" t="s">
        <v>594</v>
      </c>
      <c r="D37" s="194" t="s">
        <v>595</v>
      </c>
      <c r="E37" s="194"/>
      <c r="F37" s="194"/>
      <c r="G37" s="291">
        <f t="shared" si="0"/>
        <v>10</v>
      </c>
      <c r="H37" s="292">
        <v>10</v>
      </c>
      <c r="I37" s="50"/>
      <c r="J37" s="194" t="s">
        <v>585</v>
      </c>
    </row>
    <row r="38" spans="1:13" ht="15" customHeight="1" thickBot="1">
      <c r="A38" s="55">
        <v>4200</v>
      </c>
      <c r="B38" s="55"/>
      <c r="C38" s="194" t="s">
        <v>596</v>
      </c>
      <c r="D38" s="194" t="s">
        <v>597</v>
      </c>
      <c r="E38" s="194"/>
      <c r="F38" s="194" t="s">
        <v>598</v>
      </c>
      <c r="G38" s="291">
        <f t="shared" si="0"/>
        <v>0</v>
      </c>
      <c r="H38" s="292">
        <f>VLOOKUP("IGLASFRKm2",Reinigung,5,0)*VLOOKUP("GLASFIRfreq",Reinigung,5,0)*(VLOOKUP("IGLASF",Objektkenndaten,5,0)*2+VLOOKUP("GLASF",Objektkenndaten,5,0)+VLOOKUP("GLASFF",Objektkenndaten,5,0)+VLOOKUP("GLASFNV",Objektkenndaten,5,0))+(VLOOKUP("IGLASFab",Objektkenndaten,5,0)*VLOOKUP("IGLASFRKm2",Reinigung,5,0)*VLOOKUP("GLASFIRfreq",Reinigung,5,0)/VLOOKUP("RKh",Dienstleistungen,5,0)/8)*VLOOKUP("BÜHd",Reinigung,5,0)</f>
        <v>0</v>
      </c>
      <c r="I38" s="168"/>
      <c r="J38" s="194" t="s">
        <v>493</v>
      </c>
    </row>
    <row r="39" spans="1:13" ht="15" customHeight="1" thickBot="1">
      <c r="A39" s="55"/>
      <c r="B39" s="55"/>
      <c r="C39" s="172"/>
      <c r="D39" s="172" t="s">
        <v>2335</v>
      </c>
      <c r="E39" s="172"/>
      <c r="F39" s="172"/>
      <c r="G39" s="171"/>
      <c r="H39" s="171"/>
      <c r="I39" s="171"/>
      <c r="J39" s="172"/>
    </row>
    <row r="40" spans="1:13" ht="15" customHeight="1" thickBot="1">
      <c r="A40" s="55"/>
      <c r="B40" s="55"/>
      <c r="C40" s="194" t="s">
        <v>2344</v>
      </c>
      <c r="D40" s="194" t="s">
        <v>2336</v>
      </c>
      <c r="E40" s="194"/>
      <c r="F40" s="194"/>
      <c r="G40" s="291">
        <f t="shared" si="0"/>
        <v>1.44</v>
      </c>
      <c r="H40" s="292">
        <v>1.44</v>
      </c>
      <c r="I40" s="168"/>
      <c r="J40" s="194" t="s">
        <v>97</v>
      </c>
    </row>
    <row r="41" spans="1:13" ht="15" customHeight="1" thickBot="1">
      <c r="A41" s="55"/>
      <c r="B41" s="55"/>
      <c r="C41" s="194" t="s">
        <v>2345</v>
      </c>
      <c r="D41" s="194" t="s">
        <v>2337</v>
      </c>
      <c r="E41" s="194"/>
      <c r="F41" s="194"/>
      <c r="G41" s="291">
        <f t="shared" si="0"/>
        <v>1.44</v>
      </c>
      <c r="H41" s="292">
        <v>1.44</v>
      </c>
      <c r="I41" s="168"/>
      <c r="J41" s="194" t="s">
        <v>97</v>
      </c>
    </row>
    <row r="42" spans="1:13" ht="15" customHeight="1" thickBot="1">
      <c r="A42" s="55"/>
      <c r="B42" s="55"/>
      <c r="C42" s="194" t="s">
        <v>2346</v>
      </c>
      <c r="D42" s="194" t="s">
        <v>2341</v>
      </c>
      <c r="E42" s="194"/>
      <c r="F42" s="194"/>
      <c r="G42" s="291">
        <f t="shared" si="0"/>
        <v>1</v>
      </c>
      <c r="H42" s="292">
        <v>1</v>
      </c>
      <c r="I42" s="168"/>
      <c r="J42" s="194" t="s">
        <v>585</v>
      </c>
    </row>
    <row r="43" spans="1:13" ht="15" customHeight="1" thickBot="1">
      <c r="A43" s="55"/>
      <c r="B43" s="55"/>
      <c r="C43" s="194" t="s">
        <v>2347</v>
      </c>
      <c r="D43" s="194" t="s">
        <v>2342</v>
      </c>
      <c r="E43" s="194"/>
      <c r="F43" s="194"/>
      <c r="G43" s="291">
        <f t="shared" si="0"/>
        <v>1</v>
      </c>
      <c r="H43" s="292">
        <v>1</v>
      </c>
      <c r="I43" s="168"/>
      <c r="J43" s="194" t="s">
        <v>585</v>
      </c>
    </row>
    <row r="44" spans="1:13" ht="15" customHeight="1" thickBot="1">
      <c r="A44" s="55"/>
      <c r="B44" s="55"/>
      <c r="C44" s="194" t="s">
        <v>2348</v>
      </c>
      <c r="D44" s="194" t="s">
        <v>587</v>
      </c>
      <c r="E44" s="194"/>
      <c r="F44" s="194"/>
      <c r="G44" s="291">
        <f t="shared" ref="G44" si="1">IF(I44="",H44,I44)</f>
        <v>120</v>
      </c>
      <c r="H44" s="292">
        <f>100*(1+VLOOKUP("USTDL",Umsatzsteuersaetze,5,0))</f>
        <v>120</v>
      </c>
      <c r="I44" s="168"/>
      <c r="J44" s="194" t="s">
        <v>588</v>
      </c>
    </row>
    <row r="45" spans="1:13" ht="15" customHeight="1" thickBot="1">
      <c r="A45" s="55"/>
      <c r="B45" s="55"/>
      <c r="C45" s="194" t="s">
        <v>2349</v>
      </c>
      <c r="D45" s="194" t="s">
        <v>2343</v>
      </c>
      <c r="E45" s="194"/>
      <c r="F45" s="194" t="s">
        <v>2350</v>
      </c>
      <c r="G45" s="291">
        <f t="shared" si="0"/>
        <v>0</v>
      </c>
      <c r="H45" s="292">
        <f>VLOOKUP("PVRKm2",Reinigung,5,0)*VLOOKUP("PVRfreq",Reinigung,5,0)*(VLOOKUP("PVDACH",Objektkenndaten,5,0)+VLOOKUP("PVFASS",Objektkenndaten,5,0))+VLOOKUP("SOLRKm2",Reinigung,5,0)*VLOOKUP("SOLRfreq",Reinigung,5,0)*(VLOOKUP("SOLARD",Objektkenndaten,5,0)+VLOOKUP("SOLARF",Objektkenndaten,5,0))+(VLOOKUP("PVRKm2",Reinigung,5,0)*VLOOKUP("PVRfreq",Reinigung,5,0)*VLOOKUP("PVFASSab",Objektkenndaten,5,0)+VLOOKUP("SOLRKm2",Reinigung,5,0)*VLOOKUP("SOLRfreq",Reinigung,5,0)*(VLOOKUP("SOLARFab",Objektkenndaten,5,0))/VLOOKUP("RKh",Dienstleistungen,5,0)/8)*VLOOKUP("PVBÜHd",Reinigung,5,0)</f>
        <v>0</v>
      </c>
      <c r="I45" s="168"/>
      <c r="J45" s="194" t="s">
        <v>493</v>
      </c>
    </row>
    <row r="46" spans="1:13" ht="15" customHeight="1" thickBot="1">
      <c r="A46" s="293">
        <v>4300</v>
      </c>
      <c r="B46" s="293"/>
      <c r="C46" s="172"/>
      <c r="D46" s="172" t="s">
        <v>639</v>
      </c>
      <c r="E46" s="172"/>
      <c r="F46" s="172"/>
      <c r="G46" s="171"/>
      <c r="H46" s="171"/>
      <c r="I46" s="171"/>
      <c r="J46" s="172"/>
    </row>
    <row r="47" spans="1:13" ht="15" customHeight="1" thickBot="1">
      <c r="A47" s="55">
        <v>4400</v>
      </c>
      <c r="B47" s="55"/>
      <c r="C47" s="194" t="s">
        <v>599</v>
      </c>
      <c r="D47" s="194" t="s">
        <v>600</v>
      </c>
      <c r="E47" s="194"/>
      <c r="F47" s="194"/>
      <c r="G47" s="291">
        <f t="shared" si="0"/>
        <v>4.2</v>
      </c>
      <c r="H47" s="292">
        <f>3.5*(1+VLOOKUP("USTDL",Umsatzsteuersaetze,5,0))</f>
        <v>4.2</v>
      </c>
      <c r="I47" s="168"/>
      <c r="J47" s="194" t="s">
        <v>97</v>
      </c>
    </row>
    <row r="48" spans="1:13" ht="15" customHeight="1" thickBot="1">
      <c r="A48" s="55">
        <v>4500</v>
      </c>
      <c r="B48" s="55"/>
      <c r="C48" s="194" t="s">
        <v>601</v>
      </c>
      <c r="D48" s="194" t="s">
        <v>602</v>
      </c>
      <c r="E48" s="194"/>
      <c r="F48" s="194"/>
      <c r="G48" s="291">
        <f t="shared" si="0"/>
        <v>1</v>
      </c>
      <c r="H48" s="292">
        <v>1</v>
      </c>
      <c r="I48" s="168"/>
      <c r="J48" s="194" t="s">
        <v>585</v>
      </c>
    </row>
    <row r="49" spans="1:10" ht="15" customHeight="1" thickBot="1">
      <c r="A49" s="55">
        <v>4600</v>
      </c>
      <c r="B49" s="55"/>
      <c r="C49" s="194" t="s">
        <v>603</v>
      </c>
      <c r="D49" s="194" t="s">
        <v>587</v>
      </c>
      <c r="E49" s="194"/>
      <c r="F49" s="194"/>
      <c r="G49" s="291">
        <f t="shared" si="0"/>
        <v>120</v>
      </c>
      <c r="H49" s="292">
        <f>100*(1+VLOOKUP("USTDL",Umsatzsteuersaetze,5,0))</f>
        <v>120</v>
      </c>
      <c r="I49" s="168"/>
      <c r="J49" s="194" t="s">
        <v>588</v>
      </c>
    </row>
    <row r="50" spans="1:10" ht="15" customHeight="1" thickBot="1">
      <c r="A50" s="55">
        <v>4700</v>
      </c>
      <c r="B50" s="55"/>
      <c r="C50" s="194" t="s">
        <v>604</v>
      </c>
      <c r="D50" s="194" t="s">
        <v>605</v>
      </c>
      <c r="E50" s="194"/>
      <c r="F50" s="194" t="s">
        <v>606</v>
      </c>
      <c r="G50" s="291">
        <f t="shared" si="0"/>
        <v>0</v>
      </c>
      <c r="H50" s="292">
        <f>VLOOKUP("JALRKm2",Reinigung,5,0)*VLOOKUP("JALRfreq",Reinigung,5,0)*VLOOKUP("JALF",Objektkenndaten,5,0)+(VLOOKUP("JALFab",Objektkenndaten,5,0)*VLOOKUP("JALRKm2",Reinigung,5,0)*VLOOKUP("JALRfreq",Reinigung,5,0)/VLOOKUP("RKh",Dienstleistungen,5,0)/8)*VLOOKUP("SBÜHd",Reinigung,5,0)</f>
        <v>0</v>
      </c>
      <c r="I50" s="168"/>
      <c r="J50" s="194" t="s">
        <v>493</v>
      </c>
    </row>
    <row r="51" spans="1:10" ht="15" customHeight="1" thickBot="1">
      <c r="A51" s="293">
        <v>4800</v>
      </c>
      <c r="B51" s="293"/>
      <c r="C51" s="172"/>
      <c r="D51" s="172" t="s">
        <v>641</v>
      </c>
      <c r="E51" s="172"/>
      <c r="F51" s="172"/>
      <c r="G51" s="171"/>
      <c r="H51" s="171"/>
      <c r="I51" s="171"/>
      <c r="J51" s="172"/>
    </row>
    <row r="52" spans="1:10" ht="15" customHeight="1" thickBot="1">
      <c r="A52" s="55">
        <v>4900</v>
      </c>
      <c r="B52" s="55"/>
      <c r="C52" s="194" t="s">
        <v>607</v>
      </c>
      <c r="D52" s="194" t="s">
        <v>608</v>
      </c>
      <c r="E52" s="194"/>
      <c r="F52" s="194"/>
      <c r="G52" s="291">
        <f t="shared" si="0"/>
        <v>1.7999999999999998</v>
      </c>
      <c r="H52" s="292">
        <f>1.5*(1+VLOOKUP("USTDL",Umsatzsteuersaetze,5,0))</f>
        <v>1.7999999999999998</v>
      </c>
      <c r="I52" s="168"/>
      <c r="J52" s="194" t="s">
        <v>97</v>
      </c>
    </row>
    <row r="53" spans="1:10" ht="15" customHeight="1" thickBot="1">
      <c r="A53" s="55">
        <v>5000</v>
      </c>
      <c r="B53" s="55"/>
      <c r="C53" s="194" t="s">
        <v>609</v>
      </c>
      <c r="D53" s="194" t="s">
        <v>610</v>
      </c>
      <c r="E53" s="194"/>
      <c r="F53" s="194"/>
      <c r="G53" s="291">
        <f t="shared" si="0"/>
        <v>1</v>
      </c>
      <c r="H53" s="292">
        <v>1</v>
      </c>
      <c r="I53" s="168"/>
      <c r="J53" s="194" t="s">
        <v>585</v>
      </c>
    </row>
    <row r="54" spans="1:10" ht="15" customHeight="1" thickBot="1">
      <c r="A54" s="55">
        <v>5100</v>
      </c>
      <c r="B54" s="55"/>
      <c r="C54" s="194" t="s">
        <v>611</v>
      </c>
      <c r="D54" s="194" t="s">
        <v>612</v>
      </c>
      <c r="E54" s="194"/>
      <c r="F54" s="194" t="s">
        <v>613</v>
      </c>
      <c r="G54" s="291">
        <f t="shared" si="0"/>
        <v>0</v>
      </c>
      <c r="H54" s="292">
        <f>VLOOKUP("FASSRKm2",Reinigung,5,0)*VLOOKUP("FASSRfreq",Reinigung,5,0)*VLOOKUP("GLASFF",Objektkenndaten,5,0)</f>
        <v>0</v>
      </c>
      <c r="I54" s="168"/>
      <c r="J54" s="194" t="s">
        <v>493</v>
      </c>
    </row>
    <row r="55" spans="1:10" ht="15" customHeight="1" thickBot="1">
      <c r="A55" s="55">
        <v>5200</v>
      </c>
      <c r="B55" s="55"/>
      <c r="C55" s="194" t="s">
        <v>614</v>
      </c>
      <c r="D55" s="194" t="s">
        <v>587</v>
      </c>
      <c r="E55" s="194"/>
      <c r="F55" s="194"/>
      <c r="G55" s="291">
        <f t="shared" si="0"/>
        <v>24</v>
      </c>
      <c r="H55" s="292">
        <f>20*(1+VLOOKUP("USTDL",Umsatzsteuersaetze,5,0))</f>
        <v>24</v>
      </c>
      <c r="I55" s="168"/>
      <c r="J55" s="194" t="s">
        <v>588</v>
      </c>
    </row>
    <row r="56" spans="1:10" ht="15" customHeight="1" thickBot="1">
      <c r="A56" s="55">
        <v>5300</v>
      </c>
      <c r="B56" s="55"/>
      <c r="C56" s="194" t="s">
        <v>615</v>
      </c>
      <c r="D56" s="194" t="s">
        <v>616</v>
      </c>
      <c r="E56" s="194"/>
      <c r="F56" s="194" t="s">
        <v>617</v>
      </c>
      <c r="G56" s="291">
        <f t="shared" si="0"/>
        <v>0</v>
      </c>
      <c r="H56" s="292">
        <f>VLOOKUP("FASSRKm2",Reinigung,5,0)*VLOOKUP("FASSRfreq",Reinigung,5,0)*VLOOKUP("GLASFF",Objektkenndaten,5,0)+(VLOOKUP("GLASFFab",Objektkenndaten,5,0)*VLOOKUP("FASSRKm2",Reinigung,5,0)*VLOOKUP("FASSRfreq",Reinigung,5,0)/VLOOKUP("RKh",Dienstleistungen,5,0)/8)*VLOOKUP("FBÜHd",Reinigung,5,0)</f>
        <v>0</v>
      </c>
      <c r="I56" s="168"/>
      <c r="J56" s="194" t="s">
        <v>493</v>
      </c>
    </row>
    <row r="57" spans="1:10" ht="15" customHeight="1" thickBot="1">
      <c r="A57" s="293">
        <v>5500</v>
      </c>
      <c r="B57" s="293"/>
      <c r="C57" s="172"/>
      <c r="D57" s="172" t="s">
        <v>618</v>
      </c>
      <c r="E57" s="172"/>
      <c r="F57" s="172"/>
      <c r="G57" s="171"/>
      <c r="H57" s="171"/>
      <c r="I57" s="171"/>
      <c r="J57" s="172"/>
    </row>
    <row r="58" spans="1:10" ht="15" customHeight="1" thickBot="1">
      <c r="A58" s="55">
        <v>5600</v>
      </c>
      <c r="B58" s="55"/>
      <c r="C58" s="194" t="s">
        <v>619</v>
      </c>
      <c r="D58" s="194" t="s">
        <v>620</v>
      </c>
      <c r="E58" s="194"/>
      <c r="F58" s="194"/>
      <c r="G58" s="291">
        <f t="shared" si="0"/>
        <v>2.4</v>
      </c>
      <c r="H58" s="292">
        <f>2*(1+VLOOKUP("USTDL",Umsatzsteuersaetze,5,0))</f>
        <v>2.4</v>
      </c>
      <c r="I58" s="168"/>
      <c r="J58" s="194" t="s">
        <v>621</v>
      </c>
    </row>
    <row r="59" spans="1:10" ht="15" customHeight="1" thickBot="1">
      <c r="A59" s="55">
        <v>5700</v>
      </c>
      <c r="B59" s="55"/>
      <c r="C59" s="194" t="s">
        <v>622</v>
      </c>
      <c r="D59" s="194" t="s">
        <v>623</v>
      </c>
      <c r="E59" s="194"/>
      <c r="F59" s="194" t="s">
        <v>624</v>
      </c>
      <c r="G59" s="291">
        <f t="shared" si="0"/>
        <v>0</v>
      </c>
      <c r="H59" s="292">
        <f>VLOOKUP("RAPKm2a",Reinigung,5,0)*VLOOKUP("GRÜNF",Objektkenndaten,5,0)</f>
        <v>0</v>
      </c>
      <c r="I59" s="168"/>
      <c r="J59" s="194" t="s">
        <v>493</v>
      </c>
    </row>
    <row r="60" spans="1:10" ht="15" customHeight="1" thickBot="1">
      <c r="A60" s="55">
        <v>5900</v>
      </c>
      <c r="B60" s="55"/>
      <c r="C60" s="194" t="s">
        <v>625</v>
      </c>
      <c r="D60" s="194" t="s">
        <v>626</v>
      </c>
      <c r="E60" s="194"/>
      <c r="F60" s="194"/>
      <c r="G60" s="291">
        <f t="shared" si="0"/>
        <v>0.1</v>
      </c>
      <c r="H60" s="292">
        <v>0.1</v>
      </c>
      <c r="I60" s="50"/>
      <c r="J60" s="194" t="s">
        <v>522</v>
      </c>
    </row>
    <row r="61" spans="1:10" ht="15" customHeight="1" thickBot="1">
      <c r="A61" s="55">
        <v>6000</v>
      </c>
      <c r="B61" s="55"/>
      <c r="C61" s="194" t="s">
        <v>627</v>
      </c>
      <c r="D61" s="194" t="s">
        <v>628</v>
      </c>
      <c r="E61" s="194"/>
      <c r="F61" s="194"/>
      <c r="G61" s="291">
        <f t="shared" si="0"/>
        <v>0.15</v>
      </c>
      <c r="H61" s="292">
        <v>0.15</v>
      </c>
      <c r="I61" s="168"/>
      <c r="J61" s="194" t="s">
        <v>524</v>
      </c>
    </row>
    <row r="62" spans="1:10" ht="15" customHeight="1" thickBot="1">
      <c r="A62" s="55">
        <v>6100</v>
      </c>
      <c r="B62" s="55"/>
      <c r="C62" s="194" t="s">
        <v>629</v>
      </c>
      <c r="D62" s="194" t="s">
        <v>630</v>
      </c>
      <c r="E62" s="194"/>
      <c r="F62" s="194"/>
      <c r="G62" s="291">
        <f t="shared" si="0"/>
        <v>1.2</v>
      </c>
      <c r="H62" s="292">
        <f>1*(1+VLOOKUP("USTDL",Umsatzsteuersaetze,5,0))</f>
        <v>1.2</v>
      </c>
      <c r="I62" s="168"/>
      <c r="J62" s="194" t="s">
        <v>621</v>
      </c>
    </row>
    <row r="63" spans="1:10" ht="15" customHeight="1" thickBot="1">
      <c r="A63" s="55">
        <v>6200</v>
      </c>
      <c r="B63" s="55"/>
      <c r="C63" s="194" t="s">
        <v>631</v>
      </c>
      <c r="D63" s="194" t="s">
        <v>632</v>
      </c>
      <c r="E63" s="194"/>
      <c r="F63" s="194" t="s">
        <v>633</v>
      </c>
      <c r="G63" s="291">
        <f t="shared" si="0"/>
        <v>0.34451999999999994</v>
      </c>
      <c r="H63" s="292">
        <f>VLOOKUP("RAuFfreq",Reinigung,5,0)*VLOOKUP("RAuFLeis",Reinigung,5,0)*VLOOKUP("RKh",Dienstleistungen,5,0)*4.35*12/60</f>
        <v>0.34451999999999994</v>
      </c>
      <c r="I63" s="168"/>
      <c r="J63" s="194" t="s">
        <v>621</v>
      </c>
    </row>
    <row r="64" spans="1:10" ht="15" customHeight="1" thickBot="1">
      <c r="A64" s="55">
        <v>6300</v>
      </c>
      <c r="B64" s="55"/>
      <c r="C64" s="194" t="s">
        <v>634</v>
      </c>
      <c r="D64" s="194" t="s">
        <v>635</v>
      </c>
      <c r="E64" s="194"/>
      <c r="F64" s="194" t="s">
        <v>636</v>
      </c>
      <c r="G64" s="291">
        <f t="shared" si="0"/>
        <v>0</v>
      </c>
      <c r="H64" s="292">
        <f>(VLOOKUP("SRKm2a",Reinigung,5,0)+VLOOKUP("AuFKm2a",Reinigung,5,0))*VLOOKUP("BEFAF",Objektkenndaten,5,0)</f>
        <v>0</v>
      </c>
      <c r="I64" s="168"/>
      <c r="J64" s="194" t="s">
        <v>493</v>
      </c>
    </row>
    <row r="65" spans="1:10" ht="15" customHeight="1" thickTop="1" thickBot="1">
      <c r="A65" s="293"/>
      <c r="B65" s="293"/>
      <c r="C65" s="172"/>
      <c r="D65" s="172"/>
      <c r="E65" s="172"/>
      <c r="F65" s="172"/>
      <c r="G65" s="613" t="s">
        <v>2647</v>
      </c>
      <c r="H65" s="613"/>
      <c r="I65" s="613"/>
      <c r="J65" s="613"/>
    </row>
    <row r="66" spans="1:10" ht="15" customHeight="1" thickTop="1"/>
  </sheetData>
  <sheetProtection password="FDAF" sheet="1" objects="1" scenarios="1" selectLockedCells="1"/>
  <mergeCells count="2">
    <mergeCell ref="G2:J2"/>
    <mergeCell ref="G65:J65"/>
  </mergeCells>
  <hyperlinks>
    <hyperlink ref="G2" location="Nutzung_Betrieb" display="zurück zu &quot;Nutzung und Betrieb&quot;"/>
    <hyperlink ref="G2:J2" location="'Nutzung &amp; Betrieb'!A1" display="zurück zu &quot;Nutzung &amp; Betrieb&quot;"/>
    <hyperlink ref="G65" location="Nutzung_Betrieb" display="zurück zu &quot;Nutzung und Betrieb&quot;"/>
    <hyperlink ref="G65:J65" location="'Nutzung &amp; Betrieb'!A1" display="zurück zu &quot;Nutzung &amp; Betrieb&quot;"/>
  </hyperlinks>
  <pageMargins left="0.78740157480314965" right="0.78740157480314965" top="0.98425196850393704" bottom="0.98425196850393704" header="0.51181102362204722" footer="0.51181102362204722"/>
  <pageSetup paperSize="9" fitToHeight="0" orientation="portrait" r:id="rId1"/>
  <headerFooter>
    <oddFooter>&amp;L&amp;F&amp;C&amp;A&amp;R&amp;P von &amp;N</oddFooter>
  </headerFooter>
  <rowBreaks count="1" manualBreakCount="1">
    <brk id="38" max="9" man="1"/>
  </rowBreaks>
</worksheet>
</file>

<file path=xl/worksheets/sheet2.xml><?xml version="1.0" encoding="utf-8"?>
<worksheet xmlns="http://schemas.openxmlformats.org/spreadsheetml/2006/main" xmlns:r="http://schemas.openxmlformats.org/officeDocument/2006/relationships">
  <sheetPr>
    <tabColor theme="0" tint="-4.9989318521683403E-2"/>
  </sheetPr>
  <dimension ref="B1:N45"/>
  <sheetViews>
    <sheetView zoomScaleNormal="100" workbookViewId="0">
      <selection activeCell="C5" sqref="C5:M17"/>
    </sheetView>
  </sheetViews>
  <sheetFormatPr baseColWidth="10" defaultColWidth="10.83203125" defaultRowHeight="15" customHeight="1"/>
  <cols>
    <col min="1" max="2" width="3.83203125" style="37" customWidth="1"/>
    <col min="3" max="13" width="10.83203125" style="37"/>
    <col min="14" max="15" width="3.83203125" style="37" customWidth="1"/>
    <col min="16" max="16384" width="10.83203125" style="37"/>
  </cols>
  <sheetData>
    <row r="1" spans="2:14" ht="15" customHeight="1" thickBot="1"/>
    <row r="2" spans="2:14" ht="15" customHeight="1" thickTop="1">
      <c r="B2" s="215"/>
      <c r="C2" s="233"/>
      <c r="D2" s="233"/>
      <c r="E2" s="233"/>
      <c r="F2" s="233"/>
      <c r="G2" s="233"/>
      <c r="H2" s="233"/>
      <c r="I2" s="233"/>
      <c r="J2" s="233"/>
      <c r="K2" s="233"/>
      <c r="L2" s="233"/>
      <c r="M2" s="233"/>
      <c r="N2" s="217"/>
    </row>
    <row r="3" spans="2:14" ht="15" customHeight="1">
      <c r="B3" s="218"/>
      <c r="C3" s="219" t="s">
        <v>2600</v>
      </c>
      <c r="D3" s="286"/>
      <c r="E3" s="286"/>
      <c r="F3" s="286"/>
      <c r="G3" s="286"/>
      <c r="H3" s="286"/>
      <c r="I3" s="286"/>
      <c r="J3" s="286"/>
      <c r="K3" s="286"/>
      <c r="L3" s="286"/>
      <c r="M3" s="286"/>
      <c r="N3" s="221"/>
    </row>
    <row r="4" spans="2:14" ht="15" customHeight="1">
      <c r="B4" s="218"/>
      <c r="C4" s="223"/>
      <c r="D4" s="286"/>
      <c r="E4" s="286"/>
      <c r="F4" s="286"/>
      <c r="G4" s="286"/>
      <c r="H4" s="286"/>
      <c r="I4" s="286"/>
      <c r="J4" s="286"/>
      <c r="K4" s="286"/>
      <c r="L4" s="286"/>
      <c r="M4" s="286"/>
      <c r="N4" s="221"/>
    </row>
    <row r="5" spans="2:14" ht="15" customHeight="1">
      <c r="B5" s="218"/>
      <c r="C5" s="607" t="s">
        <v>2708</v>
      </c>
      <c r="D5" s="607"/>
      <c r="E5" s="607"/>
      <c r="F5" s="607"/>
      <c r="G5" s="607"/>
      <c r="H5" s="607"/>
      <c r="I5" s="607"/>
      <c r="J5" s="607"/>
      <c r="K5" s="607"/>
      <c r="L5" s="607"/>
      <c r="M5" s="607"/>
      <c r="N5" s="221"/>
    </row>
    <row r="6" spans="2:14" ht="15" customHeight="1">
      <c r="B6" s="218"/>
      <c r="C6" s="607"/>
      <c r="D6" s="607"/>
      <c r="E6" s="607"/>
      <c r="F6" s="607"/>
      <c r="G6" s="607"/>
      <c r="H6" s="607"/>
      <c r="I6" s="607"/>
      <c r="J6" s="607"/>
      <c r="K6" s="607"/>
      <c r="L6" s="607"/>
      <c r="M6" s="607"/>
      <c r="N6" s="221"/>
    </row>
    <row r="7" spans="2:14" ht="15" customHeight="1">
      <c r="B7" s="218"/>
      <c r="C7" s="607"/>
      <c r="D7" s="607"/>
      <c r="E7" s="607"/>
      <c r="F7" s="607"/>
      <c r="G7" s="607"/>
      <c r="H7" s="607"/>
      <c r="I7" s="607"/>
      <c r="J7" s="607"/>
      <c r="K7" s="607"/>
      <c r="L7" s="607"/>
      <c r="M7" s="607"/>
      <c r="N7" s="221"/>
    </row>
    <row r="8" spans="2:14" ht="15" customHeight="1">
      <c r="B8" s="218"/>
      <c r="C8" s="607"/>
      <c r="D8" s="607"/>
      <c r="E8" s="607"/>
      <c r="F8" s="607"/>
      <c r="G8" s="607"/>
      <c r="H8" s="607"/>
      <c r="I8" s="607"/>
      <c r="J8" s="607"/>
      <c r="K8" s="607"/>
      <c r="L8" s="607"/>
      <c r="M8" s="607"/>
      <c r="N8" s="221"/>
    </row>
    <row r="9" spans="2:14" ht="15" customHeight="1">
      <c r="B9" s="218"/>
      <c r="C9" s="607"/>
      <c r="D9" s="607"/>
      <c r="E9" s="607"/>
      <c r="F9" s="607"/>
      <c r="G9" s="607"/>
      <c r="H9" s="607"/>
      <c r="I9" s="607"/>
      <c r="J9" s="607"/>
      <c r="K9" s="607"/>
      <c r="L9" s="607"/>
      <c r="M9" s="607"/>
      <c r="N9" s="221"/>
    </row>
    <row r="10" spans="2:14" ht="15" customHeight="1">
      <c r="B10" s="218"/>
      <c r="C10" s="607"/>
      <c r="D10" s="607"/>
      <c r="E10" s="607"/>
      <c r="F10" s="607"/>
      <c r="G10" s="607"/>
      <c r="H10" s="607"/>
      <c r="I10" s="607"/>
      <c r="J10" s="607"/>
      <c r="K10" s="607"/>
      <c r="L10" s="607"/>
      <c r="M10" s="607"/>
      <c r="N10" s="221"/>
    </row>
    <row r="11" spans="2:14" ht="15" customHeight="1">
      <c r="B11" s="218"/>
      <c r="C11" s="607"/>
      <c r="D11" s="607"/>
      <c r="E11" s="607"/>
      <c r="F11" s="607"/>
      <c r="G11" s="607"/>
      <c r="H11" s="607"/>
      <c r="I11" s="607"/>
      <c r="J11" s="607"/>
      <c r="K11" s="607"/>
      <c r="L11" s="607"/>
      <c r="M11" s="607"/>
      <c r="N11" s="221"/>
    </row>
    <row r="12" spans="2:14" ht="15" customHeight="1">
      <c r="B12" s="218"/>
      <c r="C12" s="607"/>
      <c r="D12" s="607"/>
      <c r="E12" s="607"/>
      <c r="F12" s="607"/>
      <c r="G12" s="607"/>
      <c r="H12" s="607"/>
      <c r="I12" s="607"/>
      <c r="J12" s="607"/>
      <c r="K12" s="607"/>
      <c r="L12" s="607"/>
      <c r="M12" s="607"/>
      <c r="N12" s="221"/>
    </row>
    <row r="13" spans="2:14" ht="15" customHeight="1">
      <c r="B13" s="218"/>
      <c r="C13" s="607"/>
      <c r="D13" s="607"/>
      <c r="E13" s="607"/>
      <c r="F13" s="607"/>
      <c r="G13" s="607"/>
      <c r="H13" s="607"/>
      <c r="I13" s="607"/>
      <c r="J13" s="607"/>
      <c r="K13" s="607"/>
      <c r="L13" s="607"/>
      <c r="M13" s="607"/>
      <c r="N13" s="221"/>
    </row>
    <row r="14" spans="2:14" ht="15" customHeight="1">
      <c r="B14" s="218"/>
      <c r="C14" s="607"/>
      <c r="D14" s="607"/>
      <c r="E14" s="607"/>
      <c r="F14" s="607"/>
      <c r="G14" s="607"/>
      <c r="H14" s="607"/>
      <c r="I14" s="607"/>
      <c r="J14" s="607"/>
      <c r="K14" s="607"/>
      <c r="L14" s="607"/>
      <c r="M14" s="607"/>
      <c r="N14" s="221"/>
    </row>
    <row r="15" spans="2:14" ht="15" customHeight="1">
      <c r="B15" s="218"/>
      <c r="C15" s="607"/>
      <c r="D15" s="607"/>
      <c r="E15" s="607"/>
      <c r="F15" s="607"/>
      <c r="G15" s="607"/>
      <c r="H15" s="607"/>
      <c r="I15" s="607"/>
      <c r="J15" s="607"/>
      <c r="K15" s="607"/>
      <c r="L15" s="607"/>
      <c r="M15" s="607"/>
      <c r="N15" s="221"/>
    </row>
    <row r="16" spans="2:14" ht="15" customHeight="1">
      <c r="B16" s="218"/>
      <c r="C16" s="607"/>
      <c r="D16" s="607"/>
      <c r="E16" s="607"/>
      <c r="F16" s="607"/>
      <c r="G16" s="607"/>
      <c r="H16" s="607"/>
      <c r="I16" s="607"/>
      <c r="J16" s="607"/>
      <c r="K16" s="607"/>
      <c r="L16" s="607"/>
      <c r="M16" s="607"/>
      <c r="N16" s="221"/>
    </row>
    <row r="17" spans="2:14" ht="15" customHeight="1">
      <c r="B17" s="218"/>
      <c r="C17" s="607"/>
      <c r="D17" s="607"/>
      <c r="E17" s="607"/>
      <c r="F17" s="607"/>
      <c r="G17" s="607"/>
      <c r="H17" s="607"/>
      <c r="I17" s="607"/>
      <c r="J17" s="607"/>
      <c r="K17" s="607"/>
      <c r="L17" s="607"/>
      <c r="M17" s="607"/>
      <c r="N17" s="221"/>
    </row>
    <row r="18" spans="2:14" ht="15" customHeight="1">
      <c r="B18" s="218"/>
      <c r="C18" s="475"/>
      <c r="D18" s="475"/>
      <c r="E18" s="475"/>
      <c r="F18" s="475"/>
      <c r="G18" s="475"/>
      <c r="H18" s="475"/>
      <c r="I18" s="475"/>
      <c r="J18" s="475"/>
      <c r="K18" s="475"/>
      <c r="L18" s="475"/>
      <c r="M18" s="475"/>
      <c r="N18" s="221"/>
    </row>
    <row r="19" spans="2:14" ht="15" customHeight="1">
      <c r="B19" s="218"/>
      <c r="C19" s="464" t="s">
        <v>2507</v>
      </c>
      <c r="D19" s="220"/>
      <c r="E19" s="220"/>
      <c r="F19" s="220"/>
      <c r="G19" s="220"/>
      <c r="H19" s="220"/>
      <c r="I19" s="220"/>
      <c r="J19" s="220"/>
      <c r="K19" s="220"/>
      <c r="L19" s="220"/>
      <c r="M19" s="220"/>
      <c r="N19" s="221"/>
    </row>
    <row r="20" spans="2:14" ht="15" customHeight="1">
      <c r="B20" s="218"/>
      <c r="C20" s="562"/>
      <c r="D20" s="223" t="s">
        <v>2707</v>
      </c>
      <c r="E20" s="225"/>
      <c r="F20" s="225"/>
      <c r="G20" s="225"/>
      <c r="H20" s="225"/>
      <c r="I20" s="225"/>
      <c r="J20" s="225"/>
      <c r="K20" s="225"/>
      <c r="L20" s="225"/>
      <c r="M20" s="225"/>
      <c r="N20" s="221"/>
    </row>
    <row r="21" spans="2:14" ht="15" customHeight="1">
      <c r="B21" s="218"/>
      <c r="C21" s="565"/>
      <c r="D21" s="222" t="s">
        <v>2563</v>
      </c>
      <c r="E21" s="220"/>
      <c r="F21" s="220"/>
      <c r="G21" s="220"/>
      <c r="H21" s="220"/>
      <c r="I21" s="220"/>
      <c r="J21" s="220"/>
      <c r="K21" s="220"/>
      <c r="L21" s="220"/>
      <c r="M21" s="220"/>
      <c r="N21" s="221"/>
    </row>
    <row r="22" spans="2:14" ht="15" customHeight="1">
      <c r="B22" s="218"/>
      <c r="C22" s="566"/>
      <c r="D22" s="223" t="s">
        <v>2564</v>
      </c>
      <c r="E22" s="220"/>
      <c r="F22" s="220"/>
      <c r="G22" s="220"/>
      <c r="H22" s="220"/>
      <c r="I22" s="220"/>
      <c r="J22" s="220"/>
      <c r="K22" s="220"/>
      <c r="L22" s="220"/>
      <c r="M22" s="220"/>
      <c r="N22" s="221"/>
    </row>
    <row r="23" spans="2:14" ht="15" customHeight="1">
      <c r="B23" s="218"/>
      <c r="C23" s="563"/>
      <c r="D23" s="223" t="s">
        <v>2562</v>
      </c>
      <c r="E23" s="220"/>
      <c r="F23" s="220"/>
      <c r="G23" s="220"/>
      <c r="H23" s="220"/>
      <c r="I23" s="220"/>
      <c r="J23" s="220"/>
      <c r="K23" s="220"/>
      <c r="L23" s="220"/>
      <c r="M23" s="220"/>
      <c r="N23" s="221"/>
    </row>
    <row r="24" spans="2:14" ht="15" customHeight="1">
      <c r="B24" s="218"/>
      <c r="C24" s="564"/>
      <c r="D24" s="223" t="s">
        <v>2561</v>
      </c>
      <c r="E24" s="225"/>
      <c r="F24" s="225"/>
      <c r="G24" s="225"/>
      <c r="H24" s="225"/>
      <c r="I24" s="225"/>
      <c r="J24" s="225"/>
      <c r="K24" s="225"/>
      <c r="L24" s="225"/>
      <c r="M24" s="225"/>
      <c r="N24" s="221"/>
    </row>
    <row r="25" spans="2:14" ht="15" customHeight="1">
      <c r="B25" s="218"/>
      <c r="C25" s="220"/>
      <c r="D25" s="220"/>
      <c r="E25" s="220"/>
      <c r="F25" s="220"/>
      <c r="G25" s="220"/>
      <c r="H25" s="220"/>
      <c r="I25" s="220"/>
      <c r="J25" s="220"/>
      <c r="K25" s="220"/>
      <c r="L25" s="220"/>
      <c r="M25" s="220"/>
      <c r="N25" s="221"/>
    </row>
    <row r="26" spans="2:14" ht="15" customHeight="1">
      <c r="B26" s="218"/>
      <c r="C26" s="464" t="s">
        <v>2504</v>
      </c>
      <c r="D26" s="225"/>
      <c r="E26" s="225"/>
      <c r="F26" s="225"/>
      <c r="G26" s="225"/>
      <c r="H26" s="225"/>
      <c r="I26" s="225"/>
      <c r="J26" s="225"/>
      <c r="K26" s="225"/>
      <c r="L26" s="225"/>
      <c r="M26" s="225"/>
      <c r="N26" s="221"/>
    </row>
    <row r="27" spans="2:14" ht="15" customHeight="1">
      <c r="B27" s="218"/>
      <c r="C27" s="200" t="s">
        <v>2565</v>
      </c>
      <c r="D27" s="223" t="s">
        <v>2505</v>
      </c>
      <c r="E27" s="225"/>
      <c r="F27" s="225"/>
      <c r="G27" s="225"/>
      <c r="H27" s="225"/>
      <c r="I27" s="225"/>
      <c r="J27" s="225"/>
      <c r="K27" s="225"/>
      <c r="L27" s="225"/>
      <c r="M27" s="225"/>
      <c r="N27" s="221"/>
    </row>
    <row r="28" spans="2:14" ht="15" customHeight="1">
      <c r="B28" s="218"/>
      <c r="C28" s="465" t="s">
        <v>2565</v>
      </c>
      <c r="D28" s="223" t="s">
        <v>2506</v>
      </c>
      <c r="E28" s="225"/>
      <c r="F28" s="225"/>
      <c r="G28" s="225"/>
      <c r="H28" s="225"/>
      <c r="I28" s="225"/>
      <c r="J28" s="225"/>
      <c r="K28" s="225"/>
      <c r="L28" s="225"/>
      <c r="M28" s="225"/>
      <c r="N28" s="221"/>
    </row>
    <row r="29" spans="2:14" ht="15" customHeight="1" thickBot="1">
      <c r="B29" s="218"/>
      <c r="C29" s="461">
        <v>0</v>
      </c>
      <c r="D29" s="223" t="s">
        <v>2570</v>
      </c>
      <c r="E29" s="225"/>
      <c r="F29" s="225"/>
      <c r="G29" s="225"/>
      <c r="H29" s="225"/>
      <c r="I29" s="225"/>
      <c r="J29" s="225"/>
      <c r="K29" s="225"/>
      <c r="L29" s="225"/>
      <c r="M29" s="225"/>
      <c r="N29" s="221"/>
    </row>
    <row r="30" spans="2:14" ht="15" hidden="1" customHeight="1" thickBot="1">
      <c r="B30" s="218"/>
      <c r="C30" s="203">
        <v>0</v>
      </c>
      <c r="D30" s="223" t="s">
        <v>2571</v>
      </c>
      <c r="E30" s="225"/>
      <c r="F30" s="225"/>
      <c r="G30" s="225"/>
      <c r="H30" s="225"/>
      <c r="I30" s="225"/>
      <c r="J30" s="225"/>
      <c r="K30" s="225"/>
      <c r="L30" s="225"/>
      <c r="M30" s="225"/>
      <c r="N30" s="221"/>
    </row>
    <row r="31" spans="2:14" ht="15" customHeight="1" thickBot="1">
      <c r="B31" s="218"/>
      <c r="C31" s="235">
        <v>0</v>
      </c>
      <c r="D31" s="222" t="s">
        <v>2567</v>
      </c>
      <c r="E31" s="225"/>
      <c r="F31" s="225"/>
      <c r="G31" s="225"/>
      <c r="H31" s="225"/>
      <c r="I31" s="225"/>
      <c r="J31" s="225"/>
      <c r="K31" s="225"/>
      <c r="L31" s="225"/>
      <c r="M31" s="225"/>
      <c r="N31" s="221"/>
    </row>
    <row r="32" spans="2:14" ht="15" customHeight="1" thickBot="1">
      <c r="B32" s="218"/>
      <c r="C32" s="236">
        <v>0</v>
      </c>
      <c r="D32" s="222" t="s">
        <v>2568</v>
      </c>
      <c r="E32" s="225"/>
      <c r="F32" s="225"/>
      <c r="G32" s="225"/>
      <c r="H32" s="225"/>
      <c r="I32" s="225"/>
      <c r="J32" s="225"/>
      <c r="K32" s="225"/>
      <c r="L32" s="225"/>
      <c r="M32" s="225"/>
      <c r="N32" s="221"/>
    </row>
    <row r="33" spans="2:14" ht="15" customHeight="1" thickBot="1">
      <c r="B33" s="218"/>
      <c r="C33" s="237">
        <v>0</v>
      </c>
      <c r="D33" s="222" t="s">
        <v>2569</v>
      </c>
      <c r="E33" s="225"/>
      <c r="F33" s="225"/>
      <c r="G33" s="225"/>
      <c r="H33" s="225"/>
      <c r="I33" s="225"/>
      <c r="J33" s="225"/>
      <c r="K33" s="225"/>
      <c r="L33" s="225"/>
      <c r="M33" s="225"/>
      <c r="N33" s="221"/>
    </row>
    <row r="34" spans="2:14" ht="15" customHeight="1">
      <c r="B34" s="218"/>
      <c r="C34" s="462">
        <v>0</v>
      </c>
      <c r="D34" s="223" t="s">
        <v>2572</v>
      </c>
      <c r="E34" s="225"/>
      <c r="F34" s="225"/>
      <c r="G34" s="225"/>
      <c r="H34" s="225"/>
      <c r="I34" s="225"/>
      <c r="J34" s="225"/>
      <c r="K34" s="225"/>
      <c r="L34" s="225"/>
      <c r="M34" s="225"/>
      <c r="N34" s="221"/>
    </row>
    <row r="35" spans="2:14" ht="15" customHeight="1" thickBot="1">
      <c r="B35" s="218"/>
      <c r="C35" s="463">
        <v>0</v>
      </c>
      <c r="D35" s="223" t="s">
        <v>2573</v>
      </c>
      <c r="E35" s="225"/>
      <c r="F35" s="225"/>
      <c r="G35" s="225"/>
      <c r="H35" s="225"/>
      <c r="I35" s="225"/>
      <c r="J35" s="225"/>
      <c r="K35" s="225"/>
      <c r="L35" s="225"/>
      <c r="M35" s="225"/>
      <c r="N35" s="221"/>
    </row>
    <row r="36" spans="2:14" ht="15" customHeight="1" thickTop="1" thickBot="1">
      <c r="B36" s="218"/>
      <c r="C36" s="460" t="s">
        <v>2566</v>
      </c>
      <c r="D36" s="223" t="s">
        <v>2574</v>
      </c>
      <c r="E36" s="225"/>
      <c r="F36" s="225"/>
      <c r="G36" s="225"/>
      <c r="H36" s="225"/>
      <c r="I36" s="225"/>
      <c r="J36" s="225"/>
      <c r="K36" s="225"/>
      <c r="L36" s="225"/>
      <c r="M36" s="225"/>
      <c r="N36" s="221"/>
    </row>
    <row r="37" spans="2:14" ht="15" hidden="1" customHeight="1" thickTop="1">
      <c r="B37" s="218"/>
      <c r="C37" s="225"/>
      <c r="D37" s="225"/>
      <c r="E37" s="225"/>
      <c r="F37" s="225"/>
      <c r="G37" s="225"/>
      <c r="H37" s="225"/>
      <c r="I37" s="225"/>
      <c r="J37" s="225"/>
      <c r="K37" s="225"/>
      <c r="L37" s="225"/>
      <c r="M37" s="225"/>
      <c r="N37" s="221"/>
    </row>
    <row r="38" spans="2:14" ht="15" hidden="1" customHeight="1">
      <c r="B38" s="218"/>
      <c r="C38" s="222" t="s">
        <v>1034</v>
      </c>
      <c r="D38" s="220"/>
      <c r="E38" s="220"/>
      <c r="F38" s="220"/>
      <c r="G38" s="220"/>
      <c r="H38" s="220"/>
      <c r="I38" s="220"/>
      <c r="J38" s="220"/>
      <c r="K38" s="220"/>
      <c r="L38" s="220"/>
      <c r="M38" s="220"/>
      <c r="N38" s="221"/>
    </row>
    <row r="39" spans="2:14" ht="15" hidden="1" customHeight="1">
      <c r="B39" s="218"/>
      <c r="C39" s="220" t="s">
        <v>721</v>
      </c>
      <c r="D39" s="220" t="s">
        <v>1029</v>
      </c>
      <c r="E39" s="220"/>
      <c r="F39" s="220"/>
      <c r="G39" s="220"/>
      <c r="H39" s="220"/>
      <c r="I39" s="220"/>
      <c r="J39" s="220"/>
      <c r="K39" s="220"/>
      <c r="L39" s="220"/>
      <c r="M39" s="220"/>
      <c r="N39" s="221"/>
    </row>
    <row r="40" spans="2:14" ht="15" hidden="1" customHeight="1">
      <c r="B40" s="218"/>
      <c r="C40" s="220" t="s">
        <v>724</v>
      </c>
      <c r="D40" s="220" t="s">
        <v>1030</v>
      </c>
      <c r="E40" s="220"/>
      <c r="F40" s="220"/>
      <c r="G40" s="220"/>
      <c r="H40" s="220"/>
      <c r="I40" s="220"/>
      <c r="J40" s="220"/>
      <c r="K40" s="220"/>
      <c r="L40" s="220"/>
      <c r="M40" s="220"/>
      <c r="N40" s="221"/>
    </row>
    <row r="41" spans="2:14" ht="15" hidden="1" customHeight="1">
      <c r="B41" s="218"/>
      <c r="C41" s="220" t="s">
        <v>743</v>
      </c>
      <c r="D41" s="220" t="s">
        <v>1031</v>
      </c>
      <c r="E41" s="220"/>
      <c r="F41" s="220"/>
      <c r="G41" s="220"/>
      <c r="H41" s="220"/>
      <c r="I41" s="220"/>
      <c r="J41" s="220"/>
      <c r="K41" s="220"/>
      <c r="L41" s="220"/>
      <c r="M41" s="220"/>
      <c r="N41" s="221"/>
    </row>
    <row r="42" spans="2:14" ht="15" hidden="1" customHeight="1">
      <c r="B42" s="218"/>
      <c r="C42" s="220" t="s">
        <v>728</v>
      </c>
      <c r="D42" s="220" t="s">
        <v>1032</v>
      </c>
      <c r="E42" s="220"/>
      <c r="F42" s="220"/>
      <c r="G42" s="220"/>
      <c r="H42" s="220"/>
      <c r="I42" s="220"/>
      <c r="J42" s="220"/>
      <c r="K42" s="220"/>
      <c r="L42" s="220"/>
      <c r="M42" s="220"/>
      <c r="N42" s="221"/>
    </row>
    <row r="43" spans="2:14" ht="15" hidden="1" customHeight="1">
      <c r="B43" s="218"/>
      <c r="C43" s="220" t="s">
        <v>966</v>
      </c>
      <c r="D43" s="220" t="s">
        <v>1033</v>
      </c>
      <c r="E43" s="220"/>
      <c r="F43" s="220"/>
      <c r="G43" s="220"/>
      <c r="H43" s="220"/>
      <c r="I43" s="220"/>
      <c r="J43" s="220"/>
      <c r="K43" s="220"/>
      <c r="L43" s="220"/>
      <c r="M43" s="220"/>
      <c r="N43" s="221"/>
    </row>
    <row r="44" spans="2:14" ht="15" customHeight="1" thickTop="1" thickBot="1">
      <c r="B44" s="230"/>
      <c r="C44" s="238"/>
      <c r="D44" s="238"/>
      <c r="E44" s="238"/>
      <c r="F44" s="238"/>
      <c r="G44" s="238"/>
      <c r="H44" s="238"/>
      <c r="I44" s="238"/>
      <c r="J44" s="238"/>
      <c r="K44" s="238"/>
      <c r="L44" s="238"/>
      <c r="M44" s="238"/>
      <c r="N44" s="232"/>
    </row>
    <row r="45" spans="2:14" ht="15" customHeight="1" thickTop="1"/>
  </sheetData>
  <sheetProtection password="FDAF" sheet="1" objects="1" scenarios="1" selectLockedCells="1" selectUnlockedCells="1"/>
  <mergeCells count="1">
    <mergeCell ref="C5:M17"/>
  </mergeCells>
  <pageMargins left="0.7" right="0.7" top="0.78740157499999996" bottom="0.78740157499999996" header="0.3" footer="0.3"/>
  <pageSetup paperSize="9" scale="84" orientation="portrait" r:id="rId1"/>
</worksheet>
</file>

<file path=xl/worksheets/sheet20.xml><?xml version="1.0" encoding="utf-8"?>
<worksheet xmlns="http://schemas.openxmlformats.org/spreadsheetml/2006/main" xmlns:r="http://schemas.openxmlformats.org/officeDocument/2006/relationships">
  <sheetPr codeName="Tabelle111">
    <tabColor theme="8" tint="0.79998168889431442"/>
    <pageSetUpPr fitToPage="1"/>
  </sheetPr>
  <dimension ref="A1:L200"/>
  <sheetViews>
    <sheetView topLeftCell="C1" zoomScaleNormal="100" zoomScaleSheetLayoutView="85" workbookViewId="0">
      <pane ySplit="1" topLeftCell="A2" activePane="bottomLeft" state="frozen"/>
      <selection activeCell="C23" sqref="C23:M24"/>
      <selection pane="bottomLeft" activeCell="I3" sqref="I3"/>
    </sheetView>
  </sheetViews>
  <sheetFormatPr baseColWidth="10" defaultRowHeight="15" customHeight="1"/>
  <cols>
    <col min="1" max="1" width="6.6640625" style="106" hidden="1" customWidth="1"/>
    <col min="2" max="2" width="5" style="106" hidden="1" customWidth="1"/>
    <col min="3" max="3" width="12" style="106" customWidth="1"/>
    <col min="4" max="4" width="51.6640625" style="106" customWidth="1"/>
    <col min="5" max="5" width="10.5" style="106" hidden="1" customWidth="1"/>
    <col min="6" max="6" width="30.83203125" style="106" hidden="1" customWidth="1"/>
    <col min="7" max="7" width="12.5" style="106" bestFit="1" customWidth="1"/>
    <col min="8" max="8" width="12.33203125" style="364" bestFit="1" customWidth="1"/>
    <col min="9" max="9" width="8.5" style="364" bestFit="1" customWidth="1"/>
    <col min="10" max="10" width="8.6640625" style="106" bestFit="1" customWidth="1"/>
    <col min="11" max="11" width="15.83203125" style="106" hidden="1" customWidth="1"/>
    <col min="12" max="12" width="0" style="106" hidden="1" customWidth="1"/>
    <col min="13" max="16384" width="12" style="106"/>
  </cols>
  <sheetData>
    <row r="1" spans="1:11" ht="15" customHeight="1" thickBot="1">
      <c r="A1" s="344" t="s">
        <v>1</v>
      </c>
      <c r="B1" s="348" t="s">
        <v>719</v>
      </c>
      <c r="C1" s="344" t="s">
        <v>2</v>
      </c>
      <c r="D1" s="344" t="s">
        <v>66</v>
      </c>
      <c r="E1" s="344" t="s">
        <v>89</v>
      </c>
      <c r="F1" s="344" t="s">
        <v>90</v>
      </c>
      <c r="G1" s="344" t="s">
        <v>1207</v>
      </c>
      <c r="H1" s="352" t="s">
        <v>1208</v>
      </c>
      <c r="I1" s="352" t="s">
        <v>1206</v>
      </c>
      <c r="J1" s="344" t="s">
        <v>1484</v>
      </c>
      <c r="K1" s="154"/>
    </row>
    <row r="2" spans="1:11" ht="15" customHeight="1" thickTop="1" thickBot="1">
      <c r="A2" s="293">
        <v>100</v>
      </c>
      <c r="B2" s="293"/>
      <c r="C2" s="172"/>
      <c r="D2" s="172" t="s">
        <v>650</v>
      </c>
      <c r="E2" s="94"/>
      <c r="F2" s="94"/>
      <c r="G2" s="613" t="s">
        <v>2647</v>
      </c>
      <c r="H2" s="613"/>
      <c r="I2" s="613"/>
      <c r="J2" s="613"/>
    </row>
    <row r="3" spans="1:11" ht="15" customHeight="1" thickTop="1" thickBot="1">
      <c r="A3" s="55">
        <v>200</v>
      </c>
      <c r="B3" s="55"/>
      <c r="C3" s="194" t="s">
        <v>651</v>
      </c>
      <c r="D3" s="194" t="s">
        <v>652</v>
      </c>
      <c r="E3" s="194"/>
      <c r="F3" s="194"/>
      <c r="G3" s="291">
        <f>IF(I3="",H3,I3)</f>
        <v>15</v>
      </c>
      <c r="H3" s="292">
        <v>15</v>
      </c>
      <c r="I3" s="153"/>
      <c r="J3" s="194" t="s">
        <v>98</v>
      </c>
    </row>
    <row r="4" spans="1:11" ht="15" customHeight="1" thickBot="1">
      <c r="A4" s="55">
        <v>400</v>
      </c>
      <c r="B4" s="55"/>
      <c r="C4" s="194" t="s">
        <v>653</v>
      </c>
      <c r="D4" s="194" t="s">
        <v>654</v>
      </c>
      <c r="E4" s="194"/>
      <c r="F4" s="194" t="s">
        <v>2739</v>
      </c>
      <c r="G4" s="155" t="str">
        <f t="shared" ref="G4:G8" si="0">IF(I4="",H4,I4)</f>
        <v>k.A.</v>
      </c>
      <c r="H4" s="292" t="str">
        <f>IF(VLOOKUP("BK",Errichtungskosten,12,0)=0,"k.A.",(VLOOKUP("E7",Errichtungskosten,12,0)/VLOOKUP("BK",Errichtungskosten,12,0)*100))</f>
        <v>k.A.</v>
      </c>
      <c r="I4" s="194"/>
      <c r="J4" s="194" t="s">
        <v>98</v>
      </c>
    </row>
    <row r="5" spans="1:11" ht="15" customHeight="1" thickBot="1">
      <c r="A5" s="55">
        <v>500</v>
      </c>
      <c r="B5" s="55"/>
      <c r="C5" s="194" t="s">
        <v>655</v>
      </c>
      <c r="D5" s="194" t="s">
        <v>656</v>
      </c>
      <c r="E5" s="194"/>
      <c r="F5" s="194"/>
      <c r="G5" s="291">
        <f t="shared" si="0"/>
        <v>100</v>
      </c>
      <c r="H5" s="292">
        <v>100</v>
      </c>
      <c r="I5" s="153"/>
      <c r="J5" s="194" t="s">
        <v>657</v>
      </c>
    </row>
    <row r="6" spans="1:11" ht="15" customHeight="1" thickBot="1">
      <c r="A6" s="55">
        <v>600</v>
      </c>
      <c r="B6" s="55"/>
      <c r="C6" s="194" t="s">
        <v>658</v>
      </c>
      <c r="D6" s="194" t="s">
        <v>659</v>
      </c>
      <c r="E6" s="194"/>
      <c r="F6" s="194" t="s">
        <v>2740</v>
      </c>
      <c r="G6" s="291" t="str">
        <f t="shared" si="0"/>
        <v>k.A.</v>
      </c>
      <c r="H6" s="292" t="str">
        <f>IF(VLOOKUP("PLANUNG",Instandsetzung,5,0)="k.A.","k.A.",(1+(VLOOKUP("PLANUNG",Instandsetzung,5,0)/100*(1+VLOOKUP("EINZELP",Instandsetzung,5,0)/100))))</f>
        <v>k.A.</v>
      </c>
      <c r="I6" s="153"/>
      <c r="J6" s="194" t="s">
        <v>660</v>
      </c>
    </row>
    <row r="7" spans="1:11" ht="15" customHeight="1" thickBot="1">
      <c r="A7" s="293">
        <v>800</v>
      </c>
      <c r="B7" s="293"/>
      <c r="C7" s="172"/>
      <c r="D7" s="172" t="s">
        <v>661</v>
      </c>
      <c r="E7" s="172"/>
      <c r="F7" s="172"/>
      <c r="G7" s="171"/>
      <c r="H7" s="171"/>
      <c r="I7" s="171"/>
      <c r="J7" s="172"/>
    </row>
    <row r="8" spans="1:11" ht="15" customHeight="1" thickBot="1">
      <c r="A8" s="55">
        <v>900</v>
      </c>
      <c r="B8" s="55"/>
      <c r="C8" s="194" t="s">
        <v>662</v>
      </c>
      <c r="D8" s="194" t="s">
        <v>663</v>
      </c>
      <c r="E8" s="194"/>
      <c r="F8" s="194"/>
      <c r="G8" s="291">
        <f t="shared" si="0"/>
        <v>2.88</v>
      </c>
      <c r="H8" s="292">
        <f>2.4*(1+VLOOKUP("USTDL",Umsatzsteuersaetze,5,0))</f>
        <v>2.88</v>
      </c>
      <c r="I8" s="153"/>
      <c r="J8" s="194" t="s">
        <v>97</v>
      </c>
    </row>
    <row r="9" spans="1:11" ht="15" customHeight="1" thickTop="1" thickBot="1">
      <c r="A9" s="293"/>
      <c r="B9" s="293"/>
      <c r="C9" s="172"/>
      <c r="D9" s="172"/>
      <c r="E9" s="172"/>
      <c r="F9" s="172"/>
      <c r="G9" s="613" t="s">
        <v>2647</v>
      </c>
      <c r="H9" s="613"/>
      <c r="I9" s="613"/>
      <c r="J9" s="613"/>
    </row>
    <row r="10" spans="1:11" ht="15" customHeight="1" thickTop="1">
      <c r="H10" s="106"/>
      <c r="I10" s="106"/>
    </row>
    <row r="11" spans="1:11" ht="15" customHeight="1">
      <c r="H11" s="106"/>
      <c r="I11" s="106"/>
    </row>
    <row r="12" spans="1:11" ht="15" customHeight="1">
      <c r="H12" s="106"/>
      <c r="I12" s="106"/>
    </row>
    <row r="13" spans="1:11" ht="15" customHeight="1">
      <c r="H13" s="106"/>
      <c r="I13" s="106"/>
    </row>
    <row r="14" spans="1:11" ht="15" customHeight="1">
      <c r="H14" s="106"/>
      <c r="I14" s="106"/>
    </row>
    <row r="15" spans="1:11" ht="15" customHeight="1">
      <c r="H15" s="106"/>
      <c r="I15" s="106"/>
    </row>
    <row r="16" spans="1:11" ht="15" customHeight="1">
      <c r="H16" s="106"/>
      <c r="I16" s="106"/>
    </row>
    <row r="17" spans="8:9" ht="15" customHeight="1">
      <c r="H17" s="106"/>
      <c r="I17" s="106"/>
    </row>
    <row r="18" spans="8:9" ht="15" customHeight="1">
      <c r="H18" s="106"/>
      <c r="I18" s="106"/>
    </row>
    <row r="19" spans="8:9" ht="15" customHeight="1">
      <c r="H19" s="106"/>
      <c r="I19" s="106"/>
    </row>
    <row r="20" spans="8:9" ht="15" customHeight="1">
      <c r="H20" s="106"/>
      <c r="I20" s="106"/>
    </row>
    <row r="21" spans="8:9" ht="15" customHeight="1">
      <c r="H21" s="106"/>
      <c r="I21" s="106"/>
    </row>
    <row r="22" spans="8:9" ht="15" customHeight="1">
      <c r="H22" s="106"/>
      <c r="I22" s="106"/>
    </row>
    <row r="23" spans="8:9" ht="15" customHeight="1">
      <c r="H23" s="106"/>
      <c r="I23" s="106"/>
    </row>
    <row r="24" spans="8:9" ht="15" customHeight="1">
      <c r="H24" s="106"/>
      <c r="I24" s="106"/>
    </row>
    <row r="25" spans="8:9" ht="15" customHeight="1">
      <c r="H25" s="106"/>
      <c r="I25" s="106"/>
    </row>
    <row r="26" spans="8:9" ht="15" customHeight="1">
      <c r="H26" s="106"/>
      <c r="I26" s="106"/>
    </row>
    <row r="27" spans="8:9" ht="15" customHeight="1">
      <c r="H27" s="106"/>
      <c r="I27" s="106"/>
    </row>
    <row r="28" spans="8:9" ht="15" customHeight="1">
      <c r="H28" s="106"/>
      <c r="I28" s="106"/>
    </row>
    <row r="29" spans="8:9" ht="15" customHeight="1">
      <c r="H29" s="106"/>
      <c r="I29" s="106"/>
    </row>
    <row r="30" spans="8:9" ht="15" customHeight="1">
      <c r="H30" s="106"/>
      <c r="I30" s="106"/>
    </row>
    <row r="31" spans="8:9" ht="15" customHeight="1">
      <c r="H31" s="106"/>
      <c r="I31" s="106"/>
    </row>
    <row r="32" spans="8:9" ht="15" customHeight="1">
      <c r="H32" s="106"/>
      <c r="I32" s="106"/>
    </row>
    <row r="33" spans="8:9" ht="15" customHeight="1">
      <c r="H33" s="106"/>
      <c r="I33" s="106"/>
    </row>
    <row r="34" spans="8:9" ht="15" customHeight="1">
      <c r="H34" s="106"/>
      <c r="I34" s="106"/>
    </row>
    <row r="35" spans="8:9" ht="15" customHeight="1">
      <c r="H35" s="106"/>
      <c r="I35" s="106"/>
    </row>
    <row r="36" spans="8:9" ht="15" customHeight="1">
      <c r="H36" s="106"/>
      <c r="I36" s="106"/>
    </row>
    <row r="37" spans="8:9" ht="15" customHeight="1">
      <c r="H37" s="106"/>
      <c r="I37" s="106"/>
    </row>
    <row r="38" spans="8:9" ht="15" customHeight="1">
      <c r="H38" s="106"/>
      <c r="I38" s="106"/>
    </row>
    <row r="39" spans="8:9" ht="15" customHeight="1">
      <c r="H39" s="106"/>
      <c r="I39" s="106"/>
    </row>
    <row r="40" spans="8:9" ht="15" customHeight="1">
      <c r="H40" s="106"/>
      <c r="I40" s="106"/>
    </row>
    <row r="41" spans="8:9" ht="15" customHeight="1">
      <c r="H41" s="106"/>
      <c r="I41" s="106"/>
    </row>
    <row r="42" spans="8:9" ht="15" customHeight="1">
      <c r="H42" s="106"/>
      <c r="I42" s="106"/>
    </row>
    <row r="43" spans="8:9" ht="15" customHeight="1">
      <c r="H43" s="106"/>
      <c r="I43" s="106"/>
    </row>
    <row r="44" spans="8:9" ht="15" customHeight="1">
      <c r="H44" s="106"/>
      <c r="I44" s="106"/>
    </row>
    <row r="45" spans="8:9" ht="15" customHeight="1">
      <c r="H45" s="106"/>
      <c r="I45" s="106"/>
    </row>
    <row r="46" spans="8:9" ht="15" customHeight="1">
      <c r="H46" s="106"/>
      <c r="I46" s="106"/>
    </row>
    <row r="47" spans="8:9" ht="15" customHeight="1">
      <c r="H47" s="106"/>
      <c r="I47" s="106"/>
    </row>
    <row r="48" spans="8:9" ht="15" customHeight="1">
      <c r="H48" s="106"/>
      <c r="I48" s="106"/>
    </row>
    <row r="49" spans="1:12" ht="15" customHeight="1">
      <c r="H49" s="106"/>
      <c r="I49" s="106"/>
    </row>
    <row r="50" spans="1:12" ht="15" customHeight="1">
      <c r="H50" s="106"/>
      <c r="I50" s="106"/>
    </row>
    <row r="51" spans="1:12" ht="15" customHeight="1">
      <c r="H51" s="106"/>
      <c r="I51" s="106"/>
    </row>
    <row r="52" spans="1:12" ht="15" customHeight="1">
      <c r="H52" s="106"/>
      <c r="I52" s="106"/>
    </row>
    <row r="53" spans="1:12" ht="15" customHeight="1">
      <c r="H53" s="106"/>
      <c r="I53" s="106"/>
    </row>
    <row r="54" spans="1:12" ht="15" customHeight="1">
      <c r="H54" s="106"/>
      <c r="I54" s="106"/>
    </row>
    <row r="55" spans="1:12" ht="15" customHeight="1">
      <c r="H55" s="106"/>
      <c r="I55" s="106"/>
    </row>
    <row r="56" spans="1:12" ht="15" customHeight="1">
      <c r="H56" s="106"/>
      <c r="I56" s="106"/>
    </row>
    <row r="57" spans="1:12" ht="15" customHeight="1">
      <c r="H57" s="106"/>
      <c r="I57" s="106"/>
    </row>
    <row r="58" spans="1:12" ht="15" customHeight="1">
      <c r="H58" s="106"/>
      <c r="I58" s="106"/>
    </row>
    <row r="59" spans="1:12" ht="15" customHeight="1" thickBot="1">
      <c r="H59" s="106"/>
      <c r="I59" s="106"/>
    </row>
    <row r="60" spans="1:12" ht="15" customHeight="1" thickTop="1" thickBot="1">
      <c r="A60" s="293"/>
      <c r="B60" s="293"/>
      <c r="C60" s="172"/>
      <c r="D60" s="294" t="s">
        <v>1795</v>
      </c>
      <c r="E60" s="172"/>
      <c r="F60" s="172"/>
      <c r="G60" s="613" t="s">
        <v>2647</v>
      </c>
      <c r="H60" s="613"/>
      <c r="I60" s="613"/>
      <c r="J60" s="613"/>
    </row>
    <row r="61" spans="1:12" ht="15" customHeight="1" thickTop="1" thickBot="1">
      <c r="A61" s="293">
        <v>1400</v>
      </c>
      <c r="B61" s="294" t="s">
        <v>724</v>
      </c>
      <c r="C61" s="172" t="s">
        <v>334</v>
      </c>
      <c r="D61" s="172" t="s">
        <v>333</v>
      </c>
      <c r="E61" s="171"/>
      <c r="F61" s="171"/>
      <c r="G61" s="171"/>
      <c r="H61" s="172"/>
      <c r="I61" s="172"/>
      <c r="J61" s="172"/>
      <c r="K61" s="154" t="s">
        <v>2288</v>
      </c>
      <c r="L61" s="106" t="s">
        <v>2470</v>
      </c>
    </row>
    <row r="62" spans="1:12" s="37" customFormat="1" ht="15" customHeight="1" thickBot="1">
      <c r="A62" s="55">
        <v>1500</v>
      </c>
      <c r="B62" s="290" t="s">
        <v>728</v>
      </c>
      <c r="C62" s="194" t="s">
        <v>332</v>
      </c>
      <c r="D62" s="194" t="s">
        <v>0</v>
      </c>
      <c r="E62" s="194"/>
      <c r="F62" s="194"/>
      <c r="G62" s="152">
        <f>IF(I62="",H62,I62)</f>
        <v>30</v>
      </c>
      <c r="H62" s="297">
        <v>30</v>
      </c>
      <c r="I62" s="153"/>
      <c r="J62" s="194" t="s">
        <v>1036</v>
      </c>
      <c r="K62" s="37" t="s">
        <v>1177</v>
      </c>
      <c r="L62" s="37" t="s">
        <v>1269</v>
      </c>
    </row>
    <row r="63" spans="1:12" s="37" customFormat="1" ht="15" customHeight="1" thickBot="1">
      <c r="A63" s="55">
        <v>1600</v>
      </c>
      <c r="B63" s="290" t="s">
        <v>728</v>
      </c>
      <c r="C63" s="194" t="s">
        <v>331</v>
      </c>
      <c r="D63" s="194" t="s">
        <v>330</v>
      </c>
      <c r="E63" s="194"/>
      <c r="F63" s="194"/>
      <c r="G63" s="152" t="str">
        <f>IF(I63="",H63,I63)</f>
        <v>k.A</v>
      </c>
      <c r="H63" s="398" t="s">
        <v>2556</v>
      </c>
      <c r="I63" s="153"/>
      <c r="J63" s="194" t="s">
        <v>1036</v>
      </c>
      <c r="K63" s="37" t="s">
        <v>1177</v>
      </c>
      <c r="L63" s="399" t="s">
        <v>1269</v>
      </c>
    </row>
    <row r="64" spans="1:12" ht="15" customHeight="1" thickBot="1">
      <c r="A64" s="293">
        <v>1700</v>
      </c>
      <c r="B64" s="294" t="s">
        <v>728</v>
      </c>
      <c r="C64" s="172" t="s">
        <v>328</v>
      </c>
      <c r="D64" s="172" t="s">
        <v>327</v>
      </c>
      <c r="E64" s="194" t="s">
        <v>2067</v>
      </c>
      <c r="F64" s="194"/>
      <c r="G64" s="152">
        <f t="shared" ref="G64" si="1">IF(I64="",H64,I64)</f>
        <v>100</v>
      </c>
      <c r="H64" s="297">
        <v>100</v>
      </c>
      <c r="I64" s="153"/>
      <c r="J64" s="194" t="s">
        <v>1036</v>
      </c>
      <c r="K64" s="37" t="s">
        <v>1177</v>
      </c>
      <c r="L64" s="106" t="s">
        <v>1269</v>
      </c>
    </row>
    <row r="65" spans="1:12" ht="15" customHeight="1" thickBot="1">
      <c r="A65" s="293"/>
      <c r="B65" s="294"/>
      <c r="C65" s="172" t="s">
        <v>1186</v>
      </c>
      <c r="D65" s="172" t="s">
        <v>1182</v>
      </c>
      <c r="E65" s="172"/>
      <c r="F65" s="172"/>
      <c r="G65" s="171"/>
      <c r="H65" s="171"/>
      <c r="I65" s="171"/>
      <c r="J65" s="172"/>
    </row>
    <row r="66" spans="1:12" ht="15" customHeight="1" thickBot="1">
      <c r="A66" s="55"/>
      <c r="B66" s="290"/>
      <c r="C66" s="194" t="s">
        <v>1671</v>
      </c>
      <c r="D66" s="194" t="s">
        <v>1430</v>
      </c>
      <c r="E66" s="194"/>
      <c r="F66" s="194"/>
      <c r="G66" s="152" t="str">
        <f t="shared" ref="G66:G68" si="2">IF(I66="",H66,I66)</f>
        <v>k.A.</v>
      </c>
      <c r="H66" s="297" t="str">
        <f>VLOOKUP(VLOOKUP(C66,Errichtungskosten,8,0),ÖkodatenKonstruktionen,7,0)</f>
        <v>k.A.</v>
      </c>
      <c r="I66" s="153"/>
      <c r="J66" s="194" t="s">
        <v>1036</v>
      </c>
      <c r="K66" s="106" t="s">
        <v>1269</v>
      </c>
      <c r="L66" s="106" t="s">
        <v>1177</v>
      </c>
    </row>
    <row r="67" spans="1:12" ht="15" customHeight="1" thickBot="1">
      <c r="A67" s="55"/>
      <c r="B67" s="290"/>
      <c r="C67" s="194" t="s">
        <v>1672</v>
      </c>
      <c r="D67" s="194" t="s">
        <v>1431</v>
      </c>
      <c r="E67" s="194"/>
      <c r="F67" s="194"/>
      <c r="G67" s="152" t="str">
        <f t="shared" si="2"/>
        <v>k.A.</v>
      </c>
      <c r="H67" s="297" t="str">
        <f>VLOOKUP(VLOOKUP(C67,Errichtungskosten,8,0),ÖkodatenKonstruktionen,7,0)</f>
        <v>k.A.</v>
      </c>
      <c r="I67" s="153"/>
      <c r="J67" s="194" t="s">
        <v>1036</v>
      </c>
      <c r="K67" s="106" t="s">
        <v>1269</v>
      </c>
      <c r="L67" s="106" t="s">
        <v>1177</v>
      </c>
    </row>
    <row r="68" spans="1:12" ht="15" customHeight="1" thickBot="1">
      <c r="A68" s="55"/>
      <c r="B68" s="290"/>
      <c r="C68" s="194" t="s">
        <v>1673</v>
      </c>
      <c r="D68" s="194" t="s">
        <v>1432</v>
      </c>
      <c r="E68" s="194"/>
      <c r="F68" s="194"/>
      <c r="G68" s="152" t="str">
        <f t="shared" si="2"/>
        <v>k.A.</v>
      </c>
      <c r="H68" s="297" t="str">
        <f>VLOOKUP(VLOOKUP(C68,Errichtungskosten,8,0),ÖkodatenKonstruktionen,7,0)</f>
        <v>k.A.</v>
      </c>
      <c r="I68" s="153"/>
      <c r="J68" s="194" t="s">
        <v>1036</v>
      </c>
      <c r="K68" s="106" t="s">
        <v>1269</v>
      </c>
      <c r="L68" s="106" t="s">
        <v>1177</v>
      </c>
    </row>
    <row r="69" spans="1:12" ht="15" customHeight="1" thickBot="1">
      <c r="A69" s="293"/>
      <c r="B69" s="294"/>
      <c r="C69" s="172" t="s">
        <v>1187</v>
      </c>
      <c r="D69" s="172" t="s">
        <v>1183</v>
      </c>
      <c r="E69" s="172"/>
      <c r="F69" s="172"/>
      <c r="G69" s="395"/>
      <c r="H69" s="395"/>
      <c r="I69" s="395"/>
      <c r="J69" s="172"/>
    </row>
    <row r="70" spans="1:12" ht="15" customHeight="1" thickBot="1">
      <c r="A70" s="55"/>
      <c r="B70" s="290"/>
      <c r="C70" s="194" t="s">
        <v>1674</v>
      </c>
      <c r="D70" s="194" t="s">
        <v>1430</v>
      </c>
      <c r="E70" s="194"/>
      <c r="F70" s="194"/>
      <c r="G70" s="152" t="str">
        <f t="shared" ref="G70:G73" si="3">IF(I70="",H70,I70)</f>
        <v>k.A.</v>
      </c>
      <c r="H70" s="297" t="str">
        <f>VLOOKUP(VLOOKUP(C70,Errichtungskosten,8,0),ÖkodatenKonstruktionen,7,0)</f>
        <v>k.A.</v>
      </c>
      <c r="I70" s="153"/>
      <c r="J70" s="194" t="s">
        <v>1036</v>
      </c>
      <c r="K70" s="106" t="s">
        <v>1269</v>
      </c>
      <c r="L70" s="106" t="s">
        <v>1177</v>
      </c>
    </row>
    <row r="71" spans="1:12" ht="15" customHeight="1" thickBot="1">
      <c r="A71" s="55"/>
      <c r="B71" s="290"/>
      <c r="C71" s="194" t="s">
        <v>1675</v>
      </c>
      <c r="D71" s="194" t="s">
        <v>1431</v>
      </c>
      <c r="E71" s="194"/>
      <c r="F71" s="194"/>
      <c r="G71" s="152" t="str">
        <f t="shared" si="3"/>
        <v>k.A.</v>
      </c>
      <c r="H71" s="297" t="str">
        <f>VLOOKUP(VLOOKUP(C71,Errichtungskosten,8,0),ÖkodatenKonstruktionen,7,0)</f>
        <v>k.A.</v>
      </c>
      <c r="I71" s="153"/>
      <c r="J71" s="194" t="s">
        <v>1036</v>
      </c>
      <c r="K71" s="106" t="s">
        <v>1269</v>
      </c>
      <c r="L71" s="106" t="s">
        <v>1177</v>
      </c>
    </row>
    <row r="72" spans="1:12" ht="15" customHeight="1" thickBot="1">
      <c r="A72" s="55"/>
      <c r="B72" s="290"/>
      <c r="C72" s="194" t="s">
        <v>1676</v>
      </c>
      <c r="D72" s="194" t="s">
        <v>1432</v>
      </c>
      <c r="E72" s="194"/>
      <c r="F72" s="194"/>
      <c r="G72" s="152" t="str">
        <f t="shared" si="3"/>
        <v>k.A.</v>
      </c>
      <c r="H72" s="297" t="str">
        <f>VLOOKUP(VLOOKUP(C72,Errichtungskosten,8,0),ÖkodatenKonstruktionen,7,0)</f>
        <v>k.A.</v>
      </c>
      <c r="I72" s="153"/>
      <c r="J72" s="194" t="s">
        <v>1036</v>
      </c>
      <c r="K72" s="106" t="s">
        <v>1269</v>
      </c>
      <c r="L72" s="106" t="s">
        <v>1177</v>
      </c>
    </row>
    <row r="73" spans="1:12" ht="15" customHeight="1" thickBot="1">
      <c r="A73" s="55"/>
      <c r="B73" s="290"/>
      <c r="C73" s="194" t="s">
        <v>1188</v>
      </c>
      <c r="D73" s="194" t="s">
        <v>1702</v>
      </c>
      <c r="E73" s="194"/>
      <c r="F73" s="194"/>
      <c r="G73" s="152" t="str">
        <f t="shared" si="3"/>
        <v>k.A.</v>
      </c>
      <c r="H73" s="297" t="str">
        <f>VLOOKUP(VLOOKUP(C73,Errichtungskosten,8,0),ÖkodatenKonstruktionen,7,0)</f>
        <v>k.A.</v>
      </c>
      <c r="I73" s="153"/>
      <c r="J73" s="194" t="s">
        <v>1036</v>
      </c>
      <c r="K73" s="106" t="s">
        <v>1269</v>
      </c>
      <c r="L73" s="106" t="s">
        <v>1177</v>
      </c>
    </row>
    <row r="74" spans="1:12" ht="15" customHeight="1" thickBot="1">
      <c r="A74" s="293"/>
      <c r="B74" s="294"/>
      <c r="C74" s="172" t="s">
        <v>1439</v>
      </c>
      <c r="D74" s="172" t="s">
        <v>1435</v>
      </c>
      <c r="E74" s="172"/>
      <c r="F74" s="172"/>
      <c r="G74" s="395"/>
      <c r="H74" s="395"/>
      <c r="I74" s="395"/>
      <c r="J74" s="172"/>
    </row>
    <row r="75" spans="1:12" ht="15" customHeight="1" thickBot="1">
      <c r="A75" s="55"/>
      <c r="B75" s="290"/>
      <c r="C75" s="194" t="s">
        <v>1703</v>
      </c>
      <c r="D75" s="194" t="s">
        <v>1436</v>
      </c>
      <c r="E75" s="194"/>
      <c r="F75" s="194"/>
      <c r="G75" s="152">
        <f t="shared" ref="G75:G79" si="4">IF(I75="",H75,I75)</f>
        <v>100</v>
      </c>
      <c r="H75" s="297">
        <f>VLOOKUP("Normalbeton",ÖkodatenKonstruktionen,7,0)</f>
        <v>100</v>
      </c>
      <c r="I75" s="153"/>
      <c r="J75" s="194" t="s">
        <v>1036</v>
      </c>
      <c r="K75" s="106" t="s">
        <v>1269</v>
      </c>
      <c r="L75" s="106" t="s">
        <v>1177</v>
      </c>
    </row>
    <row r="76" spans="1:12" ht="15" customHeight="1" thickBot="1">
      <c r="A76" s="55"/>
      <c r="B76" s="290"/>
      <c r="C76" s="194" t="s">
        <v>1704</v>
      </c>
      <c r="D76" s="194" t="s">
        <v>1437</v>
      </c>
      <c r="E76" s="194"/>
      <c r="F76" s="194"/>
      <c r="G76" s="152">
        <f t="shared" si="4"/>
        <v>100</v>
      </c>
      <c r="H76" s="297">
        <f>VLOOKUP("Armierungsstahl",ÖkodatenKonstruktionen,7,0)</f>
        <v>100</v>
      </c>
      <c r="I76" s="153"/>
      <c r="J76" s="194" t="s">
        <v>1036</v>
      </c>
      <c r="K76" s="106" t="s">
        <v>1269</v>
      </c>
      <c r="L76" s="106" t="s">
        <v>1177</v>
      </c>
    </row>
    <row r="77" spans="1:12" ht="15" customHeight="1" thickBot="1">
      <c r="A77" s="55"/>
      <c r="B77" s="290"/>
      <c r="C77" s="194" t="s">
        <v>1705</v>
      </c>
      <c r="D77" s="194" t="s">
        <v>1438</v>
      </c>
      <c r="E77" s="194"/>
      <c r="F77" s="194"/>
      <c r="G77" s="152">
        <f t="shared" si="4"/>
        <v>100</v>
      </c>
      <c r="H77" s="297">
        <f>VLOOKUP("Kies",ÖkodatenKonstruktionen,7,0)</f>
        <v>100</v>
      </c>
      <c r="I77" s="153"/>
      <c r="J77" s="194" t="s">
        <v>1036</v>
      </c>
      <c r="K77" s="106" t="s">
        <v>1269</v>
      </c>
      <c r="L77" s="106" t="s">
        <v>1177</v>
      </c>
    </row>
    <row r="78" spans="1:12" ht="15" customHeight="1" thickBot="1">
      <c r="A78" s="293">
        <v>1800</v>
      </c>
      <c r="B78" s="294" t="s">
        <v>743</v>
      </c>
      <c r="C78" s="172" t="s">
        <v>325</v>
      </c>
      <c r="D78" s="172" t="s">
        <v>324</v>
      </c>
      <c r="E78" s="172"/>
      <c r="F78" s="172"/>
      <c r="G78" s="171"/>
      <c r="H78" s="171"/>
      <c r="I78" s="171"/>
      <c r="J78" s="172"/>
    </row>
    <row r="79" spans="1:12" ht="15" customHeight="1" thickBot="1">
      <c r="A79" s="293">
        <v>1900</v>
      </c>
      <c r="B79" s="294" t="s">
        <v>728</v>
      </c>
      <c r="C79" s="172" t="s">
        <v>323</v>
      </c>
      <c r="D79" s="172" t="s">
        <v>322</v>
      </c>
      <c r="E79" s="194" t="s">
        <v>2067</v>
      </c>
      <c r="F79" s="194"/>
      <c r="G79" s="152">
        <f t="shared" si="4"/>
        <v>100</v>
      </c>
      <c r="H79" s="297">
        <v>100</v>
      </c>
      <c r="I79" s="298"/>
      <c r="J79" s="172"/>
      <c r="K79" s="106" t="s">
        <v>2289</v>
      </c>
      <c r="L79" s="106" t="s">
        <v>1269</v>
      </c>
    </row>
    <row r="80" spans="1:12" ht="15" customHeight="1" thickBot="1">
      <c r="A80" s="55"/>
      <c r="B80" s="290"/>
      <c r="C80" s="194" t="s">
        <v>1708</v>
      </c>
      <c r="D80" s="194" t="s">
        <v>1441</v>
      </c>
      <c r="E80" s="194"/>
      <c r="F80" s="194"/>
      <c r="G80" s="152" t="str">
        <f t="shared" ref="G80:G97" si="5">IF(I80="",H80,I80)</f>
        <v>k.A.</v>
      </c>
      <c r="H80" s="297" t="str">
        <f t="shared" ref="H80:H88" si="6">VLOOKUP(VLOOKUP(C80,Errichtungskosten,8,0),ÖkodatenKonstruktionen,7,0)</f>
        <v>k.A.</v>
      </c>
      <c r="I80" s="298"/>
      <c r="J80" s="194" t="s">
        <v>1036</v>
      </c>
      <c r="K80" s="106" t="s">
        <v>2290</v>
      </c>
      <c r="L80" s="106" t="s">
        <v>1177</v>
      </c>
    </row>
    <row r="81" spans="1:12" ht="15" customHeight="1" thickBot="1">
      <c r="A81" s="55"/>
      <c r="B81" s="290"/>
      <c r="C81" s="194" t="s">
        <v>1707</v>
      </c>
      <c r="D81" s="80" t="s">
        <v>1442</v>
      </c>
      <c r="E81" s="194"/>
      <c r="F81" s="194"/>
      <c r="G81" s="152" t="str">
        <f t="shared" si="5"/>
        <v>k.A.</v>
      </c>
      <c r="H81" s="297" t="str">
        <f t="shared" si="6"/>
        <v>k.A.</v>
      </c>
      <c r="I81" s="298"/>
      <c r="J81" s="194" t="s">
        <v>1036</v>
      </c>
      <c r="K81" s="106" t="s">
        <v>1269</v>
      </c>
      <c r="L81" s="106" t="s">
        <v>1177</v>
      </c>
    </row>
    <row r="82" spans="1:12" ht="15" customHeight="1" thickBot="1">
      <c r="A82" s="55"/>
      <c r="B82" s="290"/>
      <c r="C82" s="194" t="s">
        <v>1710</v>
      </c>
      <c r="D82" s="80" t="s">
        <v>1443</v>
      </c>
      <c r="E82" s="194"/>
      <c r="F82" s="194"/>
      <c r="G82" s="152" t="str">
        <f t="shared" si="5"/>
        <v>k.A.</v>
      </c>
      <c r="H82" s="297" t="str">
        <f t="shared" si="6"/>
        <v>k.A.</v>
      </c>
      <c r="I82" s="298"/>
      <c r="J82" s="194" t="s">
        <v>1036</v>
      </c>
      <c r="K82" s="106" t="s">
        <v>1269</v>
      </c>
      <c r="L82" s="106" t="s">
        <v>1177</v>
      </c>
    </row>
    <row r="83" spans="1:12" ht="15" customHeight="1" thickBot="1">
      <c r="A83" s="55"/>
      <c r="B83" s="290"/>
      <c r="C83" s="194" t="s">
        <v>1711</v>
      </c>
      <c r="D83" s="194" t="s">
        <v>1444</v>
      </c>
      <c r="E83" s="194"/>
      <c r="F83" s="194"/>
      <c r="G83" s="152" t="str">
        <f t="shared" si="5"/>
        <v>k.A.</v>
      </c>
      <c r="H83" s="297" t="str">
        <f t="shared" si="6"/>
        <v>k.A.</v>
      </c>
      <c r="I83" s="298"/>
      <c r="J83" s="194" t="s">
        <v>1036</v>
      </c>
      <c r="K83" s="106" t="s">
        <v>2290</v>
      </c>
      <c r="L83" s="106" t="s">
        <v>1177</v>
      </c>
    </row>
    <row r="84" spans="1:12" ht="15" customHeight="1" thickBot="1">
      <c r="A84" s="55"/>
      <c r="B84" s="290"/>
      <c r="C84" s="194" t="s">
        <v>1712</v>
      </c>
      <c r="D84" s="80" t="s">
        <v>1445</v>
      </c>
      <c r="E84" s="194"/>
      <c r="F84" s="194"/>
      <c r="G84" s="152" t="str">
        <f t="shared" si="5"/>
        <v>k.A.</v>
      </c>
      <c r="H84" s="297" t="str">
        <f t="shared" si="6"/>
        <v>k.A.</v>
      </c>
      <c r="I84" s="298"/>
      <c r="J84" s="194" t="s">
        <v>1036</v>
      </c>
      <c r="K84" s="106" t="s">
        <v>1269</v>
      </c>
      <c r="L84" s="106" t="s">
        <v>1177</v>
      </c>
    </row>
    <row r="85" spans="1:12" ht="15" customHeight="1" thickBot="1">
      <c r="A85" s="55"/>
      <c r="B85" s="290"/>
      <c r="C85" s="194" t="s">
        <v>1713</v>
      </c>
      <c r="D85" s="194" t="s">
        <v>1446</v>
      </c>
      <c r="E85" s="104"/>
      <c r="F85" s="104"/>
      <c r="G85" s="152" t="str">
        <f t="shared" si="5"/>
        <v>k.A.</v>
      </c>
      <c r="H85" s="297" t="str">
        <f t="shared" si="6"/>
        <v>k.A.</v>
      </c>
      <c r="I85" s="298"/>
      <c r="J85" s="194" t="s">
        <v>1036</v>
      </c>
      <c r="K85" s="106" t="s">
        <v>2290</v>
      </c>
      <c r="L85" s="106" t="s">
        <v>1177</v>
      </c>
    </row>
    <row r="86" spans="1:12" ht="15" customHeight="1" thickBot="1">
      <c r="A86" s="55"/>
      <c r="B86" s="290"/>
      <c r="C86" s="194" t="s">
        <v>1714</v>
      </c>
      <c r="D86" s="80" t="s">
        <v>1447</v>
      </c>
      <c r="E86" s="68"/>
      <c r="F86" s="68"/>
      <c r="G86" s="152" t="str">
        <f t="shared" si="5"/>
        <v>k.A.</v>
      </c>
      <c r="H86" s="297" t="str">
        <f t="shared" si="6"/>
        <v>k.A.</v>
      </c>
      <c r="I86" s="298"/>
      <c r="J86" s="194" t="s">
        <v>1036</v>
      </c>
      <c r="K86" s="106" t="s">
        <v>1269</v>
      </c>
      <c r="L86" s="106" t="s">
        <v>1177</v>
      </c>
    </row>
    <row r="87" spans="1:12" ht="15" customHeight="1" thickBot="1">
      <c r="A87" s="55"/>
      <c r="B87" s="290"/>
      <c r="C87" s="194" t="s">
        <v>1716</v>
      </c>
      <c r="D87" s="80" t="s">
        <v>1448</v>
      </c>
      <c r="E87" s="194"/>
      <c r="F87" s="194"/>
      <c r="G87" s="152" t="str">
        <f t="shared" si="5"/>
        <v>k.A.</v>
      </c>
      <c r="H87" s="297" t="str">
        <f t="shared" si="6"/>
        <v>k.A.</v>
      </c>
      <c r="I87" s="298"/>
      <c r="J87" s="194" t="s">
        <v>1036</v>
      </c>
      <c r="K87" s="106" t="s">
        <v>1269</v>
      </c>
      <c r="L87" s="106" t="s">
        <v>1177</v>
      </c>
    </row>
    <row r="88" spans="1:12" ht="15" customHeight="1" thickBot="1">
      <c r="A88" s="55">
        <v>2000</v>
      </c>
      <c r="B88" s="290" t="s">
        <v>728</v>
      </c>
      <c r="C88" s="194" t="s">
        <v>320</v>
      </c>
      <c r="D88" s="194" t="s">
        <v>319</v>
      </c>
      <c r="E88" s="194"/>
      <c r="F88" s="194"/>
      <c r="G88" s="152" t="str">
        <f t="shared" si="5"/>
        <v>k.A.</v>
      </c>
      <c r="H88" s="297" t="str">
        <f t="shared" si="6"/>
        <v>k.A.</v>
      </c>
      <c r="I88" s="298"/>
      <c r="J88" s="194" t="s">
        <v>1036</v>
      </c>
      <c r="K88" s="106" t="s">
        <v>1177</v>
      </c>
      <c r="L88" s="106" t="s">
        <v>1177</v>
      </c>
    </row>
    <row r="89" spans="1:12" ht="15" customHeight="1" thickBot="1">
      <c r="A89" s="293">
        <v>2100</v>
      </c>
      <c r="B89" s="294" t="s">
        <v>743</v>
      </c>
      <c r="C89" s="172" t="s">
        <v>318</v>
      </c>
      <c r="D89" s="172" t="s">
        <v>317</v>
      </c>
      <c r="E89" s="172"/>
      <c r="F89" s="172"/>
      <c r="G89" s="171"/>
      <c r="H89" s="171"/>
      <c r="I89" s="171"/>
      <c r="J89" s="172"/>
    </row>
    <row r="90" spans="1:12" ht="15" customHeight="1" thickBot="1">
      <c r="A90" s="55">
        <v>2200</v>
      </c>
      <c r="B90" s="290" t="s">
        <v>728</v>
      </c>
      <c r="C90" s="194" t="s">
        <v>316</v>
      </c>
      <c r="D90" s="194" t="s">
        <v>1987</v>
      </c>
      <c r="E90" s="194"/>
      <c r="F90" s="194"/>
      <c r="G90" s="152" t="str">
        <f t="shared" si="5"/>
        <v>k.A.</v>
      </c>
      <c r="H90" s="297" t="str">
        <f t="shared" ref="H90:H97" si="7">VLOOKUP(VLOOKUP(C90,Errichtungskosten,8,0),ÖkodatenKonstruktionen,7,0)</f>
        <v>k.A.</v>
      </c>
      <c r="I90" s="298"/>
      <c r="J90" s="194" t="s">
        <v>1036</v>
      </c>
      <c r="K90" s="106" t="s">
        <v>1177</v>
      </c>
      <c r="L90" s="106" t="s">
        <v>1177</v>
      </c>
    </row>
    <row r="91" spans="1:12" ht="15" customHeight="1" thickBot="1">
      <c r="A91" s="55"/>
      <c r="B91" s="290"/>
      <c r="C91" s="194" t="s">
        <v>1850</v>
      </c>
      <c r="D91" s="80" t="s">
        <v>1798</v>
      </c>
      <c r="E91" s="194"/>
      <c r="F91" s="194"/>
      <c r="G91" s="152" t="str">
        <f t="shared" si="5"/>
        <v>k.A.</v>
      </c>
      <c r="H91" s="297" t="str">
        <f t="shared" si="7"/>
        <v>k.A.</v>
      </c>
      <c r="I91" s="298"/>
      <c r="J91" s="194" t="s">
        <v>1036</v>
      </c>
      <c r="K91" s="106" t="s">
        <v>1269</v>
      </c>
      <c r="L91" s="106" t="s">
        <v>1177</v>
      </c>
    </row>
    <row r="92" spans="1:12" ht="15" customHeight="1" thickBot="1">
      <c r="A92" s="55"/>
      <c r="B92" s="290"/>
      <c r="C92" s="194" t="s">
        <v>1851</v>
      </c>
      <c r="D92" s="80" t="s">
        <v>1799</v>
      </c>
      <c r="E92" s="194"/>
      <c r="F92" s="194"/>
      <c r="G92" s="152" t="str">
        <f t="shared" si="5"/>
        <v>k.A.</v>
      </c>
      <c r="H92" s="297" t="str">
        <f t="shared" si="7"/>
        <v>k.A.</v>
      </c>
      <c r="I92" s="298"/>
      <c r="J92" s="194" t="s">
        <v>1036</v>
      </c>
      <c r="K92" s="106" t="s">
        <v>1269</v>
      </c>
      <c r="L92" s="106" t="s">
        <v>1177</v>
      </c>
    </row>
    <row r="93" spans="1:12" ht="15" customHeight="1" thickBot="1">
      <c r="A93" s="55"/>
      <c r="B93" s="290"/>
      <c r="C93" s="194" t="s">
        <v>1852</v>
      </c>
      <c r="D93" s="80" t="s">
        <v>1797</v>
      </c>
      <c r="E93" s="194"/>
      <c r="F93" s="194"/>
      <c r="G93" s="152" t="str">
        <f t="shared" si="5"/>
        <v>k.A.</v>
      </c>
      <c r="H93" s="297" t="str">
        <f t="shared" si="7"/>
        <v>k.A.</v>
      </c>
      <c r="I93" s="298"/>
      <c r="J93" s="194" t="s">
        <v>1036</v>
      </c>
      <c r="K93" s="106" t="s">
        <v>1269</v>
      </c>
      <c r="L93" s="106" t="s">
        <v>1177</v>
      </c>
    </row>
    <row r="94" spans="1:12" ht="15" customHeight="1" thickBot="1">
      <c r="A94" s="55">
        <v>2300</v>
      </c>
      <c r="B94" s="290" t="s">
        <v>728</v>
      </c>
      <c r="C94" s="194" t="s">
        <v>314</v>
      </c>
      <c r="D94" s="194" t="s">
        <v>1988</v>
      </c>
      <c r="E94" s="194"/>
      <c r="F94" s="194"/>
      <c r="G94" s="152" t="str">
        <f t="shared" si="5"/>
        <v>k.A.</v>
      </c>
      <c r="H94" s="297" t="str">
        <f t="shared" si="7"/>
        <v>k.A.</v>
      </c>
      <c r="I94" s="298"/>
      <c r="J94" s="194" t="s">
        <v>1036</v>
      </c>
      <c r="K94" s="106" t="s">
        <v>1177</v>
      </c>
      <c r="L94" s="106" t="s">
        <v>1177</v>
      </c>
    </row>
    <row r="95" spans="1:12" ht="15" customHeight="1" thickBot="1">
      <c r="A95" s="55"/>
      <c r="B95" s="290"/>
      <c r="C95" s="194" t="s">
        <v>1853</v>
      </c>
      <c r="D95" s="80" t="s">
        <v>1798</v>
      </c>
      <c r="E95" s="194"/>
      <c r="F95" s="194"/>
      <c r="G95" s="152" t="str">
        <f t="shared" si="5"/>
        <v>k.A.</v>
      </c>
      <c r="H95" s="297" t="str">
        <f t="shared" si="7"/>
        <v>k.A.</v>
      </c>
      <c r="I95" s="298"/>
      <c r="J95" s="194" t="s">
        <v>1036</v>
      </c>
      <c r="K95" s="106" t="s">
        <v>1269</v>
      </c>
      <c r="L95" s="106" t="s">
        <v>1177</v>
      </c>
    </row>
    <row r="96" spans="1:12" ht="15" customHeight="1" thickBot="1">
      <c r="A96" s="55"/>
      <c r="B96" s="290"/>
      <c r="C96" s="194" t="s">
        <v>1854</v>
      </c>
      <c r="D96" s="80" t="s">
        <v>1799</v>
      </c>
      <c r="E96" s="194"/>
      <c r="F96" s="194"/>
      <c r="G96" s="152" t="str">
        <f t="shared" si="5"/>
        <v>k.A.</v>
      </c>
      <c r="H96" s="297" t="str">
        <f t="shared" si="7"/>
        <v>k.A.</v>
      </c>
      <c r="I96" s="298"/>
      <c r="J96" s="194" t="s">
        <v>1036</v>
      </c>
      <c r="K96" s="106" t="s">
        <v>1269</v>
      </c>
      <c r="L96" s="106" t="s">
        <v>1177</v>
      </c>
    </row>
    <row r="97" spans="1:12" ht="15" customHeight="1" thickBot="1">
      <c r="A97" s="55"/>
      <c r="B97" s="290"/>
      <c r="C97" s="194" t="s">
        <v>1855</v>
      </c>
      <c r="D97" s="80" t="s">
        <v>1797</v>
      </c>
      <c r="E97" s="194"/>
      <c r="F97" s="194"/>
      <c r="G97" s="152" t="str">
        <f t="shared" si="5"/>
        <v>k.A.</v>
      </c>
      <c r="H97" s="297" t="str">
        <f t="shared" si="7"/>
        <v>k.A.</v>
      </c>
      <c r="I97" s="298"/>
      <c r="J97" s="194" t="s">
        <v>1036</v>
      </c>
      <c r="K97" s="106" t="s">
        <v>1269</v>
      </c>
      <c r="L97" s="106" t="s">
        <v>1177</v>
      </c>
    </row>
    <row r="98" spans="1:12" ht="15" customHeight="1">
      <c r="A98" s="293">
        <v>2700</v>
      </c>
      <c r="B98" s="294" t="s">
        <v>743</v>
      </c>
      <c r="C98" s="172" t="s">
        <v>311</v>
      </c>
      <c r="D98" s="172" t="s">
        <v>310</v>
      </c>
      <c r="E98" s="172"/>
      <c r="F98" s="172"/>
      <c r="G98" s="171"/>
      <c r="H98" s="171"/>
      <c r="I98" s="171"/>
      <c r="J98" s="172"/>
    </row>
    <row r="99" spans="1:12" ht="15" customHeight="1" thickBot="1">
      <c r="A99" s="293">
        <v>2800</v>
      </c>
      <c r="B99" s="294" t="s">
        <v>743</v>
      </c>
      <c r="C99" s="172" t="s">
        <v>309</v>
      </c>
      <c r="D99" s="172" t="s">
        <v>308</v>
      </c>
      <c r="E99" s="172"/>
      <c r="F99" s="172"/>
      <c r="G99" s="171"/>
      <c r="H99" s="171"/>
      <c r="I99" s="171"/>
      <c r="J99" s="172"/>
    </row>
    <row r="100" spans="1:12" ht="15" customHeight="1" thickBot="1">
      <c r="A100" s="55">
        <v>2900</v>
      </c>
      <c r="B100" s="290" t="s">
        <v>728</v>
      </c>
      <c r="C100" s="194" t="s">
        <v>307</v>
      </c>
      <c r="D100" s="194" t="s">
        <v>2305</v>
      </c>
      <c r="E100" s="194"/>
      <c r="F100" s="194"/>
      <c r="G100" s="152" t="str">
        <f t="shared" ref="G100:G103" si="8">IF(I100="",H100,I100)</f>
        <v>k.A.</v>
      </c>
      <c r="H100" s="297" t="str">
        <f t="shared" ref="H100:H108" si="9">VLOOKUP(VLOOKUP(C100,Errichtungskosten,8,0),ÖkodatenKonstruktionen,7,0)</f>
        <v>k.A.</v>
      </c>
      <c r="I100" s="298"/>
      <c r="J100" s="194" t="s">
        <v>1036</v>
      </c>
      <c r="K100" s="106" t="s">
        <v>1177</v>
      </c>
      <c r="L100" s="106" t="s">
        <v>1177</v>
      </c>
    </row>
    <row r="101" spans="1:12" ht="15" customHeight="1" thickBot="1">
      <c r="A101" s="55">
        <v>3000</v>
      </c>
      <c r="B101" s="290" t="s">
        <v>728</v>
      </c>
      <c r="C101" s="194" t="s">
        <v>306</v>
      </c>
      <c r="D101" s="194" t="s">
        <v>2306</v>
      </c>
      <c r="E101" s="194"/>
      <c r="F101" s="194"/>
      <c r="G101" s="152" t="str">
        <f t="shared" si="8"/>
        <v>k.A.</v>
      </c>
      <c r="H101" s="297" t="str">
        <f t="shared" si="9"/>
        <v>k.A.</v>
      </c>
      <c r="I101" s="298"/>
      <c r="J101" s="194" t="s">
        <v>1036</v>
      </c>
      <c r="K101" s="106" t="s">
        <v>1177</v>
      </c>
      <c r="L101" s="106" t="s">
        <v>1177</v>
      </c>
    </row>
    <row r="102" spans="1:12" ht="15" customHeight="1" thickBot="1">
      <c r="A102" s="55"/>
      <c r="B102" s="290"/>
      <c r="C102" s="194" t="s">
        <v>304</v>
      </c>
      <c r="D102" s="194" t="s">
        <v>1752</v>
      </c>
      <c r="E102" s="194"/>
      <c r="F102" s="194"/>
      <c r="G102" s="152" t="str">
        <f t="shared" si="8"/>
        <v>k.A.</v>
      </c>
      <c r="H102" s="297" t="str">
        <f t="shared" si="9"/>
        <v>k.A.</v>
      </c>
      <c r="I102" s="298"/>
      <c r="J102" s="194" t="s">
        <v>1036</v>
      </c>
      <c r="K102" s="106" t="s">
        <v>1177</v>
      </c>
      <c r="L102" s="106" t="s">
        <v>1177</v>
      </c>
    </row>
    <row r="103" spans="1:12" ht="15" customHeight="1" thickBot="1">
      <c r="A103" s="55"/>
      <c r="B103" s="290"/>
      <c r="C103" s="194" t="s">
        <v>1796</v>
      </c>
      <c r="D103" s="194" t="s">
        <v>1472</v>
      </c>
      <c r="E103" s="194"/>
      <c r="F103" s="194"/>
      <c r="G103" s="152" t="str">
        <f t="shared" si="8"/>
        <v>k.A.</v>
      </c>
      <c r="H103" s="297" t="str">
        <f t="shared" si="9"/>
        <v>k.A.</v>
      </c>
      <c r="I103" s="298"/>
      <c r="J103" s="194" t="s">
        <v>1036</v>
      </c>
      <c r="K103" s="106" t="s">
        <v>1177</v>
      </c>
      <c r="L103" s="106" t="s">
        <v>1177</v>
      </c>
    </row>
    <row r="104" spans="1:12" ht="15" customHeight="1" thickBot="1">
      <c r="A104" s="293">
        <v>3400</v>
      </c>
      <c r="B104" s="294" t="s">
        <v>743</v>
      </c>
      <c r="C104" s="172" t="s">
        <v>303</v>
      </c>
      <c r="D104" s="172" t="s">
        <v>302</v>
      </c>
      <c r="E104" s="172"/>
      <c r="F104" s="172"/>
      <c r="G104" s="171"/>
      <c r="H104" s="172"/>
      <c r="I104" s="171"/>
      <c r="J104" s="172"/>
      <c r="K104" s="106" t="s">
        <v>2289</v>
      </c>
    </row>
    <row r="105" spans="1:12" ht="15" customHeight="1" thickBot="1">
      <c r="A105" s="55"/>
      <c r="B105" s="290"/>
      <c r="C105" s="194" t="s">
        <v>1569</v>
      </c>
      <c r="D105" s="75" t="s">
        <v>2308</v>
      </c>
      <c r="E105" s="194"/>
      <c r="F105" s="194"/>
      <c r="G105" s="152" t="str">
        <f t="shared" ref="G105:G111" si="10">IF(I105="",H105,I105)</f>
        <v>k.A.</v>
      </c>
      <c r="H105" s="297" t="str">
        <f t="shared" si="9"/>
        <v>k.A.</v>
      </c>
      <c r="I105" s="298"/>
      <c r="J105" s="194" t="s">
        <v>1036</v>
      </c>
      <c r="K105" s="106" t="s">
        <v>2290</v>
      </c>
      <c r="L105" s="106" t="s">
        <v>1177</v>
      </c>
    </row>
    <row r="106" spans="1:12" ht="15" customHeight="1" thickBot="1">
      <c r="A106" s="55"/>
      <c r="B106" s="290"/>
      <c r="C106" s="194" t="s">
        <v>1570</v>
      </c>
      <c r="D106" s="75" t="s">
        <v>2309</v>
      </c>
      <c r="E106" s="194"/>
      <c r="F106" s="194"/>
      <c r="G106" s="152" t="str">
        <f t="shared" si="10"/>
        <v>k.A.</v>
      </c>
      <c r="H106" s="297" t="str">
        <f t="shared" si="9"/>
        <v>k.A.</v>
      </c>
      <c r="I106" s="298"/>
      <c r="J106" s="194" t="s">
        <v>1036</v>
      </c>
      <c r="K106" s="106" t="s">
        <v>2290</v>
      </c>
      <c r="L106" s="106" t="s">
        <v>1177</v>
      </c>
    </row>
    <row r="107" spans="1:12" ht="15" customHeight="1" thickBot="1">
      <c r="A107" s="55"/>
      <c r="B107" s="290"/>
      <c r="C107" s="194" t="s">
        <v>2330</v>
      </c>
      <c r="D107" s="75" t="s">
        <v>2310</v>
      </c>
      <c r="E107" s="194"/>
      <c r="F107" s="194"/>
      <c r="G107" s="152" t="str">
        <f t="shared" si="10"/>
        <v>k.A.</v>
      </c>
      <c r="H107" s="297" t="str">
        <f t="shared" si="9"/>
        <v>k.A.</v>
      </c>
      <c r="I107" s="298"/>
      <c r="J107" s="194" t="s">
        <v>1036</v>
      </c>
      <c r="K107" s="106" t="s">
        <v>2290</v>
      </c>
      <c r="L107" s="106" t="s">
        <v>1177</v>
      </c>
    </row>
    <row r="108" spans="1:12" ht="15" customHeight="1" thickBot="1">
      <c r="A108" s="55">
        <v>3500</v>
      </c>
      <c r="B108" s="290" t="s">
        <v>728</v>
      </c>
      <c r="C108" s="194" t="s">
        <v>301</v>
      </c>
      <c r="D108" s="194" t="s">
        <v>300</v>
      </c>
      <c r="E108" s="194"/>
      <c r="F108" s="194"/>
      <c r="G108" s="152" t="str">
        <f t="shared" si="10"/>
        <v>k.A.</v>
      </c>
      <c r="H108" s="297" t="str">
        <f t="shared" si="9"/>
        <v>k.A.</v>
      </c>
      <c r="I108" s="298"/>
      <c r="J108" s="194" t="s">
        <v>1036</v>
      </c>
      <c r="K108" s="106" t="s">
        <v>1177</v>
      </c>
    </row>
    <row r="109" spans="1:12" ht="15" customHeight="1" thickBot="1">
      <c r="A109" s="55">
        <v>3600</v>
      </c>
      <c r="B109" s="290" t="s">
        <v>728</v>
      </c>
      <c r="C109" s="194" t="s">
        <v>298</v>
      </c>
      <c r="D109" s="194" t="s">
        <v>297</v>
      </c>
      <c r="E109" s="194"/>
      <c r="F109" s="194"/>
      <c r="G109" s="152">
        <f t="shared" si="10"/>
        <v>50</v>
      </c>
      <c r="H109" s="297">
        <v>50</v>
      </c>
      <c r="I109" s="298"/>
      <c r="J109" s="194" t="s">
        <v>1036</v>
      </c>
      <c r="K109" s="106" t="s">
        <v>1177</v>
      </c>
    </row>
    <row r="110" spans="1:12" ht="15" customHeight="1" thickBot="1">
      <c r="A110" s="55">
        <v>3700</v>
      </c>
      <c r="B110" s="290" t="s">
        <v>728</v>
      </c>
      <c r="C110" s="194" t="s">
        <v>296</v>
      </c>
      <c r="D110" s="194" t="s">
        <v>295</v>
      </c>
      <c r="E110" s="194"/>
      <c r="F110" s="194"/>
      <c r="G110" s="152">
        <f t="shared" si="10"/>
        <v>50</v>
      </c>
      <c r="H110" s="297">
        <v>50</v>
      </c>
      <c r="I110" s="298"/>
      <c r="J110" s="194" t="s">
        <v>1036</v>
      </c>
      <c r="K110" s="106" t="s">
        <v>1177</v>
      </c>
    </row>
    <row r="111" spans="1:12" ht="15" customHeight="1" thickBot="1">
      <c r="A111" s="55"/>
      <c r="B111" s="290"/>
      <c r="C111" s="194" t="s">
        <v>294</v>
      </c>
      <c r="D111" s="194" t="s">
        <v>869</v>
      </c>
      <c r="E111" s="194" t="s">
        <v>2067</v>
      </c>
      <c r="F111" s="194"/>
      <c r="G111" s="152">
        <f t="shared" si="10"/>
        <v>50</v>
      </c>
      <c r="H111" s="297">
        <v>50</v>
      </c>
      <c r="I111" s="298"/>
      <c r="J111" s="194"/>
      <c r="K111" s="106" t="s">
        <v>1177</v>
      </c>
    </row>
    <row r="112" spans="1:12" ht="15" customHeight="1" thickBot="1">
      <c r="A112" s="293">
        <v>12200</v>
      </c>
      <c r="B112" s="172" t="s">
        <v>743</v>
      </c>
      <c r="C112" s="172" t="s">
        <v>291</v>
      </c>
      <c r="D112" s="172" t="s">
        <v>290</v>
      </c>
      <c r="E112" s="172"/>
      <c r="F112" s="172"/>
      <c r="G112" s="171"/>
      <c r="H112" s="172"/>
      <c r="I112" s="171"/>
      <c r="J112" s="172"/>
    </row>
    <row r="113" spans="1:12" ht="15" customHeight="1" thickBot="1">
      <c r="A113" s="55">
        <v>12300</v>
      </c>
      <c r="B113" s="194" t="s">
        <v>728</v>
      </c>
      <c r="C113" s="194" t="s">
        <v>289</v>
      </c>
      <c r="D113" s="194" t="s">
        <v>0</v>
      </c>
      <c r="E113" s="194" t="s">
        <v>2067</v>
      </c>
      <c r="F113" s="194"/>
      <c r="G113" s="312">
        <f t="shared" ref="G113:G135" si="11">IF(I113="",H113,I113)</f>
        <v>25</v>
      </c>
      <c r="H113" s="297">
        <v>25</v>
      </c>
      <c r="I113" s="298"/>
      <c r="J113" s="194" t="s">
        <v>1036</v>
      </c>
      <c r="K113" s="106" t="s">
        <v>1177</v>
      </c>
    </row>
    <row r="114" spans="1:12" ht="15" customHeight="1" thickBot="1">
      <c r="A114" s="55">
        <v>12400</v>
      </c>
      <c r="B114" s="194" t="s">
        <v>728</v>
      </c>
      <c r="C114" s="194" t="s">
        <v>288</v>
      </c>
      <c r="D114" s="194" t="s">
        <v>287</v>
      </c>
      <c r="E114" s="194" t="s">
        <v>2067</v>
      </c>
      <c r="F114" s="194"/>
      <c r="G114" s="312">
        <f t="shared" si="11"/>
        <v>25</v>
      </c>
      <c r="H114" s="297">
        <v>25</v>
      </c>
      <c r="I114" s="298"/>
      <c r="J114" s="194" t="s">
        <v>1036</v>
      </c>
      <c r="K114" s="106" t="s">
        <v>1177</v>
      </c>
    </row>
    <row r="115" spans="1:12" ht="15" customHeight="1" thickBot="1">
      <c r="A115" s="293">
        <v>12500</v>
      </c>
      <c r="B115" s="172" t="s">
        <v>743</v>
      </c>
      <c r="C115" s="172" t="s">
        <v>286</v>
      </c>
      <c r="D115" s="172" t="s">
        <v>285</v>
      </c>
      <c r="E115" s="172"/>
      <c r="F115" s="172"/>
      <c r="G115" s="396"/>
      <c r="H115" s="397"/>
      <c r="I115" s="171"/>
      <c r="J115" s="172"/>
    </row>
    <row r="116" spans="1:12" ht="15" customHeight="1" thickBot="1">
      <c r="A116" s="55">
        <v>12600</v>
      </c>
      <c r="B116" s="194" t="s">
        <v>728</v>
      </c>
      <c r="C116" s="194" t="s">
        <v>284</v>
      </c>
      <c r="D116" s="194" t="s">
        <v>283</v>
      </c>
      <c r="E116" s="194" t="s">
        <v>2471</v>
      </c>
      <c r="F116" s="194"/>
      <c r="G116" s="312">
        <f t="shared" si="11"/>
        <v>25</v>
      </c>
      <c r="H116" s="297">
        <v>25</v>
      </c>
      <c r="I116" s="298"/>
      <c r="J116" s="194" t="s">
        <v>1036</v>
      </c>
      <c r="K116" s="106" t="s">
        <v>1177</v>
      </c>
      <c r="L116" s="106" t="s">
        <v>2395</v>
      </c>
    </row>
    <row r="117" spans="1:12" ht="15" customHeight="1" thickBot="1">
      <c r="A117" s="55">
        <v>12700</v>
      </c>
      <c r="B117" s="194" t="s">
        <v>728</v>
      </c>
      <c r="C117" s="194" t="s">
        <v>282</v>
      </c>
      <c r="D117" s="194" t="s">
        <v>281</v>
      </c>
      <c r="E117" s="194" t="s">
        <v>2067</v>
      </c>
      <c r="F117" s="194"/>
      <c r="G117" s="312">
        <f t="shared" si="11"/>
        <v>40</v>
      </c>
      <c r="H117" s="297">
        <v>40</v>
      </c>
      <c r="I117" s="298"/>
      <c r="J117" s="194" t="s">
        <v>1036</v>
      </c>
      <c r="K117" s="106" t="s">
        <v>1177</v>
      </c>
    </row>
    <row r="118" spans="1:12" ht="15" customHeight="1" thickBot="1">
      <c r="A118" s="55">
        <v>12800</v>
      </c>
      <c r="B118" s="194" t="s">
        <v>728</v>
      </c>
      <c r="C118" s="194" t="s">
        <v>280</v>
      </c>
      <c r="D118" s="194" t="s">
        <v>279</v>
      </c>
      <c r="E118" s="194" t="s">
        <v>2067</v>
      </c>
      <c r="F118" s="194"/>
      <c r="G118" s="312">
        <f t="shared" si="11"/>
        <v>30</v>
      </c>
      <c r="H118" s="297">
        <v>30</v>
      </c>
      <c r="I118" s="298"/>
      <c r="J118" s="194" t="s">
        <v>1036</v>
      </c>
      <c r="K118" s="106" t="s">
        <v>1177</v>
      </c>
    </row>
    <row r="119" spans="1:12" ht="15" customHeight="1" thickBot="1">
      <c r="A119" s="55">
        <v>12900</v>
      </c>
      <c r="B119" s="194" t="s">
        <v>728</v>
      </c>
      <c r="C119" s="194" t="s">
        <v>278</v>
      </c>
      <c r="D119" s="194" t="s">
        <v>277</v>
      </c>
      <c r="E119" s="194" t="s">
        <v>2067</v>
      </c>
      <c r="F119" s="194"/>
      <c r="G119" s="312">
        <f t="shared" si="11"/>
        <v>25</v>
      </c>
      <c r="H119" s="297">
        <v>25</v>
      </c>
      <c r="I119" s="298"/>
      <c r="J119" s="194" t="s">
        <v>1036</v>
      </c>
      <c r="K119" s="106" t="s">
        <v>1177</v>
      </c>
    </row>
    <row r="120" spans="1:12" ht="15" customHeight="1">
      <c r="A120" s="293">
        <v>13000</v>
      </c>
      <c r="B120" s="172" t="s">
        <v>743</v>
      </c>
      <c r="C120" s="172" t="s">
        <v>275</v>
      </c>
      <c r="D120" s="172" t="s">
        <v>274</v>
      </c>
      <c r="E120" s="172"/>
      <c r="F120" s="172"/>
      <c r="G120" s="396"/>
      <c r="H120" s="397"/>
      <c r="I120" s="171"/>
      <c r="J120" s="172"/>
    </row>
    <row r="121" spans="1:12" ht="15" customHeight="1" thickBot="1">
      <c r="A121" s="293">
        <v>13100</v>
      </c>
      <c r="B121" s="172" t="s">
        <v>743</v>
      </c>
      <c r="C121" s="172" t="s">
        <v>273</v>
      </c>
      <c r="D121" s="172" t="s">
        <v>272</v>
      </c>
      <c r="E121" s="172"/>
      <c r="F121" s="172"/>
      <c r="G121" s="396"/>
      <c r="H121" s="397"/>
      <c r="I121" s="171"/>
      <c r="J121" s="172"/>
    </row>
    <row r="122" spans="1:12" ht="15" customHeight="1" thickBot="1">
      <c r="A122" s="55">
        <v>13200</v>
      </c>
      <c r="B122" s="194" t="s">
        <v>728</v>
      </c>
      <c r="C122" s="194" t="s">
        <v>2284</v>
      </c>
      <c r="D122" s="194" t="s">
        <v>883</v>
      </c>
      <c r="E122" s="194" t="s">
        <v>2067</v>
      </c>
      <c r="F122" s="194"/>
      <c r="G122" s="312">
        <f t="shared" si="11"/>
        <v>20</v>
      </c>
      <c r="H122" s="297">
        <v>20</v>
      </c>
      <c r="I122" s="298"/>
      <c r="J122" s="194" t="s">
        <v>1036</v>
      </c>
      <c r="K122" s="106" t="s">
        <v>1177</v>
      </c>
    </row>
    <row r="123" spans="1:12" ht="15" customHeight="1" thickBot="1">
      <c r="A123" s="55">
        <v>13300</v>
      </c>
      <c r="B123" s="194" t="s">
        <v>728</v>
      </c>
      <c r="C123" s="194" t="s">
        <v>2285</v>
      </c>
      <c r="D123" s="194" t="s">
        <v>885</v>
      </c>
      <c r="E123" s="194" t="s">
        <v>2067</v>
      </c>
      <c r="F123" s="194"/>
      <c r="G123" s="312">
        <f t="shared" si="11"/>
        <v>12</v>
      </c>
      <c r="H123" s="297">
        <v>12</v>
      </c>
      <c r="I123" s="298"/>
      <c r="J123" s="194" t="s">
        <v>1036</v>
      </c>
      <c r="K123" s="106" t="s">
        <v>1177</v>
      </c>
    </row>
    <row r="124" spans="1:12" ht="15" customHeight="1" thickBot="1">
      <c r="A124" s="55">
        <v>13400</v>
      </c>
      <c r="B124" s="194" t="s">
        <v>728</v>
      </c>
      <c r="C124" s="194" t="s">
        <v>271</v>
      </c>
      <c r="D124" s="194" t="s">
        <v>270</v>
      </c>
      <c r="E124" s="194" t="s">
        <v>2067</v>
      </c>
      <c r="F124" s="194"/>
      <c r="G124" s="312">
        <f t="shared" si="11"/>
        <v>20</v>
      </c>
      <c r="H124" s="297">
        <v>20</v>
      </c>
      <c r="I124" s="298"/>
      <c r="J124" s="194" t="s">
        <v>1036</v>
      </c>
      <c r="K124" s="106" t="s">
        <v>1177</v>
      </c>
    </row>
    <row r="125" spans="1:12" ht="15" customHeight="1" thickBot="1">
      <c r="A125" s="55">
        <v>13500</v>
      </c>
      <c r="B125" s="194" t="s">
        <v>728</v>
      </c>
      <c r="C125" s="194" t="s">
        <v>269</v>
      </c>
      <c r="D125" s="194" t="s">
        <v>268</v>
      </c>
      <c r="E125" s="194" t="s">
        <v>2067</v>
      </c>
      <c r="F125" s="194"/>
      <c r="G125" s="312">
        <f t="shared" si="11"/>
        <v>15</v>
      </c>
      <c r="H125" s="297">
        <v>15</v>
      </c>
      <c r="I125" s="298"/>
      <c r="J125" s="194" t="s">
        <v>1036</v>
      </c>
      <c r="K125" s="106" t="s">
        <v>1177</v>
      </c>
    </row>
    <row r="126" spans="1:12" ht="15" customHeight="1" thickBot="1">
      <c r="A126" s="55">
        <v>13600</v>
      </c>
      <c r="B126" s="194" t="s">
        <v>728</v>
      </c>
      <c r="C126" s="194" t="s">
        <v>267</v>
      </c>
      <c r="D126" s="194" t="s">
        <v>266</v>
      </c>
      <c r="E126" s="194" t="s">
        <v>2067</v>
      </c>
      <c r="F126" s="194"/>
      <c r="G126" s="312">
        <f t="shared" si="11"/>
        <v>15</v>
      </c>
      <c r="H126" s="297">
        <v>15</v>
      </c>
      <c r="I126" s="298"/>
      <c r="J126" s="194" t="s">
        <v>1036</v>
      </c>
      <c r="K126" s="106" t="s">
        <v>1177</v>
      </c>
    </row>
    <row r="127" spans="1:12" ht="15" customHeight="1" thickBot="1">
      <c r="A127" s="55">
        <v>13700</v>
      </c>
      <c r="B127" s="194" t="s">
        <v>728</v>
      </c>
      <c r="C127" s="194" t="s">
        <v>265</v>
      </c>
      <c r="D127" s="194" t="s">
        <v>264</v>
      </c>
      <c r="E127" s="194" t="s">
        <v>2067</v>
      </c>
      <c r="F127" s="194"/>
      <c r="G127" s="312">
        <f t="shared" si="11"/>
        <v>20</v>
      </c>
      <c r="H127" s="297">
        <v>20</v>
      </c>
      <c r="I127" s="298"/>
      <c r="J127" s="194" t="s">
        <v>1036</v>
      </c>
      <c r="K127" s="106" t="s">
        <v>1177</v>
      </c>
    </row>
    <row r="128" spans="1:12" ht="15" customHeight="1" thickBot="1">
      <c r="A128" s="55">
        <v>13800</v>
      </c>
      <c r="B128" s="194" t="s">
        <v>728</v>
      </c>
      <c r="C128" s="194" t="s">
        <v>263</v>
      </c>
      <c r="D128" s="194" t="s">
        <v>262</v>
      </c>
      <c r="E128" s="194" t="s">
        <v>2067</v>
      </c>
      <c r="F128" s="194"/>
      <c r="G128" s="312">
        <f t="shared" si="11"/>
        <v>20</v>
      </c>
      <c r="H128" s="297">
        <v>20</v>
      </c>
      <c r="I128" s="298"/>
      <c r="J128" s="194" t="s">
        <v>1036</v>
      </c>
      <c r="K128" s="106" t="s">
        <v>1177</v>
      </c>
    </row>
    <row r="129" spans="1:12" ht="15" customHeight="1" thickBot="1">
      <c r="A129" s="293">
        <v>13900</v>
      </c>
      <c r="B129" s="172" t="s">
        <v>743</v>
      </c>
      <c r="C129" s="172" t="s">
        <v>260</v>
      </c>
      <c r="D129" s="172" t="s">
        <v>259</v>
      </c>
      <c r="E129" s="172"/>
      <c r="F129" s="172"/>
      <c r="G129" s="396"/>
      <c r="H129" s="172"/>
      <c r="I129" s="171"/>
      <c r="J129" s="172"/>
    </row>
    <row r="130" spans="1:12" ht="15" customHeight="1" thickBot="1">
      <c r="A130" s="55">
        <v>14000</v>
      </c>
      <c r="B130" s="194" t="s">
        <v>728</v>
      </c>
      <c r="C130" s="194" t="s">
        <v>258</v>
      </c>
      <c r="D130" s="194" t="s">
        <v>257</v>
      </c>
      <c r="E130" s="194" t="s">
        <v>2067</v>
      </c>
      <c r="F130" s="194"/>
      <c r="G130" s="152">
        <f t="shared" si="11"/>
        <v>25</v>
      </c>
      <c r="H130" s="297">
        <v>25</v>
      </c>
      <c r="I130" s="298"/>
      <c r="J130" s="194" t="s">
        <v>1036</v>
      </c>
      <c r="K130" s="106" t="s">
        <v>1177</v>
      </c>
    </row>
    <row r="131" spans="1:12" ht="15" customHeight="1" thickBot="1">
      <c r="A131" s="55">
        <v>14100</v>
      </c>
      <c r="B131" s="194" t="s">
        <v>728</v>
      </c>
      <c r="C131" s="194" t="s">
        <v>256</v>
      </c>
      <c r="D131" s="194" t="s">
        <v>255</v>
      </c>
      <c r="E131" s="194" t="s">
        <v>2067</v>
      </c>
      <c r="F131" s="194"/>
      <c r="G131" s="152">
        <f t="shared" si="11"/>
        <v>30</v>
      </c>
      <c r="H131" s="297">
        <v>30</v>
      </c>
      <c r="I131" s="298"/>
      <c r="J131" s="194" t="s">
        <v>1036</v>
      </c>
      <c r="K131" s="106" t="s">
        <v>1177</v>
      </c>
    </row>
    <row r="132" spans="1:12" ht="15" customHeight="1" thickBot="1">
      <c r="A132" s="55">
        <v>14200</v>
      </c>
      <c r="B132" s="194" t="s">
        <v>728</v>
      </c>
      <c r="C132" s="194" t="s">
        <v>254</v>
      </c>
      <c r="D132" s="194" t="s">
        <v>253</v>
      </c>
      <c r="E132" s="194" t="s">
        <v>2067</v>
      </c>
      <c r="F132" s="194"/>
      <c r="G132" s="152">
        <f t="shared" si="11"/>
        <v>20</v>
      </c>
      <c r="H132" s="297">
        <v>20</v>
      </c>
      <c r="I132" s="298"/>
      <c r="J132" s="194" t="s">
        <v>1036</v>
      </c>
      <c r="K132" s="106" t="s">
        <v>1177</v>
      </c>
    </row>
    <row r="133" spans="1:12" ht="15" customHeight="1" thickBot="1">
      <c r="A133" s="55">
        <v>14300</v>
      </c>
      <c r="B133" s="194" t="s">
        <v>728</v>
      </c>
      <c r="C133" s="194" t="s">
        <v>252</v>
      </c>
      <c r="D133" s="194" t="s">
        <v>251</v>
      </c>
      <c r="E133" s="194" t="s">
        <v>2067</v>
      </c>
      <c r="F133" s="194"/>
      <c r="G133" s="152">
        <f t="shared" si="11"/>
        <v>20</v>
      </c>
      <c r="H133" s="297">
        <v>20</v>
      </c>
      <c r="I133" s="298"/>
      <c r="J133" s="194" t="s">
        <v>1036</v>
      </c>
      <c r="K133" s="106" t="s">
        <v>1177</v>
      </c>
    </row>
    <row r="134" spans="1:12" ht="15" customHeight="1" thickBot="1">
      <c r="A134" s="55">
        <v>14400</v>
      </c>
      <c r="B134" s="194" t="s">
        <v>728</v>
      </c>
      <c r="C134" s="194" t="s">
        <v>250</v>
      </c>
      <c r="D134" s="194" t="s">
        <v>249</v>
      </c>
      <c r="E134" s="194" t="s">
        <v>2067</v>
      </c>
      <c r="F134" s="194"/>
      <c r="G134" s="152">
        <f t="shared" si="11"/>
        <v>20</v>
      </c>
      <c r="H134" s="297">
        <v>20</v>
      </c>
      <c r="I134" s="298"/>
      <c r="J134" s="194" t="s">
        <v>1036</v>
      </c>
      <c r="K134" s="106" t="s">
        <v>1177</v>
      </c>
    </row>
    <row r="135" spans="1:12" ht="15" customHeight="1" thickBot="1">
      <c r="A135" s="55">
        <v>14500</v>
      </c>
      <c r="B135" s="194" t="s">
        <v>728</v>
      </c>
      <c r="C135" s="194" t="s">
        <v>247</v>
      </c>
      <c r="D135" s="194" t="s">
        <v>246</v>
      </c>
      <c r="E135" s="194" t="s">
        <v>2471</v>
      </c>
      <c r="F135" s="194"/>
      <c r="G135" s="312">
        <f t="shared" si="11"/>
        <v>25</v>
      </c>
      <c r="H135" s="297">
        <v>25</v>
      </c>
      <c r="I135" s="298"/>
      <c r="J135" s="194" t="s">
        <v>1036</v>
      </c>
      <c r="K135" s="106" t="s">
        <v>1177</v>
      </c>
      <c r="L135" s="106" t="s">
        <v>2396</v>
      </c>
    </row>
    <row r="136" spans="1:12" ht="15" customHeight="1" thickBot="1">
      <c r="A136" s="293">
        <v>14600</v>
      </c>
      <c r="B136" s="172" t="s">
        <v>743</v>
      </c>
      <c r="C136" s="172" t="s">
        <v>230</v>
      </c>
      <c r="D136" s="172" t="s">
        <v>229</v>
      </c>
      <c r="E136" s="172"/>
      <c r="F136" s="172"/>
      <c r="G136" s="171"/>
      <c r="H136" s="172"/>
      <c r="I136" s="171"/>
      <c r="J136" s="172"/>
    </row>
    <row r="137" spans="1:12" ht="15" customHeight="1" thickBot="1">
      <c r="A137" s="55">
        <v>14700</v>
      </c>
      <c r="B137" s="194" t="s">
        <v>728</v>
      </c>
      <c r="C137" s="194" t="s">
        <v>228</v>
      </c>
      <c r="D137" s="194" t="s">
        <v>227</v>
      </c>
      <c r="E137" s="194" t="s">
        <v>2067</v>
      </c>
      <c r="F137" s="194"/>
      <c r="G137" s="312">
        <f t="shared" ref="G137:G148" si="12">IF(I137="",H137,I137)</f>
        <v>10</v>
      </c>
      <c r="H137" s="313">
        <v>10</v>
      </c>
      <c r="I137" s="298"/>
      <c r="J137" s="194" t="s">
        <v>1036</v>
      </c>
      <c r="K137" s="106" t="s">
        <v>1177</v>
      </c>
    </row>
    <row r="138" spans="1:12" ht="15" customHeight="1" thickBot="1">
      <c r="A138" s="55">
        <v>14800</v>
      </c>
      <c r="B138" s="194" t="s">
        <v>728</v>
      </c>
      <c r="C138" s="194" t="s">
        <v>226</v>
      </c>
      <c r="D138" s="194" t="s">
        <v>225</v>
      </c>
      <c r="E138" s="194" t="s">
        <v>2067</v>
      </c>
      <c r="F138" s="194"/>
      <c r="G138" s="312">
        <f t="shared" si="12"/>
        <v>20</v>
      </c>
      <c r="H138" s="313">
        <v>20</v>
      </c>
      <c r="I138" s="298"/>
      <c r="J138" s="194" t="s">
        <v>1036</v>
      </c>
      <c r="K138" s="106" t="s">
        <v>1177</v>
      </c>
    </row>
    <row r="139" spans="1:12" ht="15" customHeight="1" thickBot="1">
      <c r="A139" s="55">
        <v>14900</v>
      </c>
      <c r="B139" s="194" t="s">
        <v>728</v>
      </c>
      <c r="C139" s="194" t="s">
        <v>224</v>
      </c>
      <c r="D139" s="194" t="s">
        <v>223</v>
      </c>
      <c r="E139" s="194" t="s">
        <v>2067</v>
      </c>
      <c r="F139" s="194"/>
      <c r="G139" s="312">
        <f t="shared" si="12"/>
        <v>14</v>
      </c>
      <c r="H139" s="313">
        <v>14</v>
      </c>
      <c r="I139" s="298"/>
      <c r="J139" s="194" t="s">
        <v>1036</v>
      </c>
      <c r="K139" s="106" t="s">
        <v>1177</v>
      </c>
    </row>
    <row r="140" spans="1:12" ht="15" customHeight="1" thickBot="1">
      <c r="A140" s="55">
        <v>15000</v>
      </c>
      <c r="B140" s="194" t="s">
        <v>728</v>
      </c>
      <c r="C140" s="194" t="s">
        <v>222</v>
      </c>
      <c r="D140" s="194" t="s">
        <v>221</v>
      </c>
      <c r="E140" s="194" t="s">
        <v>2067</v>
      </c>
      <c r="F140" s="194"/>
      <c r="G140" s="312">
        <f t="shared" si="12"/>
        <v>15</v>
      </c>
      <c r="H140" s="313">
        <v>15</v>
      </c>
      <c r="I140" s="298"/>
      <c r="J140" s="194" t="s">
        <v>1036</v>
      </c>
      <c r="K140" s="106" t="s">
        <v>1177</v>
      </c>
    </row>
    <row r="141" spans="1:12" ht="15" customHeight="1" thickBot="1">
      <c r="A141" s="55">
        <v>15100</v>
      </c>
      <c r="B141" s="194" t="s">
        <v>728</v>
      </c>
      <c r="C141" s="194" t="s">
        <v>220</v>
      </c>
      <c r="D141" s="194" t="s">
        <v>219</v>
      </c>
      <c r="E141" s="194" t="s">
        <v>2067</v>
      </c>
      <c r="F141" s="194"/>
      <c r="G141" s="312">
        <f t="shared" si="12"/>
        <v>16</v>
      </c>
      <c r="H141" s="313">
        <v>16</v>
      </c>
      <c r="I141" s="298"/>
      <c r="J141" s="194" t="s">
        <v>1036</v>
      </c>
      <c r="K141" s="106" t="s">
        <v>1177</v>
      </c>
    </row>
    <row r="142" spans="1:12" ht="15" customHeight="1" thickBot="1">
      <c r="A142" s="55">
        <v>15200</v>
      </c>
      <c r="B142" s="194" t="s">
        <v>728</v>
      </c>
      <c r="C142" s="194" t="s">
        <v>218</v>
      </c>
      <c r="D142" s="194" t="s">
        <v>217</v>
      </c>
      <c r="E142" s="194" t="s">
        <v>2067</v>
      </c>
      <c r="F142" s="194"/>
      <c r="G142" s="312">
        <f t="shared" si="12"/>
        <v>10</v>
      </c>
      <c r="H142" s="313">
        <v>10</v>
      </c>
      <c r="I142" s="298"/>
      <c r="J142" s="194" t="s">
        <v>1036</v>
      </c>
      <c r="K142" s="106" t="s">
        <v>1177</v>
      </c>
    </row>
    <row r="143" spans="1:12" ht="15" customHeight="1" thickBot="1">
      <c r="A143" s="55">
        <v>15300</v>
      </c>
      <c r="B143" s="194" t="s">
        <v>728</v>
      </c>
      <c r="C143" s="194" t="s">
        <v>216</v>
      </c>
      <c r="D143" s="194" t="s">
        <v>215</v>
      </c>
      <c r="E143" s="194" t="s">
        <v>2067</v>
      </c>
      <c r="F143" s="194"/>
      <c r="G143" s="312">
        <f t="shared" si="12"/>
        <v>10</v>
      </c>
      <c r="H143" s="313">
        <v>10</v>
      </c>
      <c r="I143" s="298"/>
      <c r="J143" s="194" t="s">
        <v>1036</v>
      </c>
      <c r="K143" s="106" t="s">
        <v>1177</v>
      </c>
    </row>
    <row r="144" spans="1:12" ht="15" customHeight="1" thickBot="1">
      <c r="A144" s="55">
        <v>15400</v>
      </c>
      <c r="B144" s="194" t="s">
        <v>728</v>
      </c>
      <c r="C144" s="194" t="s">
        <v>214</v>
      </c>
      <c r="D144" s="194" t="s">
        <v>213</v>
      </c>
      <c r="E144" s="194" t="s">
        <v>2067</v>
      </c>
      <c r="F144" s="194"/>
      <c r="G144" s="312">
        <f t="shared" si="12"/>
        <v>17</v>
      </c>
      <c r="H144" s="313">
        <v>17</v>
      </c>
      <c r="I144" s="298"/>
      <c r="J144" s="194" t="s">
        <v>1036</v>
      </c>
      <c r="K144" s="106" t="s">
        <v>1177</v>
      </c>
    </row>
    <row r="145" spans="1:12" ht="15" customHeight="1" thickBot="1">
      <c r="A145" s="55">
        <v>15500</v>
      </c>
      <c r="B145" s="194" t="s">
        <v>728</v>
      </c>
      <c r="C145" s="194" t="s">
        <v>211</v>
      </c>
      <c r="D145" s="194" t="s">
        <v>210</v>
      </c>
      <c r="E145" s="194" t="s">
        <v>2067</v>
      </c>
      <c r="F145" s="194"/>
      <c r="G145" s="312">
        <f t="shared" si="12"/>
        <v>18</v>
      </c>
      <c r="H145" s="313">
        <v>18</v>
      </c>
      <c r="I145" s="298"/>
      <c r="J145" s="194" t="s">
        <v>1036</v>
      </c>
      <c r="K145" s="106" t="s">
        <v>1177</v>
      </c>
    </row>
    <row r="146" spans="1:12" ht="15" customHeight="1" thickBot="1">
      <c r="A146" s="55">
        <v>15600</v>
      </c>
      <c r="B146" s="194" t="s">
        <v>728</v>
      </c>
      <c r="C146" s="194" t="s">
        <v>197</v>
      </c>
      <c r="D146" s="194" t="s">
        <v>909</v>
      </c>
      <c r="E146" s="194" t="s">
        <v>2067</v>
      </c>
      <c r="F146" s="194"/>
      <c r="G146" s="312">
        <f t="shared" si="12"/>
        <v>20</v>
      </c>
      <c r="H146" s="313">
        <v>20</v>
      </c>
      <c r="I146" s="298"/>
      <c r="J146" s="194" t="s">
        <v>1036</v>
      </c>
      <c r="K146" s="106" t="s">
        <v>1177</v>
      </c>
    </row>
    <row r="147" spans="1:12" ht="15" customHeight="1" thickBot="1">
      <c r="A147" s="293">
        <v>8700</v>
      </c>
      <c r="B147" s="294" t="s">
        <v>724</v>
      </c>
      <c r="C147" s="172" t="s">
        <v>194</v>
      </c>
      <c r="D147" s="172" t="s">
        <v>193</v>
      </c>
      <c r="E147" s="172"/>
      <c r="F147" s="172"/>
      <c r="G147" s="171"/>
      <c r="H147" s="172"/>
      <c r="I147" s="171"/>
      <c r="J147" s="172"/>
    </row>
    <row r="148" spans="1:12" ht="15" customHeight="1" thickBot="1">
      <c r="A148" s="55">
        <v>8800</v>
      </c>
      <c r="B148" s="290" t="s">
        <v>728</v>
      </c>
      <c r="C148" s="194" t="s">
        <v>192</v>
      </c>
      <c r="D148" s="194" t="s">
        <v>0</v>
      </c>
      <c r="E148" s="194" t="s">
        <v>2067</v>
      </c>
      <c r="F148" s="194"/>
      <c r="G148" s="312">
        <f t="shared" si="12"/>
        <v>30</v>
      </c>
      <c r="H148" s="313">
        <v>30</v>
      </c>
      <c r="I148" s="298"/>
      <c r="J148" s="194" t="s">
        <v>1036</v>
      </c>
      <c r="K148" s="106" t="s">
        <v>1177</v>
      </c>
    </row>
    <row r="149" spans="1:12" ht="15" customHeight="1">
      <c r="A149" s="293">
        <v>8900</v>
      </c>
      <c r="B149" s="294" t="s">
        <v>743</v>
      </c>
      <c r="C149" s="172" t="s">
        <v>191</v>
      </c>
      <c r="D149" s="172" t="s">
        <v>190</v>
      </c>
      <c r="E149" s="172"/>
      <c r="F149" s="172"/>
      <c r="G149" s="171"/>
      <c r="H149" s="172"/>
      <c r="I149" s="171"/>
      <c r="J149" s="172"/>
    </row>
    <row r="150" spans="1:12" ht="15" customHeight="1" thickBot="1">
      <c r="A150" s="293">
        <v>9000</v>
      </c>
      <c r="B150" s="294" t="s">
        <v>743</v>
      </c>
      <c r="C150" s="172" t="s">
        <v>189</v>
      </c>
      <c r="D150" s="172" t="s">
        <v>188</v>
      </c>
      <c r="E150" s="172"/>
      <c r="F150" s="172"/>
      <c r="G150" s="171"/>
      <c r="H150" s="172"/>
      <c r="I150" s="171"/>
      <c r="J150" s="172"/>
    </row>
    <row r="151" spans="1:12" ht="15" customHeight="1" thickBot="1">
      <c r="A151" s="55">
        <v>9100</v>
      </c>
      <c r="B151" s="290" t="s">
        <v>728</v>
      </c>
      <c r="C151" s="194" t="s">
        <v>187</v>
      </c>
      <c r="D151" s="80" t="s">
        <v>2301</v>
      </c>
      <c r="E151" s="194"/>
      <c r="F151" s="194"/>
      <c r="G151" s="312" t="str">
        <f t="shared" ref="G151:G155" si="13">IF(I151="",H151,I151)</f>
        <v>k.A.</v>
      </c>
      <c r="H151" s="297" t="str">
        <f>VLOOKUP(VLOOKUP(C151,Errichtungskosten,8,0),ÖkodatenKonstruktionen,7,0)</f>
        <v>k.A.</v>
      </c>
      <c r="I151" s="298"/>
      <c r="J151" s="194" t="s">
        <v>1036</v>
      </c>
      <c r="K151" s="106" t="s">
        <v>1177</v>
      </c>
      <c r="L151" s="106" t="s">
        <v>1177</v>
      </c>
    </row>
    <row r="152" spans="1:12" ht="15" customHeight="1" thickBot="1">
      <c r="A152" s="55">
        <v>9200</v>
      </c>
      <c r="B152" s="290" t="s">
        <v>728</v>
      </c>
      <c r="C152" s="194" t="s">
        <v>186</v>
      </c>
      <c r="D152" s="80" t="s">
        <v>2302</v>
      </c>
      <c r="E152" s="194"/>
      <c r="F152" s="194"/>
      <c r="G152" s="312" t="str">
        <f t="shared" si="13"/>
        <v>k.A.</v>
      </c>
      <c r="H152" s="297" t="str">
        <f>VLOOKUP(VLOOKUP(C152,Errichtungskosten,8,0),ÖkodatenKonstruktionen,7,0)</f>
        <v>k.A.</v>
      </c>
      <c r="I152" s="298"/>
      <c r="J152" s="194" t="s">
        <v>1036</v>
      </c>
      <c r="K152" s="106" t="s">
        <v>1177</v>
      </c>
      <c r="L152" s="106" t="s">
        <v>1177</v>
      </c>
    </row>
    <row r="153" spans="1:12" ht="15" customHeight="1" thickBot="1">
      <c r="A153" s="55">
        <v>9600</v>
      </c>
      <c r="B153" s="290" t="s">
        <v>728</v>
      </c>
      <c r="C153" s="194" t="s">
        <v>184</v>
      </c>
      <c r="D153" s="194" t="s">
        <v>183</v>
      </c>
      <c r="E153" s="194"/>
      <c r="F153" s="194"/>
      <c r="G153" s="312" t="str">
        <f t="shared" si="13"/>
        <v>k.A.</v>
      </c>
      <c r="H153" s="297" t="str">
        <f>VLOOKUP(VLOOKUP("E4.B.02a",Errichtungskosten,8,0),ÖkodatenKonstruktionen,7,0)</f>
        <v>k.A.</v>
      </c>
      <c r="I153" s="298"/>
      <c r="J153" s="194" t="s">
        <v>1036</v>
      </c>
      <c r="K153" s="106" t="s">
        <v>1177</v>
      </c>
      <c r="L153" s="106" t="s">
        <v>2397</v>
      </c>
    </row>
    <row r="154" spans="1:12" ht="15" customHeight="1" thickBot="1">
      <c r="A154" s="55">
        <v>9700</v>
      </c>
      <c r="B154" s="290" t="s">
        <v>728</v>
      </c>
      <c r="C154" s="194" t="s">
        <v>182</v>
      </c>
      <c r="D154" s="194" t="s">
        <v>181</v>
      </c>
      <c r="E154" s="194" t="s">
        <v>2067</v>
      </c>
      <c r="F154" s="194"/>
      <c r="G154" s="312">
        <f t="shared" si="13"/>
        <v>15</v>
      </c>
      <c r="H154" s="313">
        <v>15</v>
      </c>
      <c r="I154" s="298"/>
      <c r="J154" s="194" t="s">
        <v>1036</v>
      </c>
      <c r="K154" s="106" t="s">
        <v>1177</v>
      </c>
    </row>
    <row r="155" spans="1:12" ht="15" customHeight="1" thickBot="1">
      <c r="A155" s="55">
        <v>9800</v>
      </c>
      <c r="B155" s="290" t="s">
        <v>728</v>
      </c>
      <c r="C155" s="194" t="s">
        <v>180</v>
      </c>
      <c r="D155" s="194" t="s">
        <v>179</v>
      </c>
      <c r="E155" s="194" t="s">
        <v>2067</v>
      </c>
      <c r="F155" s="194"/>
      <c r="G155" s="312">
        <f t="shared" si="13"/>
        <v>30</v>
      </c>
      <c r="H155" s="313">
        <v>30</v>
      </c>
      <c r="I155" s="298"/>
      <c r="J155" s="194" t="s">
        <v>1036</v>
      </c>
      <c r="K155" s="106" t="s">
        <v>1177</v>
      </c>
    </row>
    <row r="156" spans="1:12" ht="15" customHeight="1" thickBot="1">
      <c r="A156" s="293">
        <v>9900</v>
      </c>
      <c r="B156" s="294" t="s">
        <v>743</v>
      </c>
      <c r="C156" s="172" t="s">
        <v>178</v>
      </c>
      <c r="D156" s="172" t="s">
        <v>177</v>
      </c>
      <c r="E156" s="172"/>
      <c r="F156" s="172"/>
      <c r="G156" s="171"/>
      <c r="H156" s="172"/>
      <c r="I156" s="171"/>
      <c r="J156" s="172"/>
      <c r="K156" s="106" t="s">
        <v>2289</v>
      </c>
    </row>
    <row r="157" spans="1:12" ht="15" customHeight="1" thickBot="1">
      <c r="A157" s="55"/>
      <c r="B157" s="55"/>
      <c r="C157" s="194" t="s">
        <v>176</v>
      </c>
      <c r="D157" s="194" t="s">
        <v>175</v>
      </c>
      <c r="E157" s="68"/>
      <c r="F157" s="68"/>
      <c r="G157" s="291"/>
      <c r="H157" s="320"/>
      <c r="I157" s="379"/>
      <c r="J157" s="194"/>
      <c r="K157" s="106" t="s">
        <v>2290</v>
      </c>
    </row>
    <row r="158" spans="1:12" ht="15" customHeight="1" thickBot="1">
      <c r="A158" s="55"/>
      <c r="B158" s="55"/>
      <c r="C158" s="194" t="s">
        <v>2022</v>
      </c>
      <c r="D158" s="80" t="s">
        <v>1477</v>
      </c>
      <c r="E158" s="68"/>
      <c r="F158" s="68"/>
      <c r="G158" s="312" t="str">
        <f t="shared" ref="G158:G186" si="14">IF(I158="",H158,I158)</f>
        <v>k.A.</v>
      </c>
      <c r="H158" s="297" t="str">
        <f>VLOOKUP(VLOOKUP(C158,Errichtungskosten,8,0),ÖkodatenKonstruktionen,7,0)</f>
        <v>k.A.</v>
      </c>
      <c r="I158" s="298"/>
      <c r="J158" s="194" t="s">
        <v>1036</v>
      </c>
      <c r="K158" s="106" t="s">
        <v>1269</v>
      </c>
      <c r="L158" s="106" t="s">
        <v>1177</v>
      </c>
    </row>
    <row r="159" spans="1:12" ht="15" customHeight="1" thickBot="1">
      <c r="A159" s="55"/>
      <c r="B159" s="55"/>
      <c r="C159" s="194" t="s">
        <v>2018</v>
      </c>
      <c r="D159" s="80" t="s">
        <v>1612</v>
      </c>
      <c r="E159" s="68"/>
      <c r="F159" s="68"/>
      <c r="G159" s="312" t="str">
        <f t="shared" si="14"/>
        <v>k.A.</v>
      </c>
      <c r="H159" s="297" t="str">
        <f>VLOOKUP(VLOOKUP("E4.C.01b1",Errichtungskosten,8,0),ÖkodatenKonstruktionen,7,0)</f>
        <v>k.A.</v>
      </c>
      <c r="I159" s="298"/>
      <c r="J159" s="194" t="s">
        <v>1036</v>
      </c>
      <c r="K159" s="106" t="s">
        <v>1269</v>
      </c>
      <c r="L159" s="106" t="s">
        <v>2398</v>
      </c>
    </row>
    <row r="160" spans="1:12" ht="15" customHeight="1" thickBot="1">
      <c r="A160" s="55"/>
      <c r="B160" s="55"/>
      <c r="C160" s="172" t="s">
        <v>173</v>
      </c>
      <c r="D160" s="172" t="s">
        <v>172</v>
      </c>
      <c r="E160" s="172"/>
      <c r="F160" s="172"/>
      <c r="G160" s="171"/>
      <c r="H160" s="172"/>
      <c r="I160" s="171"/>
      <c r="J160" s="172"/>
      <c r="K160" s="106" t="s">
        <v>2290</v>
      </c>
    </row>
    <row r="161" spans="1:12" ht="15" customHeight="1" thickBot="1">
      <c r="A161" s="55"/>
      <c r="B161" s="55"/>
      <c r="C161" s="194" t="s">
        <v>1965</v>
      </c>
      <c r="D161" s="80" t="s">
        <v>1613</v>
      </c>
      <c r="E161" s="68"/>
      <c r="F161" s="68"/>
      <c r="G161" s="312" t="str">
        <f t="shared" si="14"/>
        <v>k.A.</v>
      </c>
      <c r="H161" s="297" t="str">
        <f>VLOOKUP(VLOOKUP("E4.C.02a1",Errichtungskosten,8,0),ÖkodatenKonstruktionen,7,0)</f>
        <v>k.A.</v>
      </c>
      <c r="I161" s="298"/>
      <c r="J161" s="194" t="s">
        <v>1036</v>
      </c>
      <c r="K161" s="106" t="s">
        <v>1269</v>
      </c>
      <c r="L161" s="106" t="s">
        <v>2399</v>
      </c>
    </row>
    <row r="162" spans="1:12" ht="15" customHeight="1" thickBot="1">
      <c r="A162" s="55"/>
      <c r="B162" s="55"/>
      <c r="C162" s="194" t="s">
        <v>1966</v>
      </c>
      <c r="D162" s="80" t="s">
        <v>1614</v>
      </c>
      <c r="E162" s="68"/>
      <c r="F162" s="68"/>
      <c r="G162" s="312" t="str">
        <f t="shared" si="14"/>
        <v>k.A.</v>
      </c>
      <c r="H162" s="297" t="str">
        <f>VLOOKUP(VLOOKUP("E4.C.02b",Errichtungskosten,8,0),ÖkodatenKonstruktionen,7,0)</f>
        <v>k.A.</v>
      </c>
      <c r="I162" s="298"/>
      <c r="J162" s="194" t="s">
        <v>1036</v>
      </c>
      <c r="K162" s="106" t="s">
        <v>1269</v>
      </c>
      <c r="L162" s="106" t="s">
        <v>1177</v>
      </c>
    </row>
    <row r="163" spans="1:12" ht="15" customHeight="1" thickBot="1">
      <c r="A163" s="55"/>
      <c r="B163" s="55"/>
      <c r="C163" s="194" t="s">
        <v>2143</v>
      </c>
      <c r="D163" s="80" t="s">
        <v>2146</v>
      </c>
      <c r="E163" s="68"/>
      <c r="F163" s="68"/>
      <c r="G163" s="312" t="str">
        <f t="shared" si="14"/>
        <v>k.A.</v>
      </c>
      <c r="H163" s="297" t="str">
        <f>VLOOKUP(VLOOKUP("E4.C.02c1",Errichtungskosten,8,0),ÖkodatenKonstruktionen,7,0)</f>
        <v>k.A.</v>
      </c>
      <c r="I163" s="298"/>
      <c r="J163" s="194" t="s">
        <v>1036</v>
      </c>
      <c r="L163" s="106" t="s">
        <v>2399</v>
      </c>
    </row>
    <row r="164" spans="1:12" ht="15" customHeight="1" thickBot="1">
      <c r="A164" s="55"/>
      <c r="B164" s="55"/>
      <c r="C164" s="194" t="s">
        <v>171</v>
      </c>
      <c r="D164" s="194" t="s">
        <v>170</v>
      </c>
      <c r="E164" s="68"/>
      <c r="F164" s="68"/>
      <c r="G164" s="312" t="str">
        <f t="shared" si="14"/>
        <v>k.A.</v>
      </c>
      <c r="H164" s="297" t="s">
        <v>2070</v>
      </c>
      <c r="I164" s="298"/>
      <c r="J164" s="194" t="s">
        <v>1036</v>
      </c>
      <c r="K164" s="106" t="s">
        <v>2290</v>
      </c>
    </row>
    <row r="165" spans="1:12" ht="15" customHeight="1" thickBot="1">
      <c r="A165" s="55"/>
      <c r="B165" s="55"/>
      <c r="C165" s="172" t="s">
        <v>1486</v>
      </c>
      <c r="D165" s="172" t="s">
        <v>1176</v>
      </c>
      <c r="E165" s="172"/>
      <c r="F165" s="172"/>
      <c r="G165" s="171"/>
      <c r="H165" s="172"/>
      <c r="I165" s="171"/>
      <c r="J165" s="172"/>
      <c r="K165" s="106" t="s">
        <v>1269</v>
      </c>
    </row>
    <row r="166" spans="1:12" ht="15" customHeight="1" thickBot="1">
      <c r="A166" s="55"/>
      <c r="B166" s="55"/>
      <c r="C166" s="194" t="s">
        <v>1876</v>
      </c>
      <c r="D166" s="80" t="s">
        <v>1482</v>
      </c>
      <c r="E166" s="68"/>
      <c r="F166" s="68"/>
      <c r="G166" s="312" t="str">
        <f t="shared" si="14"/>
        <v>k.A.</v>
      </c>
      <c r="H166" s="297" t="str">
        <f>VLOOKUP(VLOOKUP(C166,Errichtungskosten,8,0),ÖkodatenKonstruktionen,7,0)</f>
        <v>k.A.</v>
      </c>
      <c r="I166" s="298"/>
      <c r="J166" s="194" t="s">
        <v>1036</v>
      </c>
      <c r="K166" s="106" t="s">
        <v>1269</v>
      </c>
      <c r="L166" s="106" t="s">
        <v>1177</v>
      </c>
    </row>
    <row r="167" spans="1:12" ht="15" customHeight="1" thickBot="1">
      <c r="A167" s="55"/>
      <c r="B167" s="55"/>
      <c r="C167" s="194" t="s">
        <v>1877</v>
      </c>
      <c r="D167" s="80" t="s">
        <v>1483</v>
      </c>
      <c r="E167" s="68"/>
      <c r="F167" s="68"/>
      <c r="G167" s="312" t="str">
        <f t="shared" si="14"/>
        <v>k.A.</v>
      </c>
      <c r="H167" s="297" t="str">
        <f>VLOOKUP(VLOOKUP(C167,Errichtungskosten,8,0),ÖkodatenKonstruktionen,7,0)</f>
        <v>k.A.</v>
      </c>
      <c r="I167" s="298"/>
      <c r="J167" s="194" t="s">
        <v>1036</v>
      </c>
      <c r="K167" s="106" t="s">
        <v>1269</v>
      </c>
      <c r="L167" s="106" t="s">
        <v>1177</v>
      </c>
    </row>
    <row r="168" spans="1:12" ht="15" customHeight="1" thickBot="1">
      <c r="A168" s="293">
        <v>10400</v>
      </c>
      <c r="B168" s="294" t="s">
        <v>743</v>
      </c>
      <c r="C168" s="172" t="s">
        <v>167</v>
      </c>
      <c r="D168" s="172" t="s">
        <v>166</v>
      </c>
      <c r="E168" s="172"/>
      <c r="F168" s="172"/>
      <c r="G168" s="171"/>
      <c r="H168" s="172"/>
      <c r="I168" s="171"/>
      <c r="J168" s="172"/>
    </row>
    <row r="169" spans="1:12" ht="15" customHeight="1" thickBot="1">
      <c r="A169" s="55">
        <v>10500</v>
      </c>
      <c r="B169" s="290" t="s">
        <v>728</v>
      </c>
      <c r="C169" s="194" t="s">
        <v>165</v>
      </c>
      <c r="D169" s="194" t="s">
        <v>164</v>
      </c>
      <c r="E169" s="194" t="s">
        <v>2067</v>
      </c>
      <c r="F169" s="194"/>
      <c r="G169" s="312">
        <f t="shared" si="14"/>
        <v>20</v>
      </c>
      <c r="H169" s="322">
        <v>20</v>
      </c>
      <c r="I169" s="379"/>
      <c r="J169" s="194" t="s">
        <v>1036</v>
      </c>
      <c r="K169" s="106" t="s">
        <v>1177</v>
      </c>
      <c r="L169" s="106" t="s">
        <v>1269</v>
      </c>
    </row>
    <row r="170" spans="1:12" ht="15" customHeight="1" thickBot="1">
      <c r="A170" s="55"/>
      <c r="B170" s="290"/>
      <c r="C170" s="194" t="s">
        <v>1802</v>
      </c>
      <c r="D170" s="80" t="s">
        <v>1809</v>
      </c>
      <c r="E170" s="194"/>
      <c r="F170" s="194"/>
      <c r="G170" s="312" t="str">
        <f t="shared" si="14"/>
        <v>k.A.</v>
      </c>
      <c r="H170" s="297" t="str">
        <f>VLOOKUP(VLOOKUP(C170,Errichtungskosten,8,0),ÖkodatenKonstruktionen,7,0)</f>
        <v>k.A.</v>
      </c>
      <c r="I170" s="298"/>
      <c r="J170" s="194" t="s">
        <v>1036</v>
      </c>
      <c r="K170" s="106" t="s">
        <v>1269</v>
      </c>
      <c r="L170" s="106" t="s">
        <v>1177</v>
      </c>
    </row>
    <row r="171" spans="1:12" ht="15" customHeight="1" thickBot="1">
      <c r="A171" s="55"/>
      <c r="B171" s="290"/>
      <c r="C171" s="194" t="s">
        <v>1803</v>
      </c>
      <c r="D171" s="80" t="s">
        <v>1810</v>
      </c>
      <c r="E171" s="194"/>
      <c r="F171" s="194"/>
      <c r="G171" s="312" t="str">
        <f t="shared" si="14"/>
        <v>k.A.</v>
      </c>
      <c r="H171" s="297" t="str">
        <f>VLOOKUP(VLOOKUP(C171,Errichtungskosten,8,0),ÖkodatenKonstruktionen,7,0)</f>
        <v>k.A.</v>
      </c>
      <c r="I171" s="298"/>
      <c r="J171" s="194" t="s">
        <v>1036</v>
      </c>
      <c r="K171" s="106" t="s">
        <v>1269</v>
      </c>
      <c r="L171" s="106" t="s">
        <v>1177</v>
      </c>
    </row>
    <row r="172" spans="1:12" ht="15" customHeight="1" thickBot="1">
      <c r="A172" s="55"/>
      <c r="B172" s="290"/>
      <c r="C172" s="194" t="s">
        <v>1804</v>
      </c>
      <c r="D172" s="80" t="s">
        <v>1811</v>
      </c>
      <c r="E172" s="194"/>
      <c r="F172" s="194"/>
      <c r="G172" s="312" t="str">
        <f t="shared" si="14"/>
        <v>k.A.</v>
      </c>
      <c r="H172" s="297" t="str">
        <f>VLOOKUP(VLOOKUP(C172,Errichtungskosten,8,0),ÖkodatenKonstruktionen,7,0)</f>
        <v>k.A.</v>
      </c>
      <c r="I172" s="298"/>
      <c r="J172" s="194" t="s">
        <v>1036</v>
      </c>
      <c r="K172" s="106" t="s">
        <v>1269</v>
      </c>
      <c r="L172" s="106" t="s">
        <v>1177</v>
      </c>
    </row>
    <row r="173" spans="1:12" ht="15" customHeight="1" thickBot="1">
      <c r="A173" s="55">
        <v>10600</v>
      </c>
      <c r="B173" s="290" t="s">
        <v>728</v>
      </c>
      <c r="C173" s="194" t="s">
        <v>163</v>
      </c>
      <c r="D173" s="194" t="s">
        <v>162</v>
      </c>
      <c r="E173" s="194" t="s">
        <v>2067</v>
      </c>
      <c r="F173" s="194"/>
      <c r="G173" s="312">
        <f t="shared" si="14"/>
        <v>22</v>
      </c>
      <c r="H173" s="322">
        <v>22</v>
      </c>
      <c r="I173" s="379"/>
      <c r="J173" s="194" t="s">
        <v>1036</v>
      </c>
      <c r="K173" s="106" t="s">
        <v>1177</v>
      </c>
    </row>
    <row r="174" spans="1:12" ht="15" customHeight="1" thickBot="1">
      <c r="A174" s="55"/>
      <c r="B174" s="290"/>
      <c r="C174" s="194" t="s">
        <v>1807</v>
      </c>
      <c r="D174" s="80" t="s">
        <v>1805</v>
      </c>
      <c r="E174" s="194"/>
      <c r="F174" s="194"/>
      <c r="G174" s="312" t="str">
        <f t="shared" si="14"/>
        <v>k.A.</v>
      </c>
      <c r="H174" s="297" t="str">
        <f>VLOOKUP(VLOOKUP(C174,Errichtungskosten,8,0),ÖkodatenKonstruktionen,7,0)</f>
        <v>k.A.</v>
      </c>
      <c r="I174" s="298"/>
      <c r="J174" s="194" t="s">
        <v>1036</v>
      </c>
      <c r="K174" s="106" t="s">
        <v>1269</v>
      </c>
    </row>
    <row r="175" spans="1:12" ht="15" customHeight="1" thickBot="1">
      <c r="A175" s="55"/>
      <c r="B175" s="290"/>
      <c r="C175" s="194" t="s">
        <v>1808</v>
      </c>
      <c r="D175" s="80" t="s">
        <v>1806</v>
      </c>
      <c r="E175" s="194"/>
      <c r="F175" s="194"/>
      <c r="G175" s="312" t="str">
        <f t="shared" si="14"/>
        <v>k.A.</v>
      </c>
      <c r="H175" s="297" t="str">
        <f>VLOOKUP(VLOOKUP(C175,Errichtungskosten,8,0),ÖkodatenKonstruktionen,7,0)</f>
        <v>k.A.</v>
      </c>
      <c r="I175" s="298"/>
      <c r="J175" s="194" t="s">
        <v>1036</v>
      </c>
      <c r="K175" s="106" t="s">
        <v>1269</v>
      </c>
    </row>
    <row r="176" spans="1:12" ht="15" customHeight="1" thickBot="1">
      <c r="A176" s="55"/>
      <c r="B176" s="290"/>
      <c r="C176" s="194" t="s">
        <v>925</v>
      </c>
      <c r="D176" s="80" t="s">
        <v>2286</v>
      </c>
      <c r="E176" s="194" t="s">
        <v>2067</v>
      </c>
      <c r="F176" s="194"/>
      <c r="G176" s="312">
        <f t="shared" si="14"/>
        <v>10</v>
      </c>
      <c r="H176" s="297">
        <v>10</v>
      </c>
      <c r="I176" s="298"/>
      <c r="J176" s="194" t="s">
        <v>1036</v>
      </c>
      <c r="K176" s="106" t="s">
        <v>1177</v>
      </c>
    </row>
    <row r="177" spans="1:12" ht="15" customHeight="1" thickBot="1">
      <c r="A177" s="55">
        <v>10700</v>
      </c>
      <c r="B177" s="290" t="s">
        <v>728</v>
      </c>
      <c r="C177" s="194" t="s">
        <v>160</v>
      </c>
      <c r="D177" s="194" t="s">
        <v>159</v>
      </c>
      <c r="E177" s="194" t="s">
        <v>2067</v>
      </c>
      <c r="F177" s="194"/>
      <c r="G177" s="312">
        <f t="shared" si="14"/>
        <v>22</v>
      </c>
      <c r="H177" s="322">
        <v>22</v>
      </c>
      <c r="I177" s="379"/>
      <c r="J177" s="194" t="s">
        <v>1036</v>
      </c>
      <c r="K177" s="106" t="s">
        <v>1177</v>
      </c>
      <c r="L177" s="106" t="s">
        <v>1269</v>
      </c>
    </row>
    <row r="178" spans="1:12" ht="15" customHeight="1" thickBot="1">
      <c r="A178" s="55"/>
      <c r="B178" s="290"/>
      <c r="C178" s="194" t="s">
        <v>1878</v>
      </c>
      <c r="D178" s="80" t="s">
        <v>1615</v>
      </c>
      <c r="E178" s="194"/>
      <c r="F178" s="194"/>
      <c r="G178" s="312" t="str">
        <f t="shared" si="14"/>
        <v>k.A.</v>
      </c>
      <c r="H178" s="297" t="str">
        <f>VLOOKUP(VLOOKUP(C178,Errichtungskosten,8,0),ÖkodatenKonstruktionen,7,0)</f>
        <v>k.A.</v>
      </c>
      <c r="I178" s="298"/>
      <c r="J178" s="194" t="s">
        <v>1036</v>
      </c>
      <c r="K178" s="106" t="s">
        <v>1269</v>
      </c>
      <c r="L178" s="106" t="s">
        <v>1177</v>
      </c>
    </row>
    <row r="179" spans="1:12" ht="15" customHeight="1" thickBot="1">
      <c r="A179" s="55"/>
      <c r="B179" s="290"/>
      <c r="C179" s="194" t="s">
        <v>1879</v>
      </c>
      <c r="D179" s="80" t="s">
        <v>1616</v>
      </c>
      <c r="E179" s="194"/>
      <c r="F179" s="194"/>
      <c r="G179" s="312" t="str">
        <f t="shared" si="14"/>
        <v>k.A.</v>
      </c>
      <c r="H179" s="297" t="str">
        <f>VLOOKUP(VLOOKUP(C179,Errichtungskosten,8,0),ÖkodatenKonstruktionen,7,0)</f>
        <v>k.A.</v>
      </c>
      <c r="I179" s="298"/>
      <c r="J179" s="194" t="s">
        <v>1036</v>
      </c>
      <c r="K179" s="106" t="s">
        <v>1269</v>
      </c>
      <c r="L179" s="106" t="s">
        <v>1177</v>
      </c>
    </row>
    <row r="180" spans="1:12" ht="15" customHeight="1" thickBot="1">
      <c r="A180" s="55"/>
      <c r="B180" s="290"/>
      <c r="C180" s="194" t="s">
        <v>1880</v>
      </c>
      <c r="D180" s="80" t="s">
        <v>1617</v>
      </c>
      <c r="E180" s="194"/>
      <c r="F180" s="194"/>
      <c r="G180" s="312" t="str">
        <f t="shared" si="14"/>
        <v>k.A.</v>
      </c>
      <c r="H180" s="297" t="str">
        <f>VLOOKUP(VLOOKUP(C180,Errichtungskosten,8,0),ÖkodatenKonstruktionen,7,0)</f>
        <v>k.A.</v>
      </c>
      <c r="I180" s="298"/>
      <c r="J180" s="194" t="s">
        <v>1036</v>
      </c>
      <c r="K180" s="106" t="s">
        <v>1269</v>
      </c>
      <c r="L180" s="106" t="s">
        <v>1177</v>
      </c>
    </row>
    <row r="181" spans="1:12" ht="15" customHeight="1" thickBot="1">
      <c r="A181" s="55"/>
      <c r="B181" s="290"/>
      <c r="C181" s="194" t="s">
        <v>930</v>
      </c>
      <c r="D181" s="80" t="s">
        <v>2287</v>
      </c>
      <c r="E181" s="194" t="s">
        <v>2067</v>
      </c>
      <c r="F181" s="194"/>
      <c r="G181" s="312">
        <f t="shared" si="14"/>
        <v>10</v>
      </c>
      <c r="H181" s="297">
        <v>10</v>
      </c>
      <c r="I181" s="298"/>
      <c r="J181" s="194" t="s">
        <v>1036</v>
      </c>
      <c r="K181" s="106" t="s">
        <v>1177</v>
      </c>
    </row>
    <row r="182" spans="1:12" ht="15" customHeight="1" thickBot="1">
      <c r="A182" s="55">
        <v>10800</v>
      </c>
      <c r="B182" s="290" t="s">
        <v>728</v>
      </c>
      <c r="C182" s="194" t="s">
        <v>157</v>
      </c>
      <c r="D182" s="194" t="s">
        <v>156</v>
      </c>
      <c r="E182" s="194" t="s">
        <v>2067</v>
      </c>
      <c r="F182" s="194"/>
      <c r="G182" s="312">
        <f t="shared" si="14"/>
        <v>24</v>
      </c>
      <c r="H182" s="297">
        <v>24</v>
      </c>
      <c r="I182" s="298"/>
      <c r="J182" s="194" t="s">
        <v>1036</v>
      </c>
      <c r="K182" s="106" t="s">
        <v>1177</v>
      </c>
      <c r="L182" s="106" t="s">
        <v>2400</v>
      </c>
    </row>
    <row r="183" spans="1:12" ht="15" customHeight="1" thickBot="1">
      <c r="A183" s="55"/>
      <c r="B183" s="290"/>
      <c r="C183" s="111" t="s">
        <v>2719</v>
      </c>
      <c r="D183" s="80" t="s">
        <v>2721</v>
      </c>
      <c r="E183" s="194"/>
      <c r="F183" s="194"/>
      <c r="G183" s="312" t="str">
        <f t="shared" si="14"/>
        <v>k.A.</v>
      </c>
      <c r="H183" s="297" t="str">
        <f>VLOOKUP(VLOOKUP(C183,Errichtungskosten,8,0),ÖkodatenKonstruktionen,7,0)</f>
        <v>k.A.</v>
      </c>
      <c r="I183" s="298"/>
      <c r="J183" s="194" t="s">
        <v>1036</v>
      </c>
    </row>
    <row r="184" spans="1:12" ht="15" customHeight="1" thickBot="1">
      <c r="A184" s="55"/>
      <c r="B184" s="290"/>
      <c r="C184" s="111" t="s">
        <v>2720</v>
      </c>
      <c r="D184" s="80" t="s">
        <v>2722</v>
      </c>
      <c r="E184" s="194"/>
      <c r="F184" s="194"/>
      <c r="G184" s="312" t="str">
        <f t="shared" si="14"/>
        <v>k.A.</v>
      </c>
      <c r="H184" s="297" t="str">
        <f>VLOOKUP(VLOOKUP(C184,Errichtungskosten,8,0),ÖkodatenKonstruktionen,7,0)</f>
        <v>k.A.</v>
      </c>
      <c r="I184" s="298"/>
      <c r="J184" s="194" t="s">
        <v>1036</v>
      </c>
    </row>
    <row r="185" spans="1:12" ht="15" customHeight="1" thickBot="1">
      <c r="A185" s="55">
        <v>10900</v>
      </c>
      <c r="B185" s="290" t="s">
        <v>728</v>
      </c>
      <c r="C185" s="194" t="s">
        <v>155</v>
      </c>
      <c r="D185" s="194" t="s">
        <v>154</v>
      </c>
      <c r="E185" s="194"/>
      <c r="F185" s="194"/>
      <c r="G185" s="312" t="str">
        <f t="shared" si="14"/>
        <v>k.A.</v>
      </c>
      <c r="H185" s="297" t="str">
        <f>VLOOKUP(VLOOKUP(C185,Errichtungskosten,8,0),ÖkodatenKonstruktionen,7,0)</f>
        <v>k.A.</v>
      </c>
      <c r="I185" s="298"/>
      <c r="J185" s="194" t="s">
        <v>1036</v>
      </c>
      <c r="K185" s="106" t="s">
        <v>1177</v>
      </c>
    </row>
    <row r="186" spans="1:12" ht="15" customHeight="1" thickBot="1">
      <c r="A186" s="55">
        <v>11000</v>
      </c>
      <c r="B186" s="290" t="s">
        <v>728</v>
      </c>
      <c r="C186" s="194" t="s">
        <v>153</v>
      </c>
      <c r="D186" s="194" t="s">
        <v>152</v>
      </c>
      <c r="E186" s="194" t="s">
        <v>2067</v>
      </c>
      <c r="F186" s="194"/>
      <c r="G186" s="312">
        <f t="shared" si="14"/>
        <v>24</v>
      </c>
      <c r="H186" s="313">
        <v>24</v>
      </c>
      <c r="I186" s="298"/>
      <c r="J186" s="194" t="s">
        <v>1036</v>
      </c>
      <c r="K186" s="106" t="s">
        <v>1177</v>
      </c>
    </row>
    <row r="187" spans="1:12" ht="15" customHeight="1" thickBot="1">
      <c r="A187" s="293">
        <v>18400</v>
      </c>
      <c r="B187" s="172" t="s">
        <v>743</v>
      </c>
      <c r="C187" s="172" t="s">
        <v>151</v>
      </c>
      <c r="D187" s="172" t="s">
        <v>150</v>
      </c>
      <c r="E187" s="172"/>
      <c r="F187" s="172"/>
      <c r="G187" s="171"/>
      <c r="H187" s="172"/>
      <c r="I187" s="171"/>
      <c r="J187" s="172"/>
    </row>
    <row r="188" spans="1:12" ht="15" customHeight="1" thickBot="1">
      <c r="A188" s="55">
        <v>18500</v>
      </c>
      <c r="B188" s="194" t="s">
        <v>728</v>
      </c>
      <c r="C188" s="194" t="s">
        <v>149</v>
      </c>
      <c r="D188" s="194" t="s">
        <v>939</v>
      </c>
      <c r="E188" s="194" t="s">
        <v>2067</v>
      </c>
      <c r="F188" s="194"/>
      <c r="G188" s="312">
        <f t="shared" ref="G188:G191" si="15">IF(I188="",H188,I188)</f>
        <v>25</v>
      </c>
      <c r="H188" s="313">
        <v>25</v>
      </c>
      <c r="I188" s="298"/>
      <c r="J188" s="194" t="s">
        <v>1036</v>
      </c>
      <c r="K188" s="106" t="s">
        <v>1177</v>
      </c>
    </row>
    <row r="189" spans="1:12" ht="15" customHeight="1" thickBot="1">
      <c r="A189" s="55">
        <v>18600</v>
      </c>
      <c r="B189" s="194" t="s">
        <v>728</v>
      </c>
      <c r="C189" s="194" t="s">
        <v>148</v>
      </c>
      <c r="D189" s="194" t="s">
        <v>941</v>
      </c>
      <c r="E189" s="194" t="s">
        <v>2067</v>
      </c>
      <c r="F189" s="194"/>
      <c r="G189" s="312">
        <f t="shared" si="15"/>
        <v>15</v>
      </c>
      <c r="H189" s="313">
        <v>15</v>
      </c>
      <c r="I189" s="298"/>
      <c r="J189" s="194" t="s">
        <v>1036</v>
      </c>
      <c r="K189" s="106" t="s">
        <v>1177</v>
      </c>
    </row>
    <row r="190" spans="1:12" ht="15" customHeight="1" thickBot="1">
      <c r="A190" s="55">
        <v>18700</v>
      </c>
      <c r="B190" s="194" t="s">
        <v>728</v>
      </c>
      <c r="C190" s="194" t="s">
        <v>146</v>
      </c>
      <c r="D190" s="194" t="s">
        <v>145</v>
      </c>
      <c r="E190" s="194" t="s">
        <v>2067</v>
      </c>
      <c r="F190" s="194"/>
      <c r="G190" s="312">
        <f t="shared" si="15"/>
        <v>25</v>
      </c>
      <c r="H190" s="313">
        <v>25</v>
      </c>
      <c r="I190" s="298"/>
      <c r="J190" s="194" t="s">
        <v>1036</v>
      </c>
      <c r="K190" s="106" t="s">
        <v>1177</v>
      </c>
    </row>
    <row r="191" spans="1:12" ht="15" customHeight="1" thickBot="1">
      <c r="A191" s="55">
        <v>18800</v>
      </c>
      <c r="B191" s="194" t="s">
        <v>728</v>
      </c>
      <c r="C191" s="194" t="s">
        <v>144</v>
      </c>
      <c r="D191" s="194" t="s">
        <v>944</v>
      </c>
      <c r="E191" s="194" t="s">
        <v>2067</v>
      </c>
      <c r="F191" s="194"/>
      <c r="G191" s="312">
        <f t="shared" si="15"/>
        <v>25</v>
      </c>
      <c r="H191" s="313">
        <v>25</v>
      </c>
      <c r="I191" s="298"/>
      <c r="J191" s="194" t="s">
        <v>1036</v>
      </c>
      <c r="K191" s="106" t="s">
        <v>1177</v>
      </c>
    </row>
    <row r="192" spans="1:12" ht="15" customHeight="1" thickBot="1">
      <c r="A192" s="293">
        <v>19000</v>
      </c>
      <c r="B192" s="172" t="s">
        <v>743</v>
      </c>
      <c r="C192" s="172" t="s">
        <v>142</v>
      </c>
      <c r="D192" s="172" t="s">
        <v>141</v>
      </c>
      <c r="E192" s="172"/>
      <c r="F192" s="172"/>
      <c r="G192" s="171"/>
      <c r="H192" s="172"/>
      <c r="I192" s="171"/>
      <c r="J192" s="172"/>
    </row>
    <row r="193" spans="1:11" ht="15" customHeight="1" thickBot="1">
      <c r="A193" s="55">
        <v>19100</v>
      </c>
      <c r="B193" s="194" t="s">
        <v>728</v>
      </c>
      <c r="C193" s="194" t="s">
        <v>140</v>
      </c>
      <c r="D193" s="194" t="s">
        <v>947</v>
      </c>
      <c r="E193" s="194" t="s">
        <v>2067</v>
      </c>
      <c r="F193" s="194"/>
      <c r="G193" s="312">
        <f t="shared" ref="G193:G197" si="16">IF(I193="",H193,I193)</f>
        <v>50</v>
      </c>
      <c r="H193" s="313">
        <v>50</v>
      </c>
      <c r="I193" s="298"/>
      <c r="J193" s="194" t="s">
        <v>1036</v>
      </c>
      <c r="K193" s="106" t="s">
        <v>1177</v>
      </c>
    </row>
    <row r="194" spans="1:11" ht="15" customHeight="1" thickBot="1">
      <c r="A194" s="55">
        <v>19200</v>
      </c>
      <c r="B194" s="194" t="s">
        <v>728</v>
      </c>
      <c r="C194" s="194" t="s">
        <v>139</v>
      </c>
      <c r="D194" s="194" t="s">
        <v>138</v>
      </c>
      <c r="E194" s="194" t="s">
        <v>2067</v>
      </c>
      <c r="F194" s="194"/>
      <c r="G194" s="312">
        <f t="shared" si="16"/>
        <v>50</v>
      </c>
      <c r="H194" s="313">
        <v>50</v>
      </c>
      <c r="I194" s="298"/>
      <c r="J194" s="194" t="s">
        <v>1036</v>
      </c>
      <c r="K194" s="106" t="s">
        <v>1177</v>
      </c>
    </row>
    <row r="195" spans="1:11" ht="15" customHeight="1" thickBot="1">
      <c r="A195" s="55">
        <v>19300</v>
      </c>
      <c r="B195" s="194" t="s">
        <v>728</v>
      </c>
      <c r="C195" s="194" t="s">
        <v>137</v>
      </c>
      <c r="D195" s="194" t="s">
        <v>136</v>
      </c>
      <c r="E195" s="194" t="s">
        <v>2067</v>
      </c>
      <c r="F195" s="194"/>
      <c r="G195" s="312">
        <f t="shared" si="16"/>
        <v>37</v>
      </c>
      <c r="H195" s="313">
        <v>37</v>
      </c>
      <c r="I195" s="298"/>
      <c r="J195" s="194" t="s">
        <v>1036</v>
      </c>
      <c r="K195" s="106" t="s">
        <v>1177</v>
      </c>
    </row>
    <row r="196" spans="1:11" ht="15" customHeight="1" thickBot="1">
      <c r="A196" s="55">
        <v>19400</v>
      </c>
      <c r="B196" s="194" t="s">
        <v>728</v>
      </c>
      <c r="C196" s="194" t="s">
        <v>135</v>
      </c>
      <c r="D196" s="194" t="s">
        <v>480</v>
      </c>
      <c r="E196" s="194" t="s">
        <v>2067</v>
      </c>
      <c r="F196" s="194"/>
      <c r="G196" s="312">
        <f t="shared" si="16"/>
        <v>30</v>
      </c>
      <c r="H196" s="313">
        <v>30</v>
      </c>
      <c r="I196" s="298"/>
      <c r="J196" s="194" t="s">
        <v>1036</v>
      </c>
      <c r="K196" s="106" t="s">
        <v>1177</v>
      </c>
    </row>
    <row r="197" spans="1:11" ht="15" customHeight="1" thickBot="1">
      <c r="A197" s="55">
        <v>19500</v>
      </c>
      <c r="B197" s="194" t="s">
        <v>728</v>
      </c>
      <c r="C197" s="194" t="s">
        <v>133</v>
      </c>
      <c r="D197" s="194" t="s">
        <v>952</v>
      </c>
      <c r="E197" s="194" t="s">
        <v>2067</v>
      </c>
      <c r="F197" s="194"/>
      <c r="G197" s="312">
        <f t="shared" si="16"/>
        <v>50</v>
      </c>
      <c r="H197" s="313">
        <v>50</v>
      </c>
      <c r="I197" s="298"/>
      <c r="J197" s="194" t="s">
        <v>1036</v>
      </c>
      <c r="K197" s="106" t="s">
        <v>1177</v>
      </c>
    </row>
    <row r="198" spans="1:11" ht="15" customHeight="1" thickTop="1" thickBot="1">
      <c r="A198" s="293"/>
      <c r="B198" s="293"/>
      <c r="C198" s="172"/>
      <c r="D198" s="172"/>
      <c r="E198" s="172"/>
      <c r="F198" s="172"/>
      <c r="G198" s="613" t="s">
        <v>2647</v>
      </c>
      <c r="H198" s="613"/>
      <c r="I198" s="613"/>
      <c r="J198" s="613"/>
    </row>
    <row r="199" spans="1:11" ht="15" customHeight="1" thickTop="1" thickBot="1">
      <c r="A199" s="293"/>
      <c r="B199" s="293"/>
      <c r="C199" s="172"/>
      <c r="D199" s="172"/>
      <c r="E199" s="172"/>
      <c r="F199" s="172"/>
      <c r="G199" s="613" t="s">
        <v>2646</v>
      </c>
      <c r="H199" s="613"/>
      <c r="I199" s="613"/>
      <c r="J199" s="613"/>
    </row>
    <row r="200" spans="1:11" ht="15" customHeight="1" thickTop="1"/>
  </sheetData>
  <sheetProtection password="FDAF" sheet="1" objects="1" scenarios="1" selectLockedCells="1"/>
  <mergeCells count="5">
    <mergeCell ref="G198:J198"/>
    <mergeCell ref="G2:J2"/>
    <mergeCell ref="G9:J9"/>
    <mergeCell ref="G60:J60"/>
    <mergeCell ref="G199:J199"/>
  </mergeCells>
  <hyperlinks>
    <hyperlink ref="G2" location="Nutzung_Betrieb" display="zurück zu &quot;Nutzung und Betrieb&quot;"/>
    <hyperlink ref="G2:J2" location="'Nutzung &amp; Betrieb'!A1" display="zurück zu &quot;Nutzung &amp; Betrieb&quot;"/>
    <hyperlink ref="G199" location="Nutzung_Betrieb" display="zurück zu &quot;Nutzung und Betrieb&quot;"/>
    <hyperlink ref="G199:J199" location="Folgekosten!I99" display="zurück zu &quot;Folgekosten&quot;"/>
    <hyperlink ref="G9" location="Nutzung_Betrieb" display="zurück zu &quot;Nutzung und Betrieb&quot;"/>
    <hyperlink ref="G9:J9" location="'Nutzung &amp; Betrieb'!A1" display="zurück zu &quot;Nutzung &amp; Betrieb&quot;"/>
    <hyperlink ref="G60" location="Nutzung_Betrieb" display="zurück zu &quot;Nutzung und Betrieb&quot;"/>
    <hyperlink ref="G60:J60" location="'Nutzung &amp; Betrieb'!A1" display="zurück zu &quot;Nutzung &amp; Betrieb&quot;"/>
    <hyperlink ref="G198" location="Nutzung_Betrieb" display="zurück zu &quot;Nutzung und Betrieb&quot;"/>
    <hyperlink ref="G198:J198" location="'Nutzung &amp; Betrieb'!A1" display="zurück zu &quot;Nutzung &amp; Betrieb&quot;"/>
  </hyperlinks>
  <pageMargins left="0.78740157480314965" right="0.78740157480314965" top="0.98425196850393704" bottom="0.98425196850393704" header="0.51181102362204722" footer="0.51181102362204722"/>
  <pageSetup paperSize="8" fitToHeight="0" orientation="landscape" horizontalDpi="4294967293" r:id="rId1"/>
  <headerFooter>
    <oddFooter>&amp;L&amp;F&amp;C&amp;A&amp;R&amp;P von &amp;N</oddFooter>
  </headerFooter>
  <rowBreaks count="3" manualBreakCount="3">
    <brk id="103" min="2" max="9" man="1"/>
    <brk id="146" min="2" max="9" man="1"/>
    <brk id="191" min="2" max="9" man="1"/>
  </rowBreaks>
  <legacyDrawing r:id="rId2"/>
</worksheet>
</file>

<file path=xl/worksheets/sheet21.xml><?xml version="1.0" encoding="utf-8"?>
<worksheet xmlns="http://schemas.openxmlformats.org/spreadsheetml/2006/main" xmlns:r="http://schemas.openxmlformats.org/officeDocument/2006/relationships">
  <sheetPr codeName="Tabelle12">
    <tabColor theme="8" tint="0.79998168889431442"/>
    <pageSetUpPr fitToPage="1"/>
  </sheetPr>
  <dimension ref="A1:K50"/>
  <sheetViews>
    <sheetView topLeftCell="D1" zoomScaleNormal="100" workbookViewId="0">
      <pane ySplit="1" topLeftCell="A2" activePane="bottomLeft" state="frozen"/>
      <selection activeCell="C23" sqref="C23:M24"/>
      <selection pane="bottomLeft" activeCell="I3" sqref="I3"/>
    </sheetView>
  </sheetViews>
  <sheetFormatPr baseColWidth="10" defaultRowHeight="15" customHeight="1"/>
  <cols>
    <col min="1" max="1" width="5.83203125" style="106" hidden="1" customWidth="1"/>
    <col min="2" max="2" width="5" style="106" hidden="1" customWidth="1"/>
    <col min="3" max="3" width="23.1640625" style="106" hidden="1" customWidth="1"/>
    <col min="4" max="4" width="50.1640625" style="106" bestFit="1" customWidth="1"/>
    <col min="5" max="5" width="25.5" style="106" hidden="1" customWidth="1"/>
    <col min="6" max="6" width="60.5" style="106" hidden="1" customWidth="1"/>
    <col min="7" max="7" width="12.83203125" style="364" customWidth="1"/>
    <col min="8" max="8" width="12.83203125" style="364" hidden="1" customWidth="1"/>
    <col min="9" max="9" width="12.83203125" style="364" customWidth="1"/>
    <col min="10" max="10" width="12.83203125" style="106" customWidth="1"/>
    <col min="11" max="11" width="44.5" style="106" hidden="1" customWidth="1"/>
    <col min="12" max="16384" width="12" style="106"/>
  </cols>
  <sheetData>
    <row r="1" spans="1:11" ht="15" customHeight="1" thickBot="1">
      <c r="A1" s="344" t="s">
        <v>1</v>
      </c>
      <c r="B1" s="344"/>
      <c r="C1" s="344" t="s">
        <v>2</v>
      </c>
      <c r="D1" s="344" t="s">
        <v>66</v>
      </c>
      <c r="E1" s="344" t="s">
        <v>89</v>
      </c>
      <c r="F1" s="344" t="s">
        <v>90</v>
      </c>
      <c r="G1" s="344" t="s">
        <v>1207</v>
      </c>
      <c r="H1" s="352" t="s">
        <v>1208</v>
      </c>
      <c r="I1" s="352" t="s">
        <v>1206</v>
      </c>
      <c r="J1" s="344" t="s">
        <v>1484</v>
      </c>
      <c r="K1" s="154" t="s">
        <v>1178</v>
      </c>
    </row>
    <row r="2" spans="1:11" ht="15" customHeight="1" thickTop="1" thickBot="1">
      <c r="A2" s="293">
        <v>1100</v>
      </c>
      <c r="B2" s="293"/>
      <c r="C2" s="172"/>
      <c r="D2" s="172" t="s">
        <v>665</v>
      </c>
      <c r="E2" s="172"/>
      <c r="F2" s="172"/>
      <c r="G2" s="613" t="s">
        <v>2647</v>
      </c>
      <c r="H2" s="613"/>
      <c r="I2" s="613"/>
      <c r="J2" s="613"/>
      <c r="K2" s="154"/>
    </row>
    <row r="3" spans="1:11" ht="15" customHeight="1" thickTop="1" thickBot="1">
      <c r="A3" s="55">
        <v>1200</v>
      </c>
      <c r="B3" s="55"/>
      <c r="C3" s="194" t="s">
        <v>666</v>
      </c>
      <c r="D3" s="194" t="s">
        <v>667</v>
      </c>
      <c r="E3" s="194"/>
      <c r="F3" s="194"/>
      <c r="G3" s="291">
        <f t="shared" ref="G3:G7" si="0">IF(I3="",H3,I3)</f>
        <v>2.4</v>
      </c>
      <c r="H3" s="292">
        <v>2.4</v>
      </c>
      <c r="I3" s="546"/>
      <c r="J3" s="194" t="s">
        <v>96</v>
      </c>
      <c r="K3" s="154"/>
    </row>
    <row r="4" spans="1:11" ht="15" customHeight="1" thickBot="1">
      <c r="A4" s="55">
        <v>1300</v>
      </c>
      <c r="B4" s="55"/>
      <c r="C4" s="194" t="s">
        <v>668</v>
      </c>
      <c r="D4" s="194" t="s">
        <v>669</v>
      </c>
      <c r="E4" s="194"/>
      <c r="F4" s="194"/>
      <c r="G4" s="291">
        <f t="shared" si="0"/>
        <v>3.1</v>
      </c>
      <c r="H4" s="292">
        <v>3.1</v>
      </c>
      <c r="I4" s="546"/>
      <c r="J4" s="194" t="s">
        <v>96</v>
      </c>
      <c r="K4" s="154"/>
    </row>
    <row r="5" spans="1:11" ht="15" customHeight="1" thickBot="1">
      <c r="A5" s="55">
        <v>1400</v>
      </c>
      <c r="B5" s="55"/>
      <c r="C5" s="194" t="s">
        <v>670</v>
      </c>
      <c r="D5" s="194" t="s">
        <v>671</v>
      </c>
      <c r="E5" s="194"/>
      <c r="F5" s="194"/>
      <c r="G5" s="291">
        <f t="shared" si="0"/>
        <v>1</v>
      </c>
      <c r="H5" s="292">
        <v>1</v>
      </c>
      <c r="I5" s="153"/>
      <c r="J5" s="194" t="s">
        <v>660</v>
      </c>
      <c r="K5" s="154"/>
    </row>
    <row r="6" spans="1:11" ht="15" customHeight="1" thickBot="1">
      <c r="A6" s="55">
        <v>1500</v>
      </c>
      <c r="B6" s="55"/>
      <c r="C6" s="194" t="s">
        <v>672</v>
      </c>
      <c r="D6" s="194" t="s">
        <v>673</v>
      </c>
      <c r="E6" s="194"/>
      <c r="F6" s="194"/>
      <c r="G6" s="291">
        <f t="shared" si="0"/>
        <v>0</v>
      </c>
      <c r="H6" s="292">
        <v>0</v>
      </c>
      <c r="I6" s="323"/>
      <c r="J6" s="194" t="s">
        <v>96</v>
      </c>
      <c r="K6" s="154"/>
    </row>
    <row r="7" spans="1:11" ht="15" customHeight="1" thickBot="1">
      <c r="A7" s="55">
        <v>1600</v>
      </c>
      <c r="B7" s="55"/>
      <c r="C7" s="194" t="s">
        <v>674</v>
      </c>
      <c r="D7" s="194" t="s">
        <v>675</v>
      </c>
      <c r="E7" s="194"/>
      <c r="F7" s="194" t="s">
        <v>676</v>
      </c>
      <c r="G7" s="291">
        <f t="shared" si="0"/>
        <v>0</v>
      </c>
      <c r="H7" s="292">
        <f>VLOOKUP("BRI",Objektkenndaten,5,0)*VLOOKUP("AB_KO_GEBÄUDE",Abbruch_Entsorgung,5,0)+VLOOKUP("BRI",Objektkenndaten,5,0)*VLOOKUP("AB_KO_ENTKERNUNG",Abbruch_Entsorgung,5,0)*VLOOKUP("F_ENTK",Abbruch_Entsorgung,5,0)+VLOOKUP("BRI",Objektkenndaten,5,0)*VLOOKUP("AB_KO_SONSTIGES",Abbruch_Entsorgung,5,0)</f>
        <v>0</v>
      </c>
      <c r="I7" s="153"/>
      <c r="J7" s="194" t="s">
        <v>103</v>
      </c>
      <c r="K7" s="154"/>
    </row>
    <row r="8" spans="1:11" ht="15" customHeight="1" thickBot="1">
      <c r="A8" s="293"/>
      <c r="B8" s="293"/>
      <c r="C8" s="172"/>
      <c r="D8" s="172" t="s">
        <v>1652</v>
      </c>
      <c r="E8" s="172"/>
      <c r="F8" s="172"/>
      <c r="G8" s="171"/>
      <c r="H8" s="171"/>
      <c r="I8" s="171"/>
      <c r="J8" s="172"/>
      <c r="K8" s="154"/>
    </row>
    <row r="9" spans="1:11" ht="15" customHeight="1" thickBot="1">
      <c r="A9" s="55">
        <v>400</v>
      </c>
      <c r="B9" s="55"/>
      <c r="C9" s="194" t="s">
        <v>1657</v>
      </c>
      <c r="D9" s="194" t="s">
        <v>1653</v>
      </c>
      <c r="E9" s="194"/>
      <c r="F9" s="194" t="s">
        <v>1677</v>
      </c>
      <c r="G9" s="291">
        <f>IF(I9="",H9,I9)</f>
        <v>0</v>
      </c>
      <c r="H9" s="292">
        <f>VLOOKUP("TONNAGE",Massenbilanz,15,0)</f>
        <v>0</v>
      </c>
      <c r="I9" s="153"/>
      <c r="J9" s="194" t="s">
        <v>1662</v>
      </c>
    </row>
    <row r="10" spans="1:11" ht="15" customHeight="1" thickBot="1">
      <c r="A10" s="55">
        <v>600</v>
      </c>
      <c r="B10" s="55"/>
      <c r="C10" s="194" t="s">
        <v>1658</v>
      </c>
      <c r="D10" s="194" t="s">
        <v>1655</v>
      </c>
      <c r="E10" s="194"/>
      <c r="F10" s="194" t="s">
        <v>1677</v>
      </c>
      <c r="G10" s="291">
        <f t="shared" ref="G10:G12" si="1">IF(I10="",H10,I10)</f>
        <v>0</v>
      </c>
      <c r="H10" s="292">
        <f>VLOOKUP("TONNAGE",Massenbilanz,12,0)</f>
        <v>0</v>
      </c>
      <c r="I10" s="153"/>
      <c r="J10" s="194" t="s">
        <v>1662</v>
      </c>
    </row>
    <row r="11" spans="1:11" ht="15" customHeight="1" thickBot="1">
      <c r="A11" s="55">
        <v>700</v>
      </c>
      <c r="B11" s="55"/>
      <c r="C11" s="194" t="s">
        <v>1659</v>
      </c>
      <c r="D11" s="194" t="s">
        <v>1656</v>
      </c>
      <c r="E11" s="194"/>
      <c r="F11" s="194" t="s">
        <v>1677</v>
      </c>
      <c r="G11" s="291">
        <f t="shared" si="1"/>
        <v>0</v>
      </c>
      <c r="H11" s="292">
        <f>VLOOKUP("TONNAGE",Massenbilanz,14,0)</f>
        <v>0</v>
      </c>
      <c r="I11" s="153"/>
      <c r="J11" s="194" t="s">
        <v>1662</v>
      </c>
    </row>
    <row r="12" spans="1:11" ht="15" customHeight="1" thickBot="1">
      <c r="A12" s="55">
        <v>800</v>
      </c>
      <c r="B12" s="55"/>
      <c r="C12" s="194" t="s">
        <v>1661</v>
      </c>
      <c r="D12" s="194" t="s">
        <v>2055</v>
      </c>
      <c r="E12" s="194"/>
      <c r="F12" s="194" t="s">
        <v>1677</v>
      </c>
      <c r="G12" s="291">
        <f t="shared" si="1"/>
        <v>0</v>
      </c>
      <c r="H12" s="292">
        <f>VLOOKUP("TONNAGE",Massenbilanz,13,0)</f>
        <v>0</v>
      </c>
      <c r="I12" s="153"/>
      <c r="J12" s="194" t="s">
        <v>1662</v>
      </c>
    </row>
    <row r="13" spans="1:11" ht="15" customHeight="1" thickBot="1">
      <c r="A13" s="55">
        <v>500</v>
      </c>
      <c r="B13" s="55"/>
      <c r="C13" s="194" t="s">
        <v>1660</v>
      </c>
      <c r="D13" s="194" t="s">
        <v>1654</v>
      </c>
      <c r="E13" s="194"/>
      <c r="F13" s="194" t="s">
        <v>1677</v>
      </c>
      <c r="G13" s="291">
        <f t="shared" ref="G13:G24" si="2">IF(I13="",H13,I13)</f>
        <v>0</v>
      </c>
      <c r="H13" s="292">
        <f>VLOOKUP("TONNAGE",Massenbilanz,16,0)</f>
        <v>0</v>
      </c>
      <c r="I13" s="153"/>
      <c r="J13" s="194" t="s">
        <v>1662</v>
      </c>
    </row>
    <row r="14" spans="1:11" ht="15" customHeight="1" thickBot="1">
      <c r="A14" s="55"/>
      <c r="B14" s="55"/>
      <c r="C14" s="194" t="s">
        <v>1695</v>
      </c>
      <c r="D14" s="194" t="s">
        <v>198</v>
      </c>
      <c r="E14" s="194"/>
      <c r="F14" s="194"/>
      <c r="G14" s="291">
        <f t="shared" si="2"/>
        <v>0</v>
      </c>
      <c r="H14" s="292"/>
      <c r="I14" s="323"/>
      <c r="J14" s="194" t="s">
        <v>1662</v>
      </c>
    </row>
    <row r="15" spans="1:11" ht="15" customHeight="1" thickBot="1">
      <c r="A15" s="293">
        <v>1800</v>
      </c>
      <c r="B15" s="293"/>
      <c r="C15" s="172"/>
      <c r="D15" s="172" t="s">
        <v>677</v>
      </c>
      <c r="E15" s="172"/>
      <c r="F15" s="172"/>
      <c r="G15" s="171"/>
      <c r="H15" s="171"/>
      <c r="I15" s="171"/>
      <c r="J15" s="172"/>
    </row>
    <row r="16" spans="1:11" ht="15" customHeight="1" thickBot="1">
      <c r="A16" s="55">
        <v>1900</v>
      </c>
      <c r="B16" s="55"/>
      <c r="C16" s="194" t="s">
        <v>678</v>
      </c>
      <c r="D16" s="194" t="s">
        <v>679</v>
      </c>
      <c r="E16" s="194" t="s">
        <v>1678</v>
      </c>
      <c r="F16" s="194"/>
      <c r="G16" s="291">
        <f t="shared" si="2"/>
        <v>40</v>
      </c>
      <c r="H16" s="292">
        <v>40</v>
      </c>
      <c r="I16" s="153"/>
      <c r="J16" s="194" t="s">
        <v>98</v>
      </c>
      <c r="K16" s="400" t="s">
        <v>1689</v>
      </c>
    </row>
    <row r="17" spans="1:11" ht="15" customHeight="1" thickBot="1">
      <c r="A17" s="55">
        <v>2000</v>
      </c>
      <c r="B17" s="55"/>
      <c r="C17" s="194" t="s">
        <v>680</v>
      </c>
      <c r="D17" s="194" t="s">
        <v>681</v>
      </c>
      <c r="E17" s="194" t="s">
        <v>1678</v>
      </c>
      <c r="F17" s="194"/>
      <c r="G17" s="291">
        <f t="shared" si="2"/>
        <v>50</v>
      </c>
      <c r="H17" s="292">
        <v>50</v>
      </c>
      <c r="I17" s="153"/>
      <c r="J17" s="194" t="s">
        <v>98</v>
      </c>
    </row>
    <row r="18" spans="1:11" ht="15" customHeight="1" thickBot="1">
      <c r="A18" s="55">
        <v>2100</v>
      </c>
      <c r="B18" s="55"/>
      <c r="C18" s="194" t="s">
        <v>682</v>
      </c>
      <c r="D18" s="194" t="s">
        <v>683</v>
      </c>
      <c r="E18" s="194" t="s">
        <v>1678</v>
      </c>
      <c r="F18" s="194"/>
      <c r="G18" s="291">
        <f t="shared" si="2"/>
        <v>10</v>
      </c>
      <c r="H18" s="292">
        <v>10</v>
      </c>
      <c r="I18" s="153"/>
      <c r="J18" s="194" t="s">
        <v>98</v>
      </c>
      <c r="K18" s="401"/>
    </row>
    <row r="19" spans="1:11" ht="15" customHeight="1" thickBot="1">
      <c r="A19" s="55">
        <v>2500</v>
      </c>
      <c r="B19" s="55"/>
      <c r="C19" s="194" t="s">
        <v>684</v>
      </c>
      <c r="D19" s="194" t="s">
        <v>685</v>
      </c>
      <c r="E19" s="194" t="s">
        <v>1678</v>
      </c>
      <c r="F19" s="194"/>
      <c r="G19" s="291">
        <f t="shared" si="2"/>
        <v>50</v>
      </c>
      <c r="H19" s="292">
        <v>50</v>
      </c>
      <c r="I19" s="153"/>
      <c r="J19" s="194" t="s">
        <v>98</v>
      </c>
      <c r="K19" s="401"/>
    </row>
    <row r="20" spans="1:11" ht="15" customHeight="1" thickBot="1">
      <c r="A20" s="55">
        <v>2600</v>
      </c>
      <c r="B20" s="55"/>
      <c r="C20" s="194" t="s">
        <v>686</v>
      </c>
      <c r="D20" s="194" t="s">
        <v>687</v>
      </c>
      <c r="E20" s="194" t="s">
        <v>1678</v>
      </c>
      <c r="F20" s="194"/>
      <c r="G20" s="291">
        <f t="shared" si="2"/>
        <v>50</v>
      </c>
      <c r="H20" s="292">
        <v>50</v>
      </c>
      <c r="I20" s="153"/>
      <c r="J20" s="194" t="s">
        <v>98</v>
      </c>
      <c r="K20" s="401"/>
    </row>
    <row r="21" spans="1:11" ht="15" customHeight="1" thickBot="1">
      <c r="A21" s="55">
        <v>2700</v>
      </c>
      <c r="B21" s="55"/>
      <c r="C21" s="194" t="s">
        <v>688</v>
      </c>
      <c r="D21" s="194" t="s">
        <v>1686</v>
      </c>
      <c r="E21" s="194" t="s">
        <v>1678</v>
      </c>
      <c r="F21" s="194"/>
      <c r="G21" s="291">
        <f t="shared" si="2"/>
        <v>50</v>
      </c>
      <c r="H21" s="292">
        <v>50</v>
      </c>
      <c r="I21" s="153"/>
      <c r="J21" s="194" t="s">
        <v>98</v>
      </c>
      <c r="K21" s="401"/>
    </row>
    <row r="22" spans="1:11" ht="15" customHeight="1" thickBot="1">
      <c r="A22" s="55">
        <v>2800</v>
      </c>
      <c r="B22" s="55"/>
      <c r="C22" s="194" t="s">
        <v>689</v>
      </c>
      <c r="D22" s="194" t="s">
        <v>690</v>
      </c>
      <c r="E22" s="194" t="s">
        <v>1678</v>
      </c>
      <c r="F22" s="194"/>
      <c r="G22" s="291">
        <f t="shared" si="2"/>
        <v>50</v>
      </c>
      <c r="H22" s="292">
        <v>50</v>
      </c>
      <c r="I22" s="153"/>
      <c r="J22" s="194" t="s">
        <v>98</v>
      </c>
      <c r="K22" s="401"/>
    </row>
    <row r="23" spans="1:11" ht="15" customHeight="1" thickBot="1">
      <c r="A23" s="55">
        <v>2900</v>
      </c>
      <c r="B23" s="55"/>
      <c r="C23" s="194" t="s">
        <v>1684</v>
      </c>
      <c r="D23" s="194" t="s">
        <v>1687</v>
      </c>
      <c r="E23" s="194" t="s">
        <v>1678</v>
      </c>
      <c r="F23" s="194"/>
      <c r="G23" s="291">
        <f t="shared" si="2"/>
        <v>50</v>
      </c>
      <c r="H23" s="292">
        <v>50</v>
      </c>
      <c r="I23" s="153"/>
      <c r="J23" s="194" t="s">
        <v>98</v>
      </c>
      <c r="K23" s="401"/>
    </row>
    <row r="24" spans="1:11" ht="15" customHeight="1" thickBot="1">
      <c r="A24" s="55">
        <v>3000</v>
      </c>
      <c r="B24" s="55"/>
      <c r="C24" s="194" t="s">
        <v>1685</v>
      </c>
      <c r="D24" s="194" t="s">
        <v>1688</v>
      </c>
      <c r="E24" s="194" t="s">
        <v>1678</v>
      </c>
      <c r="F24" s="194"/>
      <c r="G24" s="291">
        <f t="shared" si="2"/>
        <v>50</v>
      </c>
      <c r="H24" s="292">
        <v>50</v>
      </c>
      <c r="I24" s="153"/>
      <c r="J24" s="194" t="s">
        <v>98</v>
      </c>
      <c r="K24" s="401"/>
    </row>
    <row r="25" spans="1:11" ht="15" customHeight="1" thickBot="1">
      <c r="A25" s="293">
        <v>3000</v>
      </c>
      <c r="B25" s="293"/>
      <c r="C25" s="172"/>
      <c r="D25" s="172" t="s">
        <v>691</v>
      </c>
      <c r="E25" s="172"/>
      <c r="F25" s="172"/>
      <c r="G25" s="171"/>
      <c r="H25" s="171"/>
      <c r="I25" s="171"/>
      <c r="J25" s="172"/>
    </row>
    <row r="26" spans="1:11" ht="15" customHeight="1" thickBot="1">
      <c r="A26" s="55">
        <v>3100</v>
      </c>
      <c r="B26" s="55"/>
      <c r="C26" s="194" t="s">
        <v>692</v>
      </c>
      <c r="D26" s="194" t="s">
        <v>693</v>
      </c>
      <c r="E26" s="194" t="s">
        <v>1690</v>
      </c>
      <c r="F26" s="194"/>
      <c r="G26" s="291">
        <f t="shared" ref="G26:G42" si="3">IF(I26="",H26,I26)</f>
        <v>9.6</v>
      </c>
      <c r="H26" s="292">
        <f>8*(1+VLOOKUP("USTABBR",Umsatzsteuersaetze,5,0))</f>
        <v>9.6</v>
      </c>
      <c r="I26" s="153"/>
      <c r="J26" s="194" t="s">
        <v>694</v>
      </c>
    </row>
    <row r="27" spans="1:11" ht="15" customHeight="1" thickBot="1">
      <c r="A27" s="55">
        <v>3200</v>
      </c>
      <c r="B27" s="55"/>
      <c r="C27" s="194" t="s">
        <v>1679</v>
      </c>
      <c r="D27" s="194" t="s">
        <v>1680</v>
      </c>
      <c r="E27" s="194" t="s">
        <v>1690</v>
      </c>
      <c r="F27" s="194"/>
      <c r="G27" s="291">
        <f t="shared" si="3"/>
        <v>15.6</v>
      </c>
      <c r="H27" s="292">
        <f>13*(1+VLOOKUP("USTABBR",Umsatzsteuersaetze,5,0))</f>
        <v>15.6</v>
      </c>
      <c r="I27" s="153"/>
      <c r="J27" s="194" t="s">
        <v>694</v>
      </c>
    </row>
    <row r="28" spans="1:11" ht="15" customHeight="1" thickBot="1">
      <c r="A28" s="55">
        <v>3400</v>
      </c>
      <c r="B28" s="55"/>
      <c r="C28" s="194" t="s">
        <v>695</v>
      </c>
      <c r="D28" s="194" t="s">
        <v>696</v>
      </c>
      <c r="E28" s="194" t="s">
        <v>1690</v>
      </c>
      <c r="F28" s="194"/>
      <c r="G28" s="291">
        <f t="shared" si="3"/>
        <v>60</v>
      </c>
      <c r="H28" s="292">
        <f>50*(1+VLOOKUP("USTABBR",Umsatzsteuersaetze,5,0))</f>
        <v>60</v>
      </c>
      <c r="I28" s="153"/>
      <c r="J28" s="194" t="s">
        <v>694</v>
      </c>
    </row>
    <row r="29" spans="1:11" ht="15" customHeight="1" thickBot="1">
      <c r="A29" s="55">
        <v>3500</v>
      </c>
      <c r="B29" s="55"/>
      <c r="C29" s="194" t="s">
        <v>697</v>
      </c>
      <c r="D29" s="194" t="s">
        <v>698</v>
      </c>
      <c r="E29" s="194" t="s">
        <v>1690</v>
      </c>
      <c r="F29" s="194"/>
      <c r="G29" s="291">
        <f t="shared" si="3"/>
        <v>-144</v>
      </c>
      <c r="H29" s="292">
        <f>-120*(1+VLOOKUP("USTABBR",Umsatzsteuersaetze,5,0))</f>
        <v>-144</v>
      </c>
      <c r="I29" s="153"/>
      <c r="J29" s="194" t="s">
        <v>694</v>
      </c>
    </row>
    <row r="30" spans="1:11" ht="15" customHeight="1" thickBot="1">
      <c r="A30" s="55">
        <v>3700</v>
      </c>
      <c r="B30" s="55"/>
      <c r="C30" s="194" t="s">
        <v>1663</v>
      </c>
      <c r="D30" s="194" t="s">
        <v>1664</v>
      </c>
      <c r="E30" s="194" t="s">
        <v>1690</v>
      </c>
      <c r="F30" s="194"/>
      <c r="G30" s="291">
        <f>IF(I30="",H30,I30)</f>
        <v>360</v>
      </c>
      <c r="H30" s="292">
        <f>300*(1+VLOOKUP("USTABBR",Umsatzsteuersaetze,5,0))</f>
        <v>360</v>
      </c>
      <c r="I30" s="153"/>
      <c r="J30" s="194" t="s">
        <v>694</v>
      </c>
    </row>
    <row r="31" spans="1:11" ht="15" customHeight="1" thickBot="1">
      <c r="A31" s="55"/>
      <c r="B31" s="55"/>
      <c r="C31" s="194" t="s">
        <v>1696</v>
      </c>
      <c r="D31" s="194" t="s">
        <v>1697</v>
      </c>
      <c r="E31" s="194"/>
      <c r="F31" s="194"/>
      <c r="G31" s="291">
        <f>IF(I31="",H31,I31)</f>
        <v>0</v>
      </c>
      <c r="H31" s="292"/>
      <c r="I31" s="323"/>
      <c r="J31" s="194" t="s">
        <v>694</v>
      </c>
    </row>
    <row r="32" spans="1:11" ht="15" customHeight="1" thickBot="1">
      <c r="A32" s="55">
        <v>3600</v>
      </c>
      <c r="B32" s="55"/>
      <c r="C32" s="194" t="s">
        <v>699</v>
      </c>
      <c r="D32" s="194" t="s">
        <v>700</v>
      </c>
      <c r="E32" s="194" t="s">
        <v>1690</v>
      </c>
      <c r="F32" s="194"/>
      <c r="G32" s="291">
        <f t="shared" si="3"/>
        <v>300</v>
      </c>
      <c r="H32" s="292">
        <f>250*(1+VLOOKUP("USTABBR",Umsatzsteuersaetze,5,0))</f>
        <v>300</v>
      </c>
      <c r="I32" s="153"/>
      <c r="J32" s="194" t="s">
        <v>694</v>
      </c>
    </row>
    <row r="33" spans="1:10" ht="15" customHeight="1" thickBot="1">
      <c r="A33" s="293">
        <v>3900</v>
      </c>
      <c r="B33" s="293"/>
      <c r="C33" s="172"/>
      <c r="D33" s="172" t="s">
        <v>701</v>
      </c>
      <c r="E33" s="172"/>
      <c r="F33" s="172"/>
      <c r="G33" s="171"/>
      <c r="H33" s="171"/>
      <c r="I33" s="171"/>
      <c r="J33" s="172"/>
    </row>
    <row r="34" spans="1:10" ht="15" customHeight="1" thickBot="1">
      <c r="A34" s="55">
        <v>4000</v>
      </c>
      <c r="B34" s="55"/>
      <c r="C34" s="194" t="s">
        <v>702</v>
      </c>
      <c r="D34" s="194" t="s">
        <v>703</v>
      </c>
      <c r="E34" s="194"/>
      <c r="F34" s="194" t="s">
        <v>1665</v>
      </c>
      <c r="G34" s="291">
        <f t="shared" si="3"/>
        <v>0</v>
      </c>
      <c r="H34" s="292">
        <f>VLOOKUP("BETON",Abbruch_Entsorgung,5,0)*VLOOKUP("AT_BETON_SR",Abbruch_Entsorgung,5,0)/100*VLOOKUP("ENTS_KO_BETON_T",Abbruch_Entsorgung,5,0)</f>
        <v>0</v>
      </c>
      <c r="I34" s="153"/>
      <c r="J34" s="194" t="s">
        <v>103</v>
      </c>
    </row>
    <row r="35" spans="1:10" ht="15" customHeight="1" thickBot="1">
      <c r="A35" s="55"/>
      <c r="B35" s="55"/>
      <c r="C35" s="194" t="s">
        <v>1681</v>
      </c>
      <c r="D35" s="194" t="s">
        <v>1682</v>
      </c>
      <c r="E35" s="194"/>
      <c r="F35" s="194" t="s">
        <v>1683</v>
      </c>
      <c r="G35" s="291">
        <f t="shared" si="3"/>
        <v>0</v>
      </c>
      <c r="H35" s="292">
        <f>VLOOKUP("BETON",Abbruch_Entsorgung,5,0)*VLOOKUP("AT_BETON_SMINERAL",Abbruch_Entsorgung,5,0)/100*VLOOKUP("ENTS_KO_BETON_T",Abbruch_Entsorgung,5,0)</f>
        <v>0</v>
      </c>
      <c r="I35" s="153"/>
      <c r="J35" s="194" t="s">
        <v>103</v>
      </c>
    </row>
    <row r="36" spans="1:10" ht="15" customHeight="1" thickBot="1">
      <c r="A36" s="55">
        <v>4300</v>
      </c>
      <c r="B36" s="55"/>
      <c r="C36" s="194" t="s">
        <v>704</v>
      </c>
      <c r="D36" s="194" t="s">
        <v>705</v>
      </c>
      <c r="E36" s="194"/>
      <c r="F36" s="194" t="s">
        <v>1666</v>
      </c>
      <c r="G36" s="291">
        <f t="shared" si="3"/>
        <v>0</v>
      </c>
      <c r="H36" s="292">
        <f>VLOOKUP("HOLZ",Abbruch_Entsorgung,5,0)*VLOOKUP("AT_HOLZ_SR",Abbruch_Entsorgung,5,0)/100*VLOOKUP("ENTS_KO_HOLZ_T",Abbruch_Entsorgung,5,0)</f>
        <v>0</v>
      </c>
      <c r="I36" s="153"/>
      <c r="J36" s="194" t="s">
        <v>103</v>
      </c>
    </row>
    <row r="37" spans="1:10" ht="15" customHeight="1" thickBot="1">
      <c r="A37" s="55">
        <v>4400</v>
      </c>
      <c r="B37" s="55"/>
      <c r="C37" s="194" t="s">
        <v>706</v>
      </c>
      <c r="D37" s="194" t="s">
        <v>707</v>
      </c>
      <c r="E37" s="194"/>
      <c r="F37" s="194" t="s">
        <v>1667</v>
      </c>
      <c r="G37" s="291">
        <f t="shared" si="3"/>
        <v>0</v>
      </c>
      <c r="H37" s="292">
        <f>VLOOKUP("METALL",Abbruch_Entsorgung,5,0)*VLOOKUP("AT_METALL_SR",Abbruch_Entsorgung,5,0)/100*VLOOKUP("ENTS_KO_METALL_T",Abbruch_Entsorgung,5,0)</f>
        <v>0</v>
      </c>
      <c r="I37" s="153"/>
      <c r="J37" s="194" t="s">
        <v>103</v>
      </c>
    </row>
    <row r="38" spans="1:10" ht="15" customHeight="1" thickBot="1">
      <c r="A38" s="55"/>
      <c r="B38" s="55"/>
      <c r="C38" s="194" t="s">
        <v>1700</v>
      </c>
      <c r="D38" s="194" t="s">
        <v>1698</v>
      </c>
      <c r="E38" s="194"/>
      <c r="F38" s="194" t="s">
        <v>1699</v>
      </c>
      <c r="G38" s="291">
        <f t="shared" si="3"/>
        <v>0</v>
      </c>
      <c r="H38" s="292">
        <f>VLOOKUP("KUNSTST",Abbruch_Entsorgung,5,0)*VLOOKUP("AT_KUNSTST_SR",Abbruch_Entsorgung,5,0)/100*VLOOKUP("ENTS_KO_KUNSTST_T",Abbruch_Entsorgung,5,0)</f>
        <v>0</v>
      </c>
      <c r="I38" s="153"/>
      <c r="J38" s="194" t="s">
        <v>103</v>
      </c>
    </row>
    <row r="39" spans="1:10" ht="15" customHeight="1" thickBot="1">
      <c r="A39" s="55">
        <v>4500</v>
      </c>
      <c r="B39" s="55"/>
      <c r="C39" s="194" t="s">
        <v>708</v>
      </c>
      <c r="D39" s="194" t="s">
        <v>709</v>
      </c>
      <c r="E39" s="194"/>
      <c r="F39" s="194" t="s">
        <v>1691</v>
      </c>
      <c r="G39" s="291">
        <f t="shared" si="3"/>
        <v>0</v>
      </c>
      <c r="H39" s="292">
        <f>VLOOKUP("ENTS_KO_RESTABFALL_T",Abbruch_Entsorgung,5,0)*(VLOOKUP("RESTABFALL",Abbruch_Entsorgung,5,0) + VLOOKUP("BETON",Abbruch_Entsorgung,5,0)*VLOOKUP("AT_BETON_RESTABFALL",Abbruch_Entsorgung,5,0)/100+ VLOOKUP("HOLZ",Abbruch_Entsorgung,5,0)*VLOOKUP("AT_HOLZ_RESTABFALL",Abbruch_Entsorgung,5,0)/100+VLOOKUP("METALL",Abbruch_Entsorgung,5,0)*VLOOKUP("AT_METALL_RESTABFALL",Abbruch_Entsorgung,5,0)/100+VLOOKUP("KUNSTST",Abbruch_Entsorgung,5,0)*VLOOKUP("AT_KUNSTST_RESTABFALL",Abbruch_Entsorgung,5,0)/100)</f>
        <v>0</v>
      </c>
      <c r="I39" s="153"/>
      <c r="J39" s="194" t="s">
        <v>103</v>
      </c>
    </row>
    <row r="40" spans="1:10" ht="15" customHeight="1" thickBot="1">
      <c r="A40" s="55"/>
      <c r="B40" s="55"/>
      <c r="C40" s="194" t="s">
        <v>1692</v>
      </c>
      <c r="D40" s="194" t="s">
        <v>1693</v>
      </c>
      <c r="E40" s="194"/>
      <c r="F40" s="194" t="s">
        <v>1694</v>
      </c>
      <c r="G40" s="291">
        <f t="shared" si="3"/>
        <v>0</v>
      </c>
      <c r="H40" s="292">
        <f>VLOOKUP("SONSTIGES",Abbruch_Entsorgung,5,0)*VLOOKUP("ENTS_KO_SONST_T",Abbruch_Entsorgung,5,0)</f>
        <v>0</v>
      </c>
      <c r="I40" s="153"/>
      <c r="J40" s="194" t="s">
        <v>103</v>
      </c>
    </row>
    <row r="41" spans="1:10" ht="15" customHeight="1" thickBot="1">
      <c r="A41" s="55">
        <v>4700</v>
      </c>
      <c r="B41" s="55"/>
      <c r="C41" s="194" t="s">
        <v>710</v>
      </c>
      <c r="D41" s="194" t="s">
        <v>711</v>
      </c>
      <c r="E41" s="194"/>
      <c r="F41" s="194" t="s">
        <v>1701</v>
      </c>
      <c r="G41" s="291">
        <f t="shared" si="3"/>
        <v>0</v>
      </c>
      <c r="H41" s="292">
        <f>VLOOKUP("ENTS_KO_BETON",Abbruch_Entsorgung,5,0)+VLOOKUP("ENTS_KO_MINERAL",Abbruch_Entsorgung,5,0)+VLOOKUP("ENTS_KO_HOLZ",Abbruch_Entsorgung,5,0)+VLOOKUP("ENTS_KO_METALL",Abbruch_Entsorgung,5,0)+VLOOKUP("ENTS_KO_KUNSTST",Abbruch_Entsorgung,5,0)+VLOOKUP("ENTS_KO_RESTABFALL",Abbruch_Entsorgung,5,0)+VLOOKUP("ENTS_KO_SONST",Abbruch_Entsorgung,5,0)</f>
        <v>0</v>
      </c>
      <c r="I41" s="153"/>
      <c r="J41" s="194" t="s">
        <v>103</v>
      </c>
    </row>
    <row r="42" spans="1:10" ht="15" customHeight="1" thickBot="1">
      <c r="A42" s="55">
        <v>4900</v>
      </c>
      <c r="B42" s="55"/>
      <c r="C42" s="194" t="s">
        <v>712</v>
      </c>
      <c r="D42" s="194" t="s">
        <v>713</v>
      </c>
      <c r="E42" s="194"/>
      <c r="F42" s="194" t="s">
        <v>714</v>
      </c>
      <c r="G42" s="291">
        <f t="shared" si="3"/>
        <v>0</v>
      </c>
      <c r="H42" s="292">
        <f>VLOOKUP("AB_GESAMT",Abbruch_Entsorgung,5,0)+VLOOKUP("ENTS_GESAMT",Abbruch_Entsorgung,5,0)</f>
        <v>0</v>
      </c>
      <c r="I42" s="153"/>
      <c r="J42" s="194" t="s">
        <v>103</v>
      </c>
    </row>
    <row r="43" spans="1:10" ht="15" customHeight="1" thickBot="1">
      <c r="A43" s="293">
        <v>5100</v>
      </c>
      <c r="B43" s="293"/>
      <c r="C43" s="172"/>
      <c r="D43" s="172" t="s">
        <v>715</v>
      </c>
      <c r="E43" s="172"/>
      <c r="F43" s="172"/>
      <c r="G43" s="171"/>
      <c r="H43" s="171"/>
      <c r="I43" s="171"/>
      <c r="J43" s="172"/>
    </row>
    <row r="44" spans="1:10" ht="15" customHeight="1" thickBot="1">
      <c r="A44" s="55">
        <v>5200</v>
      </c>
      <c r="B44" s="55"/>
      <c r="C44" s="194" t="s">
        <v>716</v>
      </c>
      <c r="D44" s="194" t="s">
        <v>717</v>
      </c>
      <c r="E44" s="194"/>
      <c r="F44" s="194"/>
      <c r="G44" s="291">
        <f t="shared" ref="G44" si="4">IF(I44="",H44,I44)</f>
        <v>3.5999999999999996</v>
      </c>
      <c r="H44" s="292">
        <f>3*(1+VLOOKUP("USTABBR",Umsatzsteuersaetze,5,0))</f>
        <v>3.5999999999999996</v>
      </c>
      <c r="I44" s="323"/>
      <c r="J44" s="194" t="s">
        <v>718</v>
      </c>
    </row>
    <row r="45" spans="1:10" ht="15" customHeight="1" thickTop="1" thickBot="1">
      <c r="A45" s="293"/>
      <c r="B45" s="293"/>
      <c r="C45" s="172"/>
      <c r="D45" s="172"/>
      <c r="E45" s="172"/>
      <c r="F45" s="172"/>
      <c r="G45" s="613" t="s">
        <v>2647</v>
      </c>
      <c r="H45" s="613"/>
      <c r="I45" s="613"/>
      <c r="J45" s="613"/>
    </row>
    <row r="46" spans="1:10" ht="15" customHeight="1" thickTop="1">
      <c r="G46" s="106"/>
      <c r="H46" s="106"/>
      <c r="I46" s="106"/>
    </row>
    <row r="47" spans="1:10" ht="15" customHeight="1">
      <c r="G47" s="106"/>
      <c r="H47" s="106"/>
      <c r="I47" s="106"/>
    </row>
    <row r="48" spans="1:10" ht="15" customHeight="1">
      <c r="G48" s="106"/>
      <c r="H48" s="106"/>
      <c r="I48" s="106"/>
    </row>
    <row r="49" spans="7:9" ht="15" customHeight="1">
      <c r="G49" s="106"/>
      <c r="H49" s="106"/>
      <c r="I49" s="106"/>
    </row>
    <row r="50" spans="7:9" ht="15" customHeight="1">
      <c r="G50" s="106"/>
      <c r="H50" s="106"/>
      <c r="I50" s="106"/>
    </row>
  </sheetData>
  <sheetProtection password="FDAF" sheet="1" objects="1" scenarios="1" selectLockedCells="1"/>
  <mergeCells count="2">
    <mergeCell ref="G45:J45"/>
    <mergeCell ref="G2:J2"/>
  </mergeCells>
  <hyperlinks>
    <hyperlink ref="K16" r:id="rId1"/>
    <hyperlink ref="G2" location="Nutzung_Betrieb" display="zurück zu &quot;Nutzung und Betrieb&quot;"/>
    <hyperlink ref="G2:J2" location="'Nutzung &amp; Betrieb'!A1" display="zurück zu &quot;Nutzung &amp; Betrieb&quot;"/>
    <hyperlink ref="G45" location="Nutzung_Betrieb" display="zurück zu &quot;Nutzung und Betrieb&quot;"/>
    <hyperlink ref="G45:J45" location="'Nutzung &amp; Betrieb'!A1" display="zurück zu &quot;Nutzung &amp; Betrieb&quot;"/>
  </hyperlinks>
  <pageMargins left="0.78740157480314965" right="0.78740157480314965" top="0.98425196850393704" bottom="0.98425196850393704" header="0.51181102362204722" footer="0.51181102362204722"/>
  <pageSetup paperSize="9" fitToHeight="0" orientation="portrait" horizontalDpi="300" verticalDpi="300" r:id="rId2"/>
  <headerFooter>
    <oddFooter>&amp;L&amp;F&amp;C&amp;A&amp;R&amp;P von &amp;N</oddFooter>
  </headerFooter>
  <legacyDrawing r:id="rId3"/>
</worksheet>
</file>

<file path=xl/worksheets/sheet22.xml><?xml version="1.0" encoding="utf-8"?>
<worksheet xmlns="http://schemas.openxmlformats.org/spreadsheetml/2006/main" xmlns:r="http://schemas.openxmlformats.org/officeDocument/2006/relationships">
  <sheetPr codeName="Tabelle18">
    <tabColor theme="7" tint="0.59999389629810485"/>
  </sheetPr>
  <dimension ref="A1:N46"/>
  <sheetViews>
    <sheetView zoomScale="110" zoomScaleNormal="110" workbookViewId="0">
      <pane xSplit="4" ySplit="2" topLeftCell="E3" activePane="bottomRight" state="frozenSplit"/>
      <selection activeCell="C23" sqref="C23:M24"/>
      <selection pane="topRight" activeCell="C23" sqref="C23:M24"/>
      <selection pane="bottomLeft" activeCell="C23" sqref="C23:M24"/>
      <selection pane="bottomRight" activeCell="F8" sqref="F8"/>
    </sheetView>
  </sheetViews>
  <sheetFormatPr baseColWidth="10" defaultRowHeight="15" customHeight="1" outlineLevelCol="1"/>
  <cols>
    <col min="1" max="1" width="14.6640625" style="23" hidden="1" customWidth="1" outlineLevel="1"/>
    <col min="2" max="2" width="40.83203125" style="23" customWidth="1" collapsed="1"/>
    <col min="3" max="3" width="75.33203125" style="23" hidden="1" customWidth="1" outlineLevel="1"/>
    <col min="4" max="4" width="4" style="23" hidden="1" customWidth="1" outlineLevel="1"/>
    <col min="5" max="5" width="18.83203125" style="23" bestFit="1" customWidth="1" collapsed="1"/>
    <col min="6" max="6" width="12" style="23"/>
    <col min="7" max="7" width="12" style="23" hidden="1" customWidth="1" outlineLevel="1"/>
    <col min="8" max="8" width="12" style="23" collapsed="1"/>
    <col min="9" max="10" width="12" style="23" hidden="1" customWidth="1" outlineLevel="1"/>
    <col min="11" max="11" width="12" style="23" collapsed="1"/>
    <col min="12" max="12" width="21" style="23" customWidth="1"/>
    <col min="13" max="13" width="19" style="23" bestFit="1" customWidth="1"/>
    <col min="14" max="16384" width="12" style="23"/>
  </cols>
  <sheetData>
    <row r="1" spans="1:14" s="246" customFormat="1" ht="15" customHeight="1">
      <c r="A1" s="445" t="s">
        <v>102</v>
      </c>
      <c r="B1" s="446" t="s">
        <v>2413</v>
      </c>
      <c r="C1" s="445" t="s">
        <v>66</v>
      </c>
      <c r="D1" s="446" t="s">
        <v>89</v>
      </c>
      <c r="E1" s="447" t="s">
        <v>2510</v>
      </c>
      <c r="F1" s="448" t="s">
        <v>1838</v>
      </c>
      <c r="G1" s="449" t="s">
        <v>1839</v>
      </c>
      <c r="H1" s="450" t="s">
        <v>1525</v>
      </c>
      <c r="I1" s="448" t="s">
        <v>1840</v>
      </c>
      <c r="J1" s="200" t="s">
        <v>1523</v>
      </c>
      <c r="K1" s="200" t="s">
        <v>1513</v>
      </c>
      <c r="L1" s="200" t="s">
        <v>2409</v>
      </c>
      <c r="M1" s="200" t="s">
        <v>2411</v>
      </c>
      <c r="N1" s="200" t="s">
        <v>2412</v>
      </c>
    </row>
    <row r="2" spans="1:14" s="246" customFormat="1" ht="15" customHeight="1" thickBot="1">
      <c r="A2" s="451" t="s">
        <v>1317</v>
      </c>
      <c r="B2" s="452" t="s">
        <v>1317</v>
      </c>
      <c r="C2" s="451" t="s">
        <v>1317</v>
      </c>
      <c r="D2" s="452"/>
      <c r="E2" s="453" t="s">
        <v>1317</v>
      </c>
      <c r="F2" s="454" t="s">
        <v>1311</v>
      </c>
      <c r="G2" s="455" t="s">
        <v>1312</v>
      </c>
      <c r="H2" s="456" t="s">
        <v>1313</v>
      </c>
      <c r="I2" s="454" t="s">
        <v>1311</v>
      </c>
      <c r="J2" s="199" t="s">
        <v>1849</v>
      </c>
      <c r="K2" s="199" t="s">
        <v>487</v>
      </c>
      <c r="L2" s="199" t="s">
        <v>2410</v>
      </c>
      <c r="M2" s="199" t="s">
        <v>2009</v>
      </c>
      <c r="N2" s="199" t="s">
        <v>2076</v>
      </c>
    </row>
    <row r="3" spans="1:14" s="246" customFormat="1" ht="15" customHeight="1" thickTop="1" thickBot="1">
      <c r="A3" s="548"/>
      <c r="B3" s="490"/>
      <c r="C3" s="488"/>
      <c r="D3" s="490"/>
      <c r="E3" s="491"/>
      <c r="F3" s="539"/>
      <c r="G3" s="556"/>
      <c r="H3" s="557"/>
      <c r="I3" s="539"/>
      <c r="J3" s="493"/>
      <c r="K3" s="493"/>
      <c r="L3" s="608" t="s">
        <v>2057</v>
      </c>
      <c r="M3" s="608"/>
      <c r="N3" s="608"/>
    </row>
    <row r="4" spans="1:14" ht="15" customHeight="1" thickTop="1">
      <c r="A4" s="254"/>
      <c r="B4" s="254" t="s">
        <v>1247</v>
      </c>
      <c r="C4" s="254"/>
      <c r="D4" s="254"/>
      <c r="E4" s="204" t="s">
        <v>1313</v>
      </c>
      <c r="F4" s="201">
        <v>0</v>
      </c>
      <c r="G4" s="457"/>
      <c r="H4" s="203">
        <v>0</v>
      </c>
      <c r="I4" s="201"/>
      <c r="J4" s="201"/>
      <c r="K4" s="88"/>
      <c r="L4" s="88"/>
      <c r="M4" s="88"/>
      <c r="N4" s="88"/>
    </row>
    <row r="5" spans="1:14" ht="15" customHeight="1">
      <c r="A5" s="260">
        <v>979</v>
      </c>
      <c r="B5" s="254" t="s">
        <v>1248</v>
      </c>
      <c r="C5" s="260" t="s">
        <v>1845</v>
      </c>
      <c r="D5" s="261"/>
      <c r="E5" s="204" t="s">
        <v>1313</v>
      </c>
      <c r="F5" s="201">
        <v>2.4625888999999998E-3</v>
      </c>
      <c r="G5" s="457"/>
      <c r="H5" s="203">
        <v>2.0764429000000001E-2</v>
      </c>
      <c r="I5" s="201"/>
      <c r="J5" s="201"/>
      <c r="K5" s="88"/>
      <c r="L5" s="88"/>
      <c r="M5" s="88"/>
      <c r="N5" s="88"/>
    </row>
    <row r="6" spans="1:14" ht="15" customHeight="1">
      <c r="A6" s="260">
        <v>329</v>
      </c>
      <c r="B6" s="254" t="s">
        <v>1249</v>
      </c>
      <c r="C6" s="260" t="s">
        <v>1842</v>
      </c>
      <c r="D6" s="261"/>
      <c r="E6" s="204" t="s">
        <v>1313</v>
      </c>
      <c r="F6" s="201">
        <v>0.107319453355965</v>
      </c>
      <c r="G6" s="457"/>
      <c r="H6" s="203">
        <v>1.4934676194444401</v>
      </c>
      <c r="I6" s="201"/>
      <c r="J6" s="201"/>
      <c r="K6" s="88"/>
      <c r="L6" s="88"/>
      <c r="M6" s="88"/>
      <c r="N6" s="88"/>
    </row>
    <row r="7" spans="1:14" ht="15" customHeight="1" thickBot="1">
      <c r="A7" s="260">
        <v>330</v>
      </c>
      <c r="B7" s="254" t="s">
        <v>1250</v>
      </c>
      <c r="C7" s="260" t="s">
        <v>1843</v>
      </c>
      <c r="D7" s="261"/>
      <c r="E7" s="204" t="s">
        <v>1313</v>
      </c>
      <c r="F7" s="201">
        <v>0.142642356358437</v>
      </c>
      <c r="G7" s="457"/>
      <c r="H7" s="203">
        <v>2.66865317777778</v>
      </c>
      <c r="I7" s="201"/>
      <c r="J7" s="201"/>
      <c r="K7" s="88"/>
      <c r="L7" s="88"/>
      <c r="M7" s="88"/>
      <c r="N7" s="88"/>
    </row>
    <row r="8" spans="1:14" ht="15" customHeight="1" thickBot="1">
      <c r="A8" s="254"/>
      <c r="B8" s="254" t="s">
        <v>1860</v>
      </c>
      <c r="C8" s="254"/>
      <c r="D8" s="254"/>
      <c r="E8" s="204" t="s">
        <v>1313</v>
      </c>
      <c r="F8" s="176"/>
      <c r="H8" s="176"/>
      <c r="K8" s="88"/>
      <c r="L8" s="88"/>
      <c r="M8" s="88"/>
      <c r="N8" s="88"/>
    </row>
    <row r="9" spans="1:14" ht="15" customHeight="1">
      <c r="A9" s="260">
        <v>984</v>
      </c>
      <c r="B9" s="88" t="s">
        <v>2731</v>
      </c>
      <c r="C9" s="260" t="s">
        <v>1848</v>
      </c>
      <c r="D9" s="261"/>
      <c r="E9" s="204" t="s">
        <v>1313</v>
      </c>
      <c r="F9" s="201">
        <v>1.4802987E-2</v>
      </c>
      <c r="G9" s="457"/>
      <c r="H9" s="203">
        <v>0.22091305</v>
      </c>
      <c r="I9" s="201"/>
      <c r="J9" s="201"/>
      <c r="K9" s="88"/>
      <c r="L9" s="88"/>
      <c r="M9" s="88"/>
      <c r="N9" s="88"/>
    </row>
    <row r="10" spans="1:14" ht="15" customHeight="1">
      <c r="A10" s="260">
        <v>983</v>
      </c>
      <c r="B10" s="270" t="s">
        <v>2732</v>
      </c>
      <c r="C10" s="260" t="s">
        <v>1847</v>
      </c>
      <c r="D10" s="261"/>
      <c r="E10" s="204" t="s">
        <v>1313</v>
      </c>
      <c r="F10" s="201">
        <v>2.5859680000000001E-3</v>
      </c>
      <c r="G10" s="457"/>
      <c r="H10" s="203">
        <v>3.1939604000000003E-2</v>
      </c>
      <c r="I10" s="201"/>
      <c r="J10" s="201"/>
      <c r="K10" s="88"/>
      <c r="L10" s="88"/>
      <c r="M10" s="88"/>
      <c r="N10" s="88"/>
    </row>
    <row r="11" spans="1:14" ht="15" customHeight="1">
      <c r="A11" s="260">
        <v>981</v>
      </c>
      <c r="B11" s="270" t="s">
        <v>2733</v>
      </c>
      <c r="C11" s="260" t="s">
        <v>1846</v>
      </c>
      <c r="D11" s="261"/>
      <c r="E11" s="204" t="s">
        <v>1313</v>
      </c>
      <c r="F11" s="201">
        <v>2.7020005E-2</v>
      </c>
      <c r="G11" s="457"/>
      <c r="H11" s="203">
        <v>0.40988648999999999</v>
      </c>
      <c r="I11" s="201"/>
      <c r="J11" s="201"/>
      <c r="K11" s="88"/>
      <c r="L11" s="88"/>
      <c r="M11" s="88"/>
      <c r="N11" s="88"/>
    </row>
    <row r="12" spans="1:14" ht="15" customHeight="1">
      <c r="A12" s="260"/>
      <c r="B12" s="270" t="s">
        <v>2737</v>
      </c>
      <c r="C12" s="260"/>
      <c r="D12" s="261"/>
      <c r="E12" s="271" t="s">
        <v>1313</v>
      </c>
      <c r="F12" s="201">
        <v>4.6717536E-3</v>
      </c>
      <c r="G12" s="457"/>
      <c r="H12" s="203">
        <v>7.0594942999999993E-2</v>
      </c>
      <c r="I12" s="201"/>
      <c r="J12" s="201"/>
      <c r="K12" s="88"/>
      <c r="L12" s="88"/>
      <c r="M12" s="88"/>
      <c r="N12" s="88"/>
    </row>
    <row r="13" spans="1:14" ht="15" customHeight="1">
      <c r="A13" s="260"/>
      <c r="B13" s="270" t="s">
        <v>2738</v>
      </c>
      <c r="C13" s="260"/>
      <c r="D13" s="261"/>
      <c r="E13" s="271" t="s">
        <v>1313</v>
      </c>
      <c r="F13" s="201">
        <v>5.5555555555555558E-3</v>
      </c>
      <c r="G13" s="457"/>
      <c r="H13" s="203">
        <v>0.06</v>
      </c>
      <c r="I13" s="201"/>
      <c r="J13" s="201"/>
      <c r="K13" s="88"/>
      <c r="L13" s="88"/>
      <c r="M13" s="88"/>
      <c r="N13" s="88"/>
    </row>
    <row r="14" spans="1:14" ht="15" customHeight="1">
      <c r="A14" s="254"/>
      <c r="B14" s="254" t="s">
        <v>2402</v>
      </c>
      <c r="C14" s="254"/>
      <c r="D14" s="254"/>
      <c r="E14" s="204" t="s">
        <v>1313</v>
      </c>
      <c r="F14" s="202">
        <v>0</v>
      </c>
      <c r="G14" s="202"/>
      <c r="H14" s="202">
        <v>0</v>
      </c>
      <c r="I14" s="202"/>
      <c r="J14" s="202"/>
      <c r="K14" s="88"/>
      <c r="L14" s="88"/>
      <c r="M14" s="88"/>
      <c r="N14" s="88"/>
    </row>
    <row r="15" spans="1:14" ht="15" customHeight="1">
      <c r="A15" s="88"/>
      <c r="B15" s="254" t="s">
        <v>1252</v>
      </c>
      <c r="C15" s="254"/>
      <c r="D15" s="459" t="s">
        <v>1874</v>
      </c>
      <c r="E15" s="204" t="s">
        <v>1844</v>
      </c>
      <c r="F15" s="202">
        <v>0</v>
      </c>
      <c r="G15" s="202"/>
      <c r="H15" s="202">
        <v>0</v>
      </c>
      <c r="I15" s="202"/>
      <c r="J15" s="202"/>
      <c r="K15" s="88"/>
      <c r="L15" s="88"/>
      <c r="M15" s="88"/>
      <c r="N15" s="88"/>
    </row>
    <row r="16" spans="1:14" ht="15" customHeight="1">
      <c r="A16" s="260">
        <v>327</v>
      </c>
      <c r="B16" s="254" t="s">
        <v>1251</v>
      </c>
      <c r="C16" s="260" t="s">
        <v>2403</v>
      </c>
      <c r="D16" s="261"/>
      <c r="E16" s="204" t="s">
        <v>1313</v>
      </c>
      <c r="F16" s="201">
        <v>1.1850133360502601E-2</v>
      </c>
      <c r="G16" s="457"/>
      <c r="H16" s="203">
        <v>0.21741540600000001</v>
      </c>
      <c r="I16" s="201"/>
      <c r="J16" s="201"/>
      <c r="K16" s="88"/>
      <c r="L16" s="88"/>
      <c r="M16" s="88"/>
      <c r="N16" s="88"/>
    </row>
    <row r="17" spans="1:14" ht="15" customHeight="1">
      <c r="A17" s="458">
        <v>242</v>
      </c>
      <c r="B17" s="254" t="s">
        <v>1812</v>
      </c>
      <c r="C17" s="260" t="s">
        <v>2486</v>
      </c>
      <c r="D17" s="261"/>
      <c r="E17" s="261" t="s">
        <v>1313</v>
      </c>
      <c r="F17" s="201">
        <v>3.9118179451257803E-3</v>
      </c>
      <c r="G17" s="201"/>
      <c r="H17" s="201">
        <v>6.8499161569999995E-2</v>
      </c>
      <c r="I17" s="201"/>
      <c r="J17" s="201"/>
      <c r="K17" s="88"/>
      <c r="L17" s="88"/>
      <c r="M17" s="88"/>
      <c r="N17" s="88"/>
    </row>
    <row r="18" spans="1:14" ht="15" customHeight="1">
      <c r="A18" s="260">
        <v>240</v>
      </c>
      <c r="B18" s="254" t="s">
        <v>1814</v>
      </c>
      <c r="C18" s="260" t="s">
        <v>1841</v>
      </c>
      <c r="D18" s="261"/>
      <c r="E18" s="204" t="s">
        <v>1313</v>
      </c>
      <c r="F18" s="201">
        <v>7.2713582836444801E-2</v>
      </c>
      <c r="G18" s="457"/>
      <c r="H18" s="203">
        <v>1.1745163458200001</v>
      </c>
      <c r="I18" s="201"/>
      <c r="J18" s="201"/>
      <c r="K18" s="88"/>
      <c r="L18" s="88"/>
      <c r="M18" s="88"/>
      <c r="N18" s="88"/>
    </row>
    <row r="19" spans="1:14" ht="15" customHeight="1">
      <c r="A19" s="260">
        <v>240</v>
      </c>
      <c r="B19" s="254" t="s">
        <v>1813</v>
      </c>
      <c r="C19" s="260" t="s">
        <v>1841</v>
      </c>
      <c r="D19" s="261"/>
      <c r="E19" s="204" t="s">
        <v>1313</v>
      </c>
      <c r="F19" s="201">
        <v>7.2713582836444801E-2</v>
      </c>
      <c r="G19" s="457"/>
      <c r="H19" s="203">
        <v>1.1745163458200001</v>
      </c>
      <c r="I19" s="201"/>
      <c r="J19" s="201"/>
      <c r="K19" s="88"/>
      <c r="L19" s="88"/>
      <c r="M19" s="88"/>
      <c r="N19" s="88"/>
    </row>
    <row r="20" spans="1:14" ht="15" customHeight="1">
      <c r="A20" s="254"/>
      <c r="B20" s="254" t="s">
        <v>1815</v>
      </c>
      <c r="C20" s="254"/>
      <c r="D20" s="254"/>
      <c r="E20" s="204" t="s">
        <v>1313</v>
      </c>
      <c r="F20" s="203" t="e">
        <f>VLOOKUP("GWPSTROM",Energie,8,0)/3.6</f>
        <v>#N/A</v>
      </c>
      <c r="G20" s="202"/>
      <c r="H20" s="203" t="e">
        <f>VLOOKUP("PESTROM",Energie,8,0)/3.6</f>
        <v>#N/A</v>
      </c>
      <c r="I20" s="202"/>
      <c r="J20" s="202"/>
      <c r="K20" s="88"/>
      <c r="L20" s="88"/>
      <c r="M20" s="88"/>
      <c r="N20" s="88"/>
    </row>
    <row r="21" spans="1:14" ht="15" customHeight="1">
      <c r="A21" s="254"/>
      <c r="B21" s="254" t="s">
        <v>1816</v>
      </c>
      <c r="C21" s="254"/>
      <c r="D21" s="254"/>
      <c r="E21" s="204" t="s">
        <v>1313</v>
      </c>
      <c r="F21" s="203" t="e">
        <f>VLOOKUP("GWPSTROM",Energie,8,0)/3.6</f>
        <v>#N/A</v>
      </c>
      <c r="G21" s="202"/>
      <c r="H21" s="203" t="e">
        <f>VLOOKUP("PESTROM",Energie,8,0)/3.6</f>
        <v>#N/A</v>
      </c>
      <c r="I21" s="202"/>
      <c r="J21" s="202"/>
      <c r="K21" s="88"/>
      <c r="L21" s="88"/>
      <c r="M21" s="88"/>
      <c r="N21" s="88"/>
    </row>
    <row r="22" spans="1:14" ht="15" customHeight="1">
      <c r="A22" s="254"/>
      <c r="B22" s="254" t="s">
        <v>1817</v>
      </c>
      <c r="C22" s="254"/>
      <c r="D22" s="254"/>
      <c r="E22" s="204" t="s">
        <v>1313</v>
      </c>
      <c r="F22" s="203" t="e">
        <f>VLOOKUP("GWPSTROM",Energie,8,0)/3.6</f>
        <v>#N/A</v>
      </c>
      <c r="G22" s="202"/>
      <c r="H22" s="203" t="e">
        <f>VLOOKUP("PESTROM",Energie,8,0)/3.6</f>
        <v>#N/A</v>
      </c>
      <c r="I22" s="202"/>
      <c r="J22" s="202"/>
      <c r="K22" s="88"/>
      <c r="L22" s="88"/>
      <c r="M22" s="88"/>
      <c r="N22" s="88"/>
    </row>
    <row r="23" spans="1:14" ht="15" customHeight="1" thickBot="1">
      <c r="A23" s="254"/>
      <c r="B23" s="88" t="s">
        <v>2769</v>
      </c>
      <c r="C23" s="254"/>
      <c r="D23" s="254"/>
      <c r="E23" s="271" t="s">
        <v>1313</v>
      </c>
      <c r="F23" s="203" t="e">
        <f>VLOOKUP("GWPSTROM",Energie,8,0)/3.6</f>
        <v>#N/A</v>
      </c>
      <c r="G23" s="202"/>
      <c r="H23" s="203" t="e">
        <f>VLOOKUP("PESTROM",Energie,8,0)/3.6</f>
        <v>#N/A</v>
      </c>
      <c r="I23" s="202"/>
      <c r="J23" s="202"/>
      <c r="K23" s="88"/>
      <c r="L23" s="88"/>
      <c r="M23" s="88"/>
      <c r="N23" s="88"/>
    </row>
    <row r="24" spans="1:14" ht="21.75" thickBot="1">
      <c r="A24" s="254"/>
      <c r="B24" s="254" t="s">
        <v>1861</v>
      </c>
      <c r="C24" s="254"/>
      <c r="D24" s="254"/>
      <c r="E24" s="595" t="s">
        <v>2766</v>
      </c>
      <c r="F24" s="176"/>
      <c r="H24" s="176"/>
      <c r="K24" s="176"/>
      <c r="L24" s="176"/>
      <c r="M24" s="197"/>
      <c r="N24" s="88"/>
    </row>
    <row r="25" spans="1:14" ht="15" customHeight="1">
      <c r="A25" s="254"/>
      <c r="B25" s="254" t="s">
        <v>1485</v>
      </c>
      <c r="C25" s="254"/>
      <c r="D25" s="254"/>
      <c r="E25" s="204" t="s">
        <v>1844</v>
      </c>
      <c r="F25" s="203" t="e">
        <f>VLOOKUP("GWPHEIZ",Energie,8,0)</f>
        <v>#N/A</v>
      </c>
      <c r="G25" s="202"/>
      <c r="H25" s="203" t="e">
        <f>VLOOKUP("PEHEIZ",Energie,8,0)</f>
        <v>#N/A</v>
      </c>
      <c r="I25" s="202"/>
      <c r="J25" s="202"/>
      <c r="K25" s="88"/>
      <c r="L25" s="88"/>
      <c r="M25" s="88"/>
      <c r="N25" s="88"/>
    </row>
    <row r="26" spans="1:14" ht="15" customHeight="1">
      <c r="A26" s="254"/>
      <c r="B26" s="254" t="s">
        <v>1818</v>
      </c>
      <c r="C26" s="254"/>
      <c r="D26" s="254"/>
      <c r="E26" s="204" t="s">
        <v>1844</v>
      </c>
      <c r="F26" s="203" t="e">
        <f>VLOOKUP("GWPSTROM",Energie,8,0)</f>
        <v>#N/A</v>
      </c>
      <c r="G26" s="202"/>
      <c r="H26" s="203" t="e">
        <f>VLOOKUP("PESTROM",Energie,8,0)</f>
        <v>#N/A</v>
      </c>
      <c r="I26" s="202"/>
      <c r="J26" s="202"/>
      <c r="K26" s="88"/>
      <c r="L26" s="88"/>
      <c r="M26" s="88"/>
      <c r="N26" s="88"/>
    </row>
    <row r="27" spans="1:14" ht="15" customHeight="1" thickBot="1">
      <c r="A27" s="254"/>
      <c r="B27" s="254" t="s">
        <v>1819</v>
      </c>
      <c r="C27" s="254"/>
      <c r="D27" s="254"/>
      <c r="E27" s="204" t="s">
        <v>1844</v>
      </c>
      <c r="F27" s="203" t="e">
        <f>VLOOKUP("GWPSTROM",Energie,8,0)</f>
        <v>#N/A</v>
      </c>
      <c r="G27" s="202"/>
      <c r="H27" s="203" t="e">
        <f>VLOOKUP("PESTROM",Energie,8,0)</f>
        <v>#N/A</v>
      </c>
      <c r="I27" s="202"/>
      <c r="J27" s="202"/>
      <c r="K27" s="88"/>
      <c r="L27" s="88"/>
      <c r="M27" s="88"/>
      <c r="N27" s="88"/>
    </row>
    <row r="28" spans="1:14" ht="15" customHeight="1" thickBot="1">
      <c r="A28" s="254"/>
      <c r="B28" s="254" t="s">
        <v>1862</v>
      </c>
      <c r="C28" s="254"/>
      <c r="D28" s="254"/>
      <c r="E28" s="204" t="s">
        <v>1844</v>
      </c>
      <c r="F28" s="176"/>
      <c r="H28" s="176"/>
      <c r="K28" s="176"/>
      <c r="L28" s="176"/>
      <c r="M28" s="197"/>
      <c r="N28" s="88"/>
    </row>
    <row r="29" spans="1:14" ht="15" customHeight="1">
      <c r="A29" s="254"/>
      <c r="B29" s="254" t="s">
        <v>2735</v>
      </c>
      <c r="C29" s="254"/>
      <c r="D29" s="88" t="s">
        <v>2489</v>
      </c>
      <c r="E29" s="204" t="s">
        <v>1844</v>
      </c>
      <c r="F29" s="202">
        <v>0.15</v>
      </c>
      <c r="G29" s="202"/>
      <c r="H29" s="202">
        <v>2.8439999999999999</v>
      </c>
      <c r="I29" s="202"/>
      <c r="J29" s="202"/>
      <c r="K29" s="88"/>
      <c r="L29" s="88"/>
      <c r="M29" s="88"/>
      <c r="N29" s="88"/>
    </row>
    <row r="30" spans="1:14" ht="15" customHeight="1">
      <c r="A30" s="254"/>
      <c r="B30" s="254" t="s">
        <v>2736</v>
      </c>
      <c r="C30" s="254"/>
      <c r="D30" s="88"/>
      <c r="E30" s="204" t="s">
        <v>1844</v>
      </c>
      <c r="F30" s="202">
        <v>6.5000000000000002E-2</v>
      </c>
      <c r="G30" s="202"/>
      <c r="H30" s="202">
        <v>1.44</v>
      </c>
      <c r="I30" s="202"/>
      <c r="J30" s="202"/>
      <c r="K30" s="88"/>
      <c r="L30" s="88"/>
      <c r="M30" s="88"/>
      <c r="N30" s="88"/>
    </row>
    <row r="31" spans="1:14" ht="15" customHeight="1">
      <c r="A31" s="88"/>
      <c r="B31" s="88" t="s">
        <v>1820</v>
      </c>
      <c r="C31" s="254"/>
      <c r="D31" s="88" t="s">
        <v>2414</v>
      </c>
      <c r="E31" s="204" t="s">
        <v>1844</v>
      </c>
      <c r="F31" s="201">
        <f>F9/3.6</f>
        <v>4.1119408333333335E-3</v>
      </c>
      <c r="G31" s="201"/>
      <c r="H31" s="201">
        <f>H9/3.6</f>
        <v>6.1364736111111109E-2</v>
      </c>
      <c r="I31" s="201"/>
      <c r="J31" s="201"/>
      <c r="K31" s="88"/>
      <c r="L31" s="104"/>
      <c r="M31" s="88"/>
      <c r="N31" s="88"/>
    </row>
    <row r="32" spans="1:14" ht="15" customHeight="1">
      <c r="A32" s="214">
        <v>977</v>
      </c>
      <c r="B32" s="88" t="s">
        <v>1821</v>
      </c>
      <c r="C32" s="254" t="s">
        <v>2491</v>
      </c>
      <c r="D32" s="88" t="s">
        <v>2492</v>
      </c>
      <c r="E32" s="204" t="s">
        <v>1844</v>
      </c>
      <c r="F32" s="201">
        <f>0.065427467/3.6</f>
        <v>1.8174296388888889E-2</v>
      </c>
      <c r="G32" s="201"/>
      <c r="H32" s="201">
        <f>1.0643403/3.6</f>
        <v>0.29565008333333331</v>
      </c>
      <c r="I32" s="201"/>
      <c r="J32" s="201"/>
      <c r="K32" s="88"/>
      <c r="L32" s="88"/>
      <c r="M32" s="88"/>
      <c r="N32" s="88"/>
    </row>
    <row r="33" spans="1:14" ht="15" customHeight="1">
      <c r="A33" s="459"/>
      <c r="B33" s="88" t="s">
        <v>2406</v>
      </c>
      <c r="C33" s="254"/>
      <c r="D33" s="254"/>
      <c r="E33" s="204" t="s">
        <v>1844</v>
      </c>
      <c r="F33" s="201">
        <v>5.5555555555555558E-3</v>
      </c>
      <c r="G33" s="201"/>
      <c r="H33" s="201">
        <v>6.1111111111111109E-2</v>
      </c>
      <c r="I33" s="201"/>
      <c r="J33" s="201"/>
      <c r="K33" s="88"/>
      <c r="L33" s="88"/>
      <c r="M33" s="88"/>
      <c r="N33" s="88"/>
    </row>
    <row r="34" spans="1:14" ht="15" customHeight="1">
      <c r="A34" s="459"/>
      <c r="B34" s="88" t="s">
        <v>2405</v>
      </c>
      <c r="C34" s="254"/>
      <c r="D34" s="254"/>
      <c r="E34" s="204" t="s">
        <v>1844</v>
      </c>
      <c r="F34" s="201">
        <f>0.065427467/3.6</f>
        <v>1.8174296388888889E-2</v>
      </c>
      <c r="G34" s="201"/>
      <c r="H34" s="201">
        <f>1.0643403/3.6</f>
        <v>0.29565008333333331</v>
      </c>
      <c r="I34" s="201"/>
      <c r="J34" s="201"/>
      <c r="K34" s="88"/>
      <c r="L34" s="88"/>
      <c r="M34" s="88"/>
      <c r="N34" s="88"/>
    </row>
    <row r="35" spans="1:14" ht="15" customHeight="1">
      <c r="A35" s="88"/>
      <c r="B35" s="254" t="s">
        <v>1822</v>
      </c>
      <c r="C35" s="254"/>
      <c r="D35" s="459" t="s">
        <v>1875</v>
      </c>
      <c r="E35" s="204" t="s">
        <v>1844</v>
      </c>
      <c r="F35" s="203" t="e">
        <f>VLOOKUP("GWPSTROM",Energie,8,0)</f>
        <v>#N/A</v>
      </c>
      <c r="G35" s="202"/>
      <c r="H35" s="203" t="e">
        <f>VLOOKUP("PESTROM",Energie,8,0)</f>
        <v>#N/A</v>
      </c>
      <c r="I35" s="202"/>
      <c r="J35" s="202"/>
      <c r="K35" s="88"/>
      <c r="L35" s="88"/>
      <c r="M35" s="88"/>
      <c r="N35" s="88"/>
    </row>
    <row r="36" spans="1:14" ht="15" customHeight="1">
      <c r="A36" s="88"/>
      <c r="B36" s="254" t="s">
        <v>1823</v>
      </c>
      <c r="C36" s="254"/>
      <c r="D36" s="459" t="s">
        <v>1875</v>
      </c>
      <c r="E36" s="204" t="s">
        <v>1844</v>
      </c>
      <c r="F36" s="203" t="e">
        <f>VLOOKUP("GWPSTROM",Energie,8,0)</f>
        <v>#N/A</v>
      </c>
      <c r="G36" s="202"/>
      <c r="H36" s="203" t="e">
        <f>VLOOKUP("PESTROM",Energie,8,0)</f>
        <v>#N/A</v>
      </c>
      <c r="I36" s="202"/>
      <c r="J36" s="202"/>
      <c r="K36" s="88"/>
      <c r="L36" s="88"/>
      <c r="M36" s="88"/>
      <c r="N36" s="88"/>
    </row>
    <row r="37" spans="1:14" ht="15" customHeight="1">
      <c r="A37" s="88"/>
      <c r="B37" s="254" t="s">
        <v>1824</v>
      </c>
      <c r="C37" s="254"/>
      <c r="D37" s="254" t="s">
        <v>1834</v>
      </c>
      <c r="E37" s="204" t="s">
        <v>1844</v>
      </c>
      <c r="F37" s="203" t="e">
        <f>VLOOKUP("GWPSTROM",Energie,8,0)</f>
        <v>#N/A</v>
      </c>
      <c r="G37" s="202"/>
      <c r="H37" s="203" t="e">
        <f>VLOOKUP("PESTROM",Energie,8,0)</f>
        <v>#N/A</v>
      </c>
      <c r="I37" s="202"/>
      <c r="J37" s="202"/>
      <c r="K37" s="88"/>
      <c r="L37" s="88"/>
      <c r="M37" s="88"/>
      <c r="N37" s="88"/>
    </row>
    <row r="38" spans="1:14" ht="15" customHeight="1">
      <c r="A38" s="88"/>
      <c r="B38" s="254" t="s">
        <v>1825</v>
      </c>
      <c r="C38" s="254"/>
      <c r="D38" s="254" t="s">
        <v>1834</v>
      </c>
      <c r="E38" s="204" t="s">
        <v>1844</v>
      </c>
      <c r="F38" s="203" t="e">
        <f>VLOOKUP("GWPSTROM",Energie,8,0)</f>
        <v>#N/A</v>
      </c>
      <c r="G38" s="202"/>
      <c r="H38" s="203" t="e">
        <f>VLOOKUP("PESTROM",Energie,8,0)</f>
        <v>#N/A</v>
      </c>
      <c r="I38" s="202"/>
      <c r="J38" s="202"/>
      <c r="K38" s="88"/>
      <c r="L38" s="88"/>
      <c r="M38" s="88"/>
      <c r="N38" s="88"/>
    </row>
    <row r="39" spans="1:14" ht="15" customHeight="1" thickBot="1">
      <c r="A39" s="254"/>
      <c r="B39" s="254" t="s">
        <v>1253</v>
      </c>
      <c r="C39" s="254"/>
      <c r="D39" s="254"/>
      <c r="E39" s="204"/>
      <c r="F39" s="201">
        <v>0</v>
      </c>
      <c r="G39" s="201"/>
      <c r="H39" s="201">
        <v>0</v>
      </c>
      <c r="I39" s="201"/>
      <c r="J39" s="201"/>
      <c r="K39" s="88"/>
      <c r="L39" s="88"/>
      <c r="M39" s="88"/>
      <c r="N39" s="88"/>
    </row>
    <row r="40" spans="1:14" ht="15" customHeight="1" thickBot="1">
      <c r="A40" s="254"/>
      <c r="B40" s="254" t="s">
        <v>1863</v>
      </c>
      <c r="C40" s="254"/>
      <c r="D40" s="254"/>
      <c r="E40" s="204" t="s">
        <v>1844</v>
      </c>
      <c r="F40" s="176"/>
      <c r="G40" s="176"/>
      <c r="H40" s="176"/>
      <c r="K40" s="176"/>
      <c r="L40" s="176"/>
      <c r="M40" s="88"/>
      <c r="N40" s="197"/>
    </row>
    <row r="41" spans="1:14" ht="15" customHeight="1" thickBot="1">
      <c r="A41" s="254"/>
      <c r="B41" s="254" t="s">
        <v>1870</v>
      </c>
      <c r="C41" s="254"/>
      <c r="D41" s="254"/>
      <c r="E41" s="204"/>
      <c r="F41" s="202">
        <v>0</v>
      </c>
      <c r="G41" s="202"/>
      <c r="H41" s="202">
        <v>0</v>
      </c>
      <c r="I41" s="202"/>
      <c r="J41" s="202"/>
      <c r="K41" s="88"/>
      <c r="L41" s="88"/>
      <c r="M41" s="88"/>
      <c r="N41" s="88"/>
    </row>
    <row r="42" spans="1:14" ht="15" customHeight="1" thickTop="1" thickBot="1">
      <c r="A42" s="66"/>
      <c r="B42" s="490"/>
      <c r="C42" s="488"/>
      <c r="D42" s="490"/>
      <c r="E42" s="491"/>
      <c r="F42" s="539"/>
      <c r="G42" s="556"/>
      <c r="H42" s="557"/>
      <c r="I42" s="539"/>
      <c r="J42" s="493"/>
      <c r="K42" s="493"/>
      <c r="L42" s="633" t="s">
        <v>2057</v>
      </c>
      <c r="M42" s="634"/>
      <c r="N42" s="635"/>
    </row>
    <row r="43" spans="1:14" ht="15" customHeight="1" thickTop="1">
      <c r="A43" s="66"/>
      <c r="B43" s="193"/>
      <c r="C43" s="193"/>
      <c r="D43" s="193"/>
      <c r="E43" s="193"/>
      <c r="F43" s="272"/>
      <c r="H43" s="272"/>
    </row>
    <row r="44" spans="1:14" ht="15" customHeight="1">
      <c r="A44" s="66"/>
      <c r="B44" s="193"/>
      <c r="C44" s="193"/>
      <c r="D44" s="193"/>
      <c r="E44" s="193"/>
      <c r="F44" s="272"/>
      <c r="H44" s="272"/>
    </row>
    <row r="45" spans="1:14" ht="15" customHeight="1">
      <c r="A45" s="66"/>
      <c r="B45" s="193"/>
      <c r="C45" s="193"/>
      <c r="D45" s="193"/>
      <c r="E45" s="193"/>
      <c r="F45" s="272"/>
      <c r="H45" s="272"/>
    </row>
    <row r="46" spans="1:14" ht="15" customHeight="1">
      <c r="B46" s="193"/>
      <c r="C46" s="193"/>
      <c r="D46" s="193"/>
      <c r="E46" s="193"/>
    </row>
  </sheetData>
  <sheetProtection password="FDAF" sheet="1" objects="1" scenarios="1" selectLockedCells="1"/>
  <mergeCells count="2">
    <mergeCell ref="L3:N3"/>
    <mergeCell ref="L42:N42"/>
  </mergeCells>
  <hyperlinks>
    <hyperlink ref="L3" location="Energie!L4" display="zurück zu &quot;Energie&quot;"/>
    <hyperlink ref="L42" location="Energie!L4" display="zurück zu &quot;Energie&quot;"/>
  </hyperlinks>
  <pageMargins left="0.70866141732283472" right="0.70866141732283472" top="0.78740157480314965" bottom="0.78740157480314965" header="0.31496062992125984" footer="0.31496062992125984"/>
  <pageSetup paperSize="8" fitToWidth="0" fitToHeight="0" orientation="landscape" r:id="rId1"/>
  <headerFooter>
    <oddFooter>&amp;L&amp;F&amp;C&amp;A&amp;R&amp;P von &amp;N</oddFooter>
  </headerFooter>
</worksheet>
</file>

<file path=xl/worksheets/sheet23.xml><?xml version="1.0" encoding="utf-8"?>
<worksheet xmlns="http://schemas.openxmlformats.org/spreadsheetml/2006/main" xmlns:r="http://schemas.openxmlformats.org/officeDocument/2006/relationships">
  <sheetPr>
    <tabColor theme="7" tint="0.59999389629810485"/>
    <pageSetUpPr fitToPage="1"/>
  </sheetPr>
  <dimension ref="A1:O33"/>
  <sheetViews>
    <sheetView zoomScaleNormal="100" workbookViewId="0">
      <pane xSplit="5" ySplit="3" topLeftCell="F4" activePane="bottomRight" state="frozenSplit"/>
      <selection activeCell="C23" sqref="C23:M24"/>
      <selection pane="topRight" activeCell="C23" sqref="C23:M24"/>
      <selection pane="bottomLeft" activeCell="C23" sqref="C23:M24"/>
      <selection pane="bottomRight" activeCell="M5" sqref="M5"/>
    </sheetView>
  </sheetViews>
  <sheetFormatPr baseColWidth="10" defaultRowHeight="15" customHeight="1" outlineLevelCol="1"/>
  <cols>
    <col min="1" max="1" width="14.6640625" style="23" hidden="1" customWidth="1" outlineLevel="1"/>
    <col min="2" max="2" width="33.6640625" style="23" customWidth="1" collapsed="1"/>
    <col min="3" max="3" width="57.6640625" style="23" hidden="1" customWidth="1" outlineLevel="1"/>
    <col min="4" max="4" width="56.33203125" style="23" hidden="1" customWidth="1" outlineLevel="1"/>
    <col min="5" max="5" width="18.83203125" style="23" bestFit="1" customWidth="1" collapsed="1"/>
    <col min="6" max="6" width="12" style="23"/>
    <col min="7" max="7" width="12" style="23" hidden="1" customWidth="1" outlineLevel="1"/>
    <col min="8" max="8" width="12" style="273" collapsed="1"/>
    <col min="9" max="9" width="6.83203125" style="23" customWidth="1"/>
    <col min="10" max="10" width="26.33203125" style="23" bestFit="1" customWidth="1"/>
    <col min="11" max="11" width="12.5" style="273" bestFit="1" customWidth="1"/>
    <col min="12" max="12" width="12.83203125" style="273" hidden="1" customWidth="1" outlineLevel="1"/>
    <col min="13" max="13" width="12.83203125" style="273" customWidth="1" collapsed="1"/>
    <col min="14" max="14" width="38.5" style="23" hidden="1" customWidth="1" outlineLevel="1"/>
    <col min="15" max="15" width="12" style="23" collapsed="1"/>
    <col min="16" max="16384" width="12" style="23"/>
  </cols>
  <sheetData>
    <row r="1" spans="1:15" s="246" customFormat="1" ht="15" customHeight="1">
      <c r="A1" s="239" t="s">
        <v>102</v>
      </c>
      <c r="B1" s="240" t="s">
        <v>2508</v>
      </c>
      <c r="C1" s="239" t="s">
        <v>2509</v>
      </c>
      <c r="D1" s="240" t="s">
        <v>89</v>
      </c>
      <c r="E1" s="241" t="s">
        <v>2510</v>
      </c>
      <c r="F1" s="242" t="s">
        <v>1990</v>
      </c>
      <c r="G1" s="243" t="s">
        <v>1839</v>
      </c>
      <c r="H1" s="244" t="s">
        <v>1525</v>
      </c>
      <c r="I1" s="244"/>
      <c r="J1" s="487" t="s">
        <v>2511</v>
      </c>
      <c r="K1" s="487"/>
      <c r="L1" s="487"/>
      <c r="M1" s="487"/>
      <c r="N1" s="245" t="s">
        <v>2512</v>
      </c>
    </row>
    <row r="2" spans="1:15" s="246" customFormat="1" ht="15" customHeight="1" thickBot="1">
      <c r="A2" s="247" t="s">
        <v>1317</v>
      </c>
      <c r="B2" s="248" t="s">
        <v>1317</v>
      </c>
      <c r="C2" s="247" t="s">
        <v>1317</v>
      </c>
      <c r="D2" s="248"/>
      <c r="E2" s="249" t="s">
        <v>1317</v>
      </c>
      <c r="F2" s="250" t="s">
        <v>1311</v>
      </c>
      <c r="G2" s="251" t="s">
        <v>1312</v>
      </c>
      <c r="H2" s="252" t="s">
        <v>1313</v>
      </c>
      <c r="I2" s="252"/>
      <c r="J2" s="252"/>
      <c r="K2" s="253" t="s">
        <v>1207</v>
      </c>
      <c r="L2" s="253" t="s">
        <v>2513</v>
      </c>
      <c r="M2" s="253" t="s">
        <v>1206</v>
      </c>
      <c r="N2" s="253"/>
    </row>
    <row r="3" spans="1:15" s="246" customFormat="1" ht="15" hidden="1" customHeight="1" thickBot="1">
      <c r="A3" s="277"/>
      <c r="B3" s="88" t="s">
        <v>2071</v>
      </c>
      <c r="C3" s="280"/>
      <c r="D3" s="279"/>
      <c r="E3" s="281"/>
      <c r="F3" s="282"/>
      <c r="G3" s="283"/>
      <c r="H3" s="284"/>
      <c r="I3" s="284"/>
      <c r="J3" s="284"/>
      <c r="K3" s="285"/>
      <c r="L3" s="285"/>
      <c r="M3" s="285"/>
      <c r="N3" s="278"/>
    </row>
    <row r="4" spans="1:15" s="246" customFormat="1" ht="15" customHeight="1" thickTop="1" thickBot="1">
      <c r="A4" s="277"/>
      <c r="B4" s="234"/>
      <c r="C4" s="280"/>
      <c r="D4" s="279"/>
      <c r="E4" s="234"/>
      <c r="F4" s="234"/>
      <c r="G4" s="234"/>
      <c r="H4" s="234"/>
      <c r="I4" s="234"/>
      <c r="J4" s="608" t="s">
        <v>2682</v>
      </c>
      <c r="K4" s="608"/>
      <c r="L4" s="608"/>
      <c r="M4" s="608"/>
      <c r="N4" s="278"/>
    </row>
    <row r="5" spans="1:15" ht="15" customHeight="1" thickTop="1" thickBot="1">
      <c r="A5" s="254"/>
      <c r="B5" s="254" t="s">
        <v>2514</v>
      </c>
      <c r="C5" s="254" t="s">
        <v>2515</v>
      </c>
      <c r="D5" s="254"/>
      <c r="E5" s="204" t="s">
        <v>2516</v>
      </c>
      <c r="F5" s="255">
        <v>0.193</v>
      </c>
      <c r="G5" s="256"/>
      <c r="H5" s="257">
        <v>3.0219999999999998</v>
      </c>
      <c r="I5" s="204"/>
      <c r="J5" s="214" t="s">
        <v>2657</v>
      </c>
      <c r="K5" s="258">
        <f t="shared" ref="K5:K9" si="0">IF(M5="",L5,M5)</f>
        <v>0.43</v>
      </c>
      <c r="L5" s="81">
        <v>0.43</v>
      </c>
      <c r="M5" s="85"/>
      <c r="N5" s="259" t="s">
        <v>2518</v>
      </c>
    </row>
    <row r="6" spans="1:15" ht="15" customHeight="1" thickBot="1">
      <c r="A6" s="260"/>
      <c r="B6" s="254" t="s">
        <v>2519</v>
      </c>
      <c r="C6" s="260" t="s">
        <v>2520</v>
      </c>
      <c r="D6" s="261"/>
      <c r="E6" s="204" t="s">
        <v>2516</v>
      </c>
      <c r="F6" s="255">
        <v>0.17</v>
      </c>
      <c r="G6" s="256"/>
      <c r="H6" s="257">
        <v>2.6949999999999998</v>
      </c>
      <c r="I6" s="204"/>
      <c r="J6" s="214" t="s">
        <v>2657</v>
      </c>
      <c r="K6" s="258">
        <f t="shared" si="0"/>
        <v>0.56999999999999995</v>
      </c>
      <c r="L6" s="81">
        <v>0.56999999999999995</v>
      </c>
      <c r="M6" s="85"/>
      <c r="N6" s="259" t="s">
        <v>2518</v>
      </c>
    </row>
    <row r="7" spans="1:15" ht="15" customHeight="1" thickBot="1">
      <c r="A7" s="260"/>
      <c r="B7" s="254" t="s">
        <v>2521</v>
      </c>
      <c r="C7" s="260" t="s">
        <v>2522</v>
      </c>
      <c r="D7" s="261"/>
      <c r="E7" s="204" t="s">
        <v>2516</v>
      </c>
      <c r="F7" s="255">
        <v>5.1999999999999998E-2</v>
      </c>
      <c r="G7" s="256"/>
      <c r="H7" s="257">
        <v>1.163</v>
      </c>
      <c r="I7" s="204"/>
      <c r="J7" s="214" t="s">
        <v>2657</v>
      </c>
      <c r="K7" s="258">
        <f t="shared" si="0"/>
        <v>2E-3</v>
      </c>
      <c r="L7" s="81">
        <v>2E-3</v>
      </c>
      <c r="M7" s="85"/>
      <c r="N7" s="259" t="s">
        <v>2518</v>
      </c>
    </row>
    <row r="8" spans="1:15" ht="15" customHeight="1" thickBot="1">
      <c r="A8" s="260"/>
      <c r="B8" s="254" t="s">
        <v>2523</v>
      </c>
      <c r="C8" s="260" t="s">
        <v>2524</v>
      </c>
      <c r="D8" s="261"/>
      <c r="E8" s="204" t="s">
        <v>2516</v>
      </c>
      <c r="F8" s="255">
        <v>0.16500000000000001</v>
      </c>
      <c r="G8" s="256"/>
      <c r="H8" s="257">
        <v>3.101</v>
      </c>
      <c r="I8" s="204"/>
      <c r="J8" s="214" t="s">
        <v>2657</v>
      </c>
      <c r="K8" s="258">
        <f t="shared" si="0"/>
        <v>0</v>
      </c>
      <c r="L8" s="81">
        <v>0</v>
      </c>
      <c r="M8" s="85"/>
      <c r="N8" s="259" t="s">
        <v>2518</v>
      </c>
    </row>
    <row r="9" spans="1:15" ht="15" customHeight="1" thickBot="1">
      <c r="A9" s="260"/>
      <c r="B9" s="234" t="s">
        <v>2517</v>
      </c>
      <c r="C9" s="262"/>
      <c r="D9" s="263"/>
      <c r="E9" s="264" t="s">
        <v>2516</v>
      </c>
      <c r="F9" s="265">
        <f>SUMPRODUCT(F5:F8,$K5:$K8)/SUM($K5:$K8)</f>
        <v>0.17963473053892215</v>
      </c>
      <c r="G9" s="266"/>
      <c r="H9" s="265">
        <f>SUMPRODUCT(H5:H8,$K5:$K8)/SUM($K5:$K8)</f>
        <v>2.8322714570858278</v>
      </c>
      <c r="I9" s="264"/>
      <c r="J9" s="486" t="s">
        <v>2658</v>
      </c>
      <c r="K9" s="258">
        <f t="shared" si="0"/>
        <v>0.5</v>
      </c>
      <c r="L9" s="81">
        <v>0.5</v>
      </c>
      <c r="M9" s="85"/>
      <c r="N9" s="89"/>
    </row>
    <row r="10" spans="1:15" ht="15" customHeight="1" thickBot="1">
      <c r="A10" s="254"/>
      <c r="B10" s="88" t="s">
        <v>2525</v>
      </c>
      <c r="C10" s="254"/>
      <c r="D10" s="254"/>
      <c r="E10" s="204" t="s">
        <v>2516</v>
      </c>
      <c r="F10" s="176"/>
      <c r="H10" s="90"/>
      <c r="I10" s="204"/>
      <c r="J10" s="204"/>
      <c r="K10" s="142"/>
      <c r="L10" s="142"/>
      <c r="M10" s="142"/>
      <c r="N10" s="89"/>
    </row>
    <row r="11" spans="1:15" ht="15" customHeight="1" thickBot="1">
      <c r="A11" s="254"/>
      <c r="B11" s="88"/>
      <c r="C11" s="254"/>
      <c r="D11" s="254"/>
      <c r="E11" s="204"/>
      <c r="F11" s="204"/>
      <c r="G11" s="204"/>
      <c r="H11" s="204"/>
      <c r="I11" s="204"/>
      <c r="J11" s="204"/>
      <c r="K11" s="142"/>
      <c r="L11" s="142"/>
      <c r="M11" s="142"/>
      <c r="N11" s="89"/>
    </row>
    <row r="12" spans="1:15" ht="15" hidden="1" customHeight="1" thickBot="1">
      <c r="A12" s="254"/>
      <c r="B12" s="88" t="s">
        <v>2071</v>
      </c>
      <c r="C12" s="254"/>
      <c r="D12" s="254"/>
      <c r="E12" s="204"/>
      <c r="F12" s="204"/>
      <c r="G12" s="204"/>
      <c r="H12" s="204"/>
      <c r="I12" s="204"/>
      <c r="J12" s="204"/>
      <c r="K12" s="142"/>
      <c r="L12" s="142"/>
      <c r="M12" s="142"/>
      <c r="N12" s="89"/>
    </row>
    <row r="13" spans="1:15" ht="15" customHeight="1" thickBot="1">
      <c r="A13" s="260"/>
      <c r="B13" s="254" t="s">
        <v>2526</v>
      </c>
      <c r="C13" s="260" t="s">
        <v>2527</v>
      </c>
      <c r="D13" s="261"/>
      <c r="E13" s="204" t="s">
        <v>2516</v>
      </c>
      <c r="F13" s="255">
        <v>6.2E-2</v>
      </c>
      <c r="G13" s="256"/>
      <c r="H13" s="257">
        <v>0.89800000000000002</v>
      </c>
      <c r="I13" s="204"/>
      <c r="J13" s="214" t="s">
        <v>2659</v>
      </c>
      <c r="K13" s="258">
        <f t="shared" ref="K13:K17" si="1">IF(M13="",L13,M13)</f>
        <v>0.2</v>
      </c>
      <c r="L13" s="81">
        <v>0.2</v>
      </c>
      <c r="M13" s="85"/>
      <c r="N13" s="259" t="s">
        <v>2529</v>
      </c>
    </row>
    <row r="14" spans="1:15" ht="15" customHeight="1" thickBot="1">
      <c r="A14" s="88"/>
      <c r="B14" s="254" t="s">
        <v>2530</v>
      </c>
      <c r="C14" s="254" t="s">
        <v>2531</v>
      </c>
      <c r="D14" s="254"/>
      <c r="E14" s="204" t="s">
        <v>2516</v>
      </c>
      <c r="F14" s="267">
        <v>0.104</v>
      </c>
      <c r="G14" s="267"/>
      <c r="H14" s="268">
        <v>1.5549999999999999</v>
      </c>
      <c r="I14" s="204"/>
      <c r="J14" s="214" t="s">
        <v>2659</v>
      </c>
      <c r="K14" s="258">
        <f t="shared" si="1"/>
        <v>0.1</v>
      </c>
      <c r="L14" s="81">
        <v>0.1</v>
      </c>
      <c r="M14" s="85"/>
      <c r="N14" s="259" t="s">
        <v>2529</v>
      </c>
    </row>
    <row r="15" spans="1:15" ht="15" customHeight="1" thickBot="1">
      <c r="A15" s="88"/>
      <c r="B15" s="88" t="s">
        <v>2532</v>
      </c>
      <c r="C15" s="254" t="s">
        <v>2533</v>
      </c>
      <c r="D15" s="254"/>
      <c r="E15" s="204" t="s">
        <v>2516</v>
      </c>
      <c r="F15" s="267">
        <v>2.5999999999999999E-2</v>
      </c>
      <c r="G15" s="267"/>
      <c r="H15" s="268">
        <v>0.98</v>
      </c>
      <c r="I15" s="204"/>
      <c r="J15" s="214" t="s">
        <v>2659</v>
      </c>
      <c r="K15" s="258">
        <f t="shared" si="1"/>
        <v>0.55999999999999994</v>
      </c>
      <c r="L15" s="81">
        <f>0.8*0.7</f>
        <v>0.55999999999999994</v>
      </c>
      <c r="M15" s="85"/>
      <c r="N15" s="259" t="s">
        <v>2534</v>
      </c>
      <c r="O15" s="269"/>
    </row>
    <row r="16" spans="1:15" ht="15" customHeight="1" thickBot="1">
      <c r="A16" s="260"/>
      <c r="B16" s="254" t="s">
        <v>2535</v>
      </c>
      <c r="C16" s="260" t="s">
        <v>2536</v>
      </c>
      <c r="D16" s="261"/>
      <c r="E16" s="204" t="s">
        <v>2516</v>
      </c>
      <c r="F16" s="255">
        <v>2.5000000000000001E-2</v>
      </c>
      <c r="G16" s="256"/>
      <c r="H16" s="257">
        <v>1.1930000000000001</v>
      </c>
      <c r="I16" s="204"/>
      <c r="J16" s="214" t="s">
        <v>2659</v>
      </c>
      <c r="K16" s="258">
        <f t="shared" si="1"/>
        <v>0.13999999999999999</v>
      </c>
      <c r="L16" s="81">
        <f>0.2*0.7</f>
        <v>0.13999999999999999</v>
      </c>
      <c r="M16" s="85"/>
      <c r="N16" s="259" t="s">
        <v>2534</v>
      </c>
      <c r="O16" s="269"/>
    </row>
    <row r="17" spans="1:14" ht="15" customHeight="1" thickBot="1">
      <c r="A17" s="260"/>
      <c r="B17" s="234" t="s">
        <v>2528</v>
      </c>
      <c r="C17" s="262"/>
      <c r="D17" s="263"/>
      <c r="E17" s="264" t="s">
        <v>2516</v>
      </c>
      <c r="F17" s="265">
        <f>SUMPRODUCT(F13:F16,$K13:$K16)/SUM($K13:$K16)</f>
        <v>4.0859999999999994E-2</v>
      </c>
      <c r="G17" s="266"/>
      <c r="H17" s="265">
        <f>SUMPRODUCT(H13:H16,$K13:$K16)/SUM($K13:$K16)</f>
        <v>1.0509199999999999</v>
      </c>
      <c r="I17" s="264"/>
      <c r="J17" s="486" t="s">
        <v>2658</v>
      </c>
      <c r="K17" s="258">
        <f t="shared" si="1"/>
        <v>0.5</v>
      </c>
      <c r="L17" s="81">
        <f>1-K9</f>
        <v>0.5</v>
      </c>
      <c r="M17" s="85"/>
      <c r="N17" s="89"/>
    </row>
    <row r="18" spans="1:14" ht="15" customHeight="1" thickBot="1">
      <c r="A18" s="260"/>
      <c r="B18" s="270" t="s">
        <v>2537</v>
      </c>
      <c r="C18" s="260"/>
      <c r="D18" s="261"/>
      <c r="E18" s="204" t="s">
        <v>2516</v>
      </c>
      <c r="F18" s="176"/>
      <c r="H18" s="90"/>
      <c r="I18" s="204"/>
      <c r="J18" s="204"/>
      <c r="K18" s="142"/>
      <c r="L18" s="142"/>
      <c r="M18" s="142"/>
      <c r="N18" s="89"/>
    </row>
    <row r="19" spans="1:14" ht="15" customHeight="1">
      <c r="A19" s="260"/>
      <c r="B19" s="270"/>
      <c r="C19" s="260"/>
      <c r="D19" s="261"/>
      <c r="E19" s="204"/>
      <c r="F19" s="204"/>
      <c r="G19" s="204"/>
      <c r="H19" s="204"/>
      <c r="I19" s="204"/>
      <c r="J19" s="204"/>
      <c r="K19" s="142"/>
      <c r="L19" s="142"/>
      <c r="M19" s="142"/>
      <c r="N19" s="89"/>
    </row>
    <row r="20" spans="1:14" ht="15" hidden="1" customHeight="1">
      <c r="A20" s="260"/>
      <c r="B20" s="88" t="s">
        <v>2071</v>
      </c>
      <c r="C20" s="260"/>
      <c r="D20" s="261"/>
      <c r="E20" s="204"/>
      <c r="F20" s="204"/>
      <c r="G20" s="204"/>
      <c r="H20" s="204"/>
      <c r="I20" s="204"/>
      <c r="J20" s="204"/>
      <c r="K20" s="142"/>
      <c r="L20" s="142"/>
      <c r="M20" s="142"/>
      <c r="N20" s="89"/>
    </row>
    <row r="21" spans="1:14" ht="15" customHeight="1" thickBot="1">
      <c r="A21" s="260"/>
      <c r="B21" s="489" t="s">
        <v>2122</v>
      </c>
      <c r="C21" s="488"/>
      <c r="D21" s="490"/>
      <c r="E21" s="491" t="s">
        <v>2516</v>
      </c>
      <c r="F21" s="265">
        <f>(F9*K9+F17*K17)/(K9+K17)</f>
        <v>0.11024736526946108</v>
      </c>
      <c r="G21" s="266"/>
      <c r="H21" s="265">
        <f>(H9*K9+H17*K17)/(K9+K17)</f>
        <v>1.941595728542914</v>
      </c>
      <c r="I21" s="491"/>
      <c r="J21" s="491"/>
      <c r="K21" s="492"/>
      <c r="L21" s="492"/>
      <c r="M21" s="492"/>
      <c r="N21" s="89"/>
    </row>
    <row r="22" spans="1:14" ht="15" customHeight="1" thickBot="1">
      <c r="A22" s="260"/>
      <c r="B22" s="270" t="s">
        <v>2538</v>
      </c>
      <c r="C22" s="260"/>
      <c r="D22" s="261"/>
      <c r="E22" s="204"/>
      <c r="F22" s="176"/>
      <c r="H22" s="90"/>
      <c r="I22" s="204"/>
      <c r="J22" s="204"/>
      <c r="K22" s="142"/>
      <c r="L22" s="142"/>
      <c r="M22" s="142"/>
      <c r="N22" s="89"/>
    </row>
    <row r="23" spans="1:14" ht="15" customHeight="1">
      <c r="A23" s="260"/>
      <c r="B23" s="270"/>
      <c r="C23" s="260"/>
      <c r="D23" s="261"/>
      <c r="E23" s="204"/>
      <c r="F23" s="204"/>
      <c r="G23" s="204"/>
      <c r="H23" s="204"/>
      <c r="I23" s="204"/>
      <c r="J23" s="204"/>
      <c r="K23" s="142"/>
      <c r="L23" s="142"/>
      <c r="M23" s="142"/>
      <c r="N23" s="89"/>
    </row>
    <row r="24" spans="1:14" ht="15" hidden="1" customHeight="1">
      <c r="A24" s="260"/>
      <c r="B24" s="88" t="s">
        <v>2071</v>
      </c>
      <c r="C24" s="260"/>
      <c r="D24" s="261"/>
      <c r="E24" s="204"/>
      <c r="F24" s="204"/>
      <c r="G24" s="204"/>
      <c r="H24" s="204"/>
      <c r="I24" s="204"/>
      <c r="J24" s="204"/>
      <c r="K24" s="142"/>
      <c r="L24" s="142"/>
      <c r="M24" s="142"/>
      <c r="N24" s="89"/>
    </row>
    <row r="25" spans="1:14" ht="15" customHeight="1" thickBot="1">
      <c r="A25" s="254"/>
      <c r="B25" s="493" t="s">
        <v>2539</v>
      </c>
      <c r="C25" s="493" t="s">
        <v>2540</v>
      </c>
      <c r="D25" s="493"/>
      <c r="E25" s="491" t="s">
        <v>2541</v>
      </c>
      <c r="F25" s="494">
        <v>3.3039999999999998</v>
      </c>
      <c r="G25" s="494"/>
      <c r="H25" s="495">
        <v>46.594999999999999</v>
      </c>
      <c r="I25" s="491"/>
      <c r="J25" s="491"/>
      <c r="K25" s="492"/>
      <c r="L25" s="492"/>
      <c r="M25" s="492"/>
      <c r="N25" s="89"/>
    </row>
    <row r="26" spans="1:14" ht="15" customHeight="1" thickBot="1">
      <c r="A26" s="88"/>
      <c r="B26" s="270" t="s">
        <v>2542</v>
      </c>
      <c r="C26" s="260"/>
      <c r="D26" s="261"/>
      <c r="E26" s="271" t="s">
        <v>2541</v>
      </c>
      <c r="F26" s="176"/>
      <c r="H26" s="90"/>
      <c r="I26" s="204"/>
      <c r="J26" s="204"/>
      <c r="K26" s="142"/>
      <c r="L26" s="142"/>
      <c r="M26" s="142"/>
      <c r="N26" s="89"/>
    </row>
    <row r="27" spans="1:14" ht="15" customHeight="1" thickTop="1" thickBot="1">
      <c r="A27" s="260"/>
      <c r="B27" s="491"/>
      <c r="C27" s="491"/>
      <c r="D27" s="491"/>
      <c r="E27" s="491"/>
      <c r="F27" s="491"/>
      <c r="G27" s="491"/>
      <c r="H27" s="491"/>
      <c r="I27" s="491"/>
      <c r="J27" s="608" t="s">
        <v>2682</v>
      </c>
      <c r="K27" s="608"/>
      <c r="L27" s="608"/>
      <c r="M27" s="608"/>
      <c r="N27" s="89"/>
    </row>
    <row r="28" spans="1:14" s="193" customFormat="1" ht="15" customHeight="1" thickTop="1"/>
    <row r="29" spans="1:14" s="193" customFormat="1" ht="15" customHeight="1"/>
    <row r="30" spans="1:14" s="193" customFormat="1" ht="15" customHeight="1"/>
    <row r="31" spans="1:14" s="193" customFormat="1" ht="15" customHeight="1"/>
    <row r="32" spans="1:14" s="193" customFormat="1" ht="15" customHeight="1"/>
    <row r="33" s="193" customFormat="1" ht="15" customHeight="1"/>
  </sheetData>
  <sheetProtection password="FDAF" sheet="1" objects="1" scenarios="1" selectLockedCells="1"/>
  <mergeCells count="2">
    <mergeCell ref="J27:M27"/>
    <mergeCell ref="J4:M4"/>
  </mergeCells>
  <hyperlinks>
    <hyperlink ref="J27:M27" location="Dienstleistungen!I25" display="zurück zu &quot;Dienstleistungen&quot;"/>
    <hyperlink ref="J4:M4" location="Dienstleistungen!I25" display="zurück zu &quot;Dienstleistungen&quot;"/>
  </hyperlinks>
  <pageMargins left="0.70866141732283472" right="0.70866141732283472" top="0.78740157480314965" bottom="0.78740157480314965" header="0.31496062992125984" footer="0.31496062992125984"/>
  <pageSetup paperSize="8" fitToHeight="0" orientation="landscape" r:id="rId1"/>
  <headerFooter>
    <oddFooter>&amp;L&amp;F&amp;C&amp;A&amp;R&amp;P von &amp;N</oddFooter>
  </headerFooter>
  <legacyDrawing r:id="rId2"/>
</worksheet>
</file>

<file path=xl/worksheets/sheet24.xml><?xml version="1.0" encoding="utf-8"?>
<worksheet xmlns="http://schemas.openxmlformats.org/spreadsheetml/2006/main" xmlns:r="http://schemas.openxmlformats.org/officeDocument/2006/relationships">
  <sheetPr codeName="Tabelle17">
    <tabColor theme="7" tint="0.59999389629810485"/>
    <pageSetUpPr fitToPage="1"/>
  </sheetPr>
  <dimension ref="A1:BI302"/>
  <sheetViews>
    <sheetView zoomScaleNormal="100" zoomScaleSheetLayoutView="85" workbookViewId="0">
      <pane xSplit="2" ySplit="3" topLeftCell="C4" activePane="bottomRight" state="frozenSplit"/>
      <selection pane="topRight" activeCell="C1" sqref="C1"/>
      <selection pane="bottomLeft" activeCell="A4" sqref="A4"/>
      <selection pane="bottomRight" activeCell="F10" sqref="F10:H10"/>
    </sheetView>
  </sheetViews>
  <sheetFormatPr baseColWidth="10" defaultRowHeight="12.95" customHeight="1" outlineLevelCol="1"/>
  <cols>
    <col min="1" max="1" width="45" style="399" bestFit="1" customWidth="1"/>
    <col min="2" max="2" width="13.83203125" style="399" bestFit="1" customWidth="1"/>
    <col min="3" max="3" width="4.5" style="500" hidden="1" customWidth="1" outlineLevel="1"/>
    <col min="4" max="4" width="30.1640625" style="399" hidden="1" customWidth="1" outlineLevel="1"/>
    <col min="5" max="5" width="14.83203125" style="550" customWidth="1" collapsed="1"/>
    <col min="6" max="6" width="12.83203125" style="551" bestFit="1" customWidth="1"/>
    <col min="7" max="12" width="12" style="399"/>
    <col min="13" max="14" width="12" style="500"/>
    <col min="15" max="15" width="16.1640625" style="500" bestFit="1" customWidth="1"/>
    <col min="16" max="16" width="12.6640625" style="500" bestFit="1" customWidth="1"/>
    <col min="17" max="17" width="12.5" style="500" bestFit="1" customWidth="1"/>
    <col min="18" max="18" width="12.1640625" style="500" bestFit="1" customWidth="1"/>
    <col min="19" max="59" width="12" style="399" hidden="1" customWidth="1" outlineLevel="1"/>
    <col min="60" max="60" width="12.1640625" style="399" bestFit="1" customWidth="1" collapsed="1"/>
    <col min="61" max="61" width="12.1640625" style="399" bestFit="1" customWidth="1"/>
    <col min="62" max="16384" width="12" style="193"/>
  </cols>
  <sheetData>
    <row r="1" spans="1:61" ht="12.95" customHeight="1">
      <c r="A1" s="200"/>
      <c r="B1" s="199"/>
      <c r="C1" s="447"/>
      <c r="D1" s="200"/>
      <c r="E1" s="639" t="s">
        <v>2668</v>
      </c>
      <c r="F1" s="504" t="s">
        <v>1281</v>
      </c>
      <c r="G1" s="637" t="s">
        <v>2660</v>
      </c>
      <c r="H1" s="637" t="s">
        <v>2661</v>
      </c>
      <c r="I1" s="637" t="s">
        <v>2662</v>
      </c>
      <c r="J1" s="637" t="s">
        <v>2663</v>
      </c>
      <c r="K1" s="637" t="s">
        <v>2664</v>
      </c>
      <c r="L1" s="637" t="s">
        <v>2665</v>
      </c>
      <c r="M1" s="447"/>
      <c r="N1" s="447" t="s">
        <v>1281</v>
      </c>
      <c r="O1" s="447" t="s">
        <v>1281</v>
      </c>
      <c r="P1" s="447" t="s">
        <v>1281</v>
      </c>
      <c r="Q1" s="447" t="s">
        <v>1281</v>
      </c>
      <c r="R1" s="447" t="s">
        <v>1281</v>
      </c>
      <c r="S1" s="200" t="s">
        <v>1281</v>
      </c>
      <c r="T1" s="200" t="s">
        <v>1281</v>
      </c>
      <c r="U1" s="200" t="s">
        <v>1281</v>
      </c>
      <c r="V1" s="200" t="s">
        <v>1281</v>
      </c>
      <c r="W1" s="200" t="s">
        <v>1285</v>
      </c>
      <c r="X1" s="200" t="s">
        <v>1285</v>
      </c>
      <c r="Y1" s="200" t="s">
        <v>1285</v>
      </c>
      <c r="Z1" s="200" t="s">
        <v>1285</v>
      </c>
      <c r="AA1" s="200" t="s">
        <v>1285</v>
      </c>
      <c r="AB1" s="200" t="s">
        <v>1285</v>
      </c>
      <c r="AC1" s="200" t="s">
        <v>1285</v>
      </c>
      <c r="AD1" s="200" t="s">
        <v>1282</v>
      </c>
      <c r="AE1" s="200" t="s">
        <v>1282</v>
      </c>
      <c r="AF1" s="200" t="s">
        <v>1282</v>
      </c>
      <c r="AG1" s="200" t="s">
        <v>1283</v>
      </c>
      <c r="AH1" s="200" t="s">
        <v>1283</v>
      </c>
      <c r="AI1" s="200" t="s">
        <v>1283</v>
      </c>
      <c r="AJ1" s="200" t="s">
        <v>1286</v>
      </c>
      <c r="AK1" s="200" t="s">
        <v>1286</v>
      </c>
      <c r="AL1" s="200" t="s">
        <v>1286</v>
      </c>
      <c r="AM1" s="200" t="s">
        <v>1286</v>
      </c>
      <c r="AN1" s="200" t="s">
        <v>1286</v>
      </c>
      <c r="AO1" s="200" t="s">
        <v>1286</v>
      </c>
      <c r="AP1" s="200" t="s">
        <v>1286</v>
      </c>
      <c r="AQ1" s="200" t="s">
        <v>1286</v>
      </c>
      <c r="AR1" s="200" t="s">
        <v>1287</v>
      </c>
      <c r="AS1" s="200" t="s">
        <v>1287</v>
      </c>
      <c r="AT1" s="200" t="s">
        <v>1287</v>
      </c>
      <c r="AU1" s="200" t="s">
        <v>1287</v>
      </c>
      <c r="AV1" s="200" t="s">
        <v>1287</v>
      </c>
      <c r="AW1" s="200" t="s">
        <v>1287</v>
      </c>
      <c r="AX1" s="200" t="s">
        <v>1287</v>
      </c>
      <c r="AY1" s="200" t="s">
        <v>1287</v>
      </c>
      <c r="AZ1" s="200" t="s">
        <v>1284</v>
      </c>
      <c r="BA1" s="200" t="s">
        <v>1284</v>
      </c>
      <c r="BB1" s="200" t="s">
        <v>1284</v>
      </c>
      <c r="BC1" s="200" t="s">
        <v>1284</v>
      </c>
      <c r="BD1" s="200" t="s">
        <v>1284</v>
      </c>
      <c r="BE1" s="200" t="s">
        <v>1284</v>
      </c>
      <c r="BF1" s="200" t="s">
        <v>1284</v>
      </c>
      <c r="BG1" s="200" t="s">
        <v>1284</v>
      </c>
      <c r="BH1" s="637" t="s">
        <v>2666</v>
      </c>
      <c r="BI1" s="637" t="s">
        <v>2667</v>
      </c>
    </row>
    <row r="2" spans="1:61" ht="12.95" customHeight="1">
      <c r="A2" s="200" t="s">
        <v>1280</v>
      </c>
      <c r="B2" s="200"/>
      <c r="C2" s="447" t="s">
        <v>1288</v>
      </c>
      <c r="D2" s="200" t="s">
        <v>1289</v>
      </c>
      <c r="E2" s="640"/>
      <c r="F2" s="504" t="s">
        <v>1290</v>
      </c>
      <c r="G2" s="641"/>
      <c r="H2" s="638"/>
      <c r="I2" s="638"/>
      <c r="J2" s="638"/>
      <c r="K2" s="638"/>
      <c r="L2" s="638"/>
      <c r="M2" s="447" t="s">
        <v>1291</v>
      </c>
      <c r="N2" s="447" t="s">
        <v>2669</v>
      </c>
      <c r="O2" s="447" t="s">
        <v>1293</v>
      </c>
      <c r="P2" s="447" t="s">
        <v>1294</v>
      </c>
      <c r="Q2" s="447" t="s">
        <v>1295</v>
      </c>
      <c r="R2" s="447" t="s">
        <v>1525</v>
      </c>
      <c r="S2" s="200" t="s">
        <v>1297</v>
      </c>
      <c r="T2" s="200" t="s">
        <v>1298</v>
      </c>
      <c r="U2" s="200" t="s">
        <v>1299</v>
      </c>
      <c r="V2" s="200" t="s">
        <v>1300</v>
      </c>
      <c r="W2" s="200" t="s">
        <v>1294</v>
      </c>
      <c r="X2" s="200" t="s">
        <v>1295</v>
      </c>
      <c r="Y2" s="200" t="s">
        <v>1296</v>
      </c>
      <c r="Z2" s="200" t="s">
        <v>1297</v>
      </c>
      <c r="AA2" s="200" t="s">
        <v>1298</v>
      </c>
      <c r="AB2" s="200" t="s">
        <v>1299</v>
      </c>
      <c r="AC2" s="200" t="s">
        <v>1300</v>
      </c>
      <c r="AD2" s="200" t="s">
        <v>1292</v>
      </c>
      <c r="AE2" s="200" t="s">
        <v>1295</v>
      </c>
      <c r="AF2" s="200" t="s">
        <v>1296</v>
      </c>
      <c r="AG2" s="200" t="s">
        <v>1292</v>
      </c>
      <c r="AH2" s="200" t="s">
        <v>1295</v>
      </c>
      <c r="AI2" s="200" t="s">
        <v>1296</v>
      </c>
      <c r="AJ2" s="200" t="s">
        <v>1301</v>
      </c>
      <c r="AK2" s="200" t="s">
        <v>1302</v>
      </c>
      <c r="AL2" s="200" t="s">
        <v>1303</v>
      </c>
      <c r="AM2" s="200" t="s">
        <v>1304</v>
      </c>
      <c r="AN2" s="200" t="s">
        <v>1305</v>
      </c>
      <c r="AO2" s="200" t="s">
        <v>1306</v>
      </c>
      <c r="AP2" s="200" t="s">
        <v>1307</v>
      </c>
      <c r="AQ2" s="200" t="s">
        <v>1308</v>
      </c>
      <c r="AR2" s="200" t="s">
        <v>1301</v>
      </c>
      <c r="AS2" s="200" t="s">
        <v>1302</v>
      </c>
      <c r="AT2" s="200" t="s">
        <v>1303</v>
      </c>
      <c r="AU2" s="200" t="s">
        <v>1304</v>
      </c>
      <c r="AV2" s="200" t="s">
        <v>1305</v>
      </c>
      <c r="AW2" s="200" t="s">
        <v>1306</v>
      </c>
      <c r="AX2" s="200" t="s">
        <v>1307</v>
      </c>
      <c r="AY2" s="200" t="s">
        <v>1308</v>
      </c>
      <c r="AZ2" s="200" t="s">
        <v>1301</v>
      </c>
      <c r="BA2" s="200" t="s">
        <v>1302</v>
      </c>
      <c r="BB2" s="200" t="s">
        <v>1303</v>
      </c>
      <c r="BC2" s="200" t="s">
        <v>1304</v>
      </c>
      <c r="BD2" s="200" t="s">
        <v>1305</v>
      </c>
      <c r="BE2" s="200" t="s">
        <v>1306</v>
      </c>
      <c r="BF2" s="200" t="s">
        <v>1307</v>
      </c>
      <c r="BG2" s="200" t="s">
        <v>1308</v>
      </c>
      <c r="BH2" s="638"/>
      <c r="BI2" s="638"/>
    </row>
    <row r="3" spans="1:61" ht="12.95" customHeight="1">
      <c r="A3" s="200" t="s">
        <v>1046</v>
      </c>
      <c r="B3" s="199" t="s">
        <v>1484</v>
      </c>
      <c r="C3" s="453"/>
      <c r="D3" s="199"/>
      <c r="E3" s="503" t="s">
        <v>1309</v>
      </c>
      <c r="F3" s="505"/>
      <c r="G3" s="447" t="s">
        <v>1036</v>
      </c>
      <c r="H3" s="447" t="s">
        <v>1310</v>
      </c>
      <c r="I3" s="447" t="s">
        <v>1310</v>
      </c>
      <c r="J3" s="447" t="s">
        <v>1310</v>
      </c>
      <c r="K3" s="447" t="s">
        <v>1310</v>
      </c>
      <c r="L3" s="447" t="s">
        <v>1310</v>
      </c>
      <c r="M3" s="453" t="s">
        <v>1310</v>
      </c>
      <c r="N3" s="453" t="s">
        <v>1311</v>
      </c>
      <c r="O3" s="453" t="s">
        <v>1311</v>
      </c>
      <c r="P3" s="453" t="s">
        <v>1311</v>
      </c>
      <c r="Q3" s="453" t="s">
        <v>1312</v>
      </c>
      <c r="R3" s="453" t="s">
        <v>1313</v>
      </c>
      <c r="S3" s="453" t="s">
        <v>1313</v>
      </c>
      <c r="T3" s="453" t="s">
        <v>1314</v>
      </c>
      <c r="U3" s="453" t="s">
        <v>1315</v>
      </c>
      <c r="V3" s="453" t="s">
        <v>1316</v>
      </c>
      <c r="W3" s="453" t="s">
        <v>1311</v>
      </c>
      <c r="X3" s="453" t="s">
        <v>1312</v>
      </c>
      <c r="Y3" s="453" t="s">
        <v>1313</v>
      </c>
      <c r="Z3" s="453" t="s">
        <v>1313</v>
      </c>
      <c r="AA3" s="453" t="s">
        <v>1314</v>
      </c>
      <c r="AB3" s="453" t="s">
        <v>1315</v>
      </c>
      <c r="AC3" s="453" t="s">
        <v>1316</v>
      </c>
      <c r="AD3" s="453" t="s">
        <v>1311</v>
      </c>
      <c r="AE3" s="453" t="s">
        <v>1312</v>
      </c>
      <c r="AF3" s="453" t="s">
        <v>1313</v>
      </c>
      <c r="AG3" s="453" t="s">
        <v>1311</v>
      </c>
      <c r="AH3" s="453" t="s">
        <v>1312</v>
      </c>
      <c r="AI3" s="453" t="s">
        <v>1313</v>
      </c>
      <c r="AJ3" s="453" t="s">
        <v>93</v>
      </c>
      <c r="AK3" s="453" t="s">
        <v>1317</v>
      </c>
      <c r="AL3" s="453" t="s">
        <v>1317</v>
      </c>
      <c r="AM3" s="453" t="s">
        <v>93</v>
      </c>
      <c r="AN3" s="453" t="s">
        <v>93</v>
      </c>
      <c r="AO3" s="453" t="s">
        <v>93</v>
      </c>
      <c r="AP3" s="453" t="s">
        <v>93</v>
      </c>
      <c r="AQ3" s="453" t="s">
        <v>1317</v>
      </c>
      <c r="AR3" s="453" t="s">
        <v>93</v>
      </c>
      <c r="AS3" s="453" t="s">
        <v>1317</v>
      </c>
      <c r="AT3" s="453" t="s">
        <v>1317</v>
      </c>
      <c r="AU3" s="453" t="s">
        <v>93</v>
      </c>
      <c r="AV3" s="453" t="s">
        <v>93</v>
      </c>
      <c r="AW3" s="453" t="s">
        <v>93</v>
      </c>
      <c r="AX3" s="453" t="s">
        <v>93</v>
      </c>
      <c r="AY3" s="453" t="s">
        <v>1317</v>
      </c>
      <c r="AZ3" s="453" t="s">
        <v>93</v>
      </c>
      <c r="BA3" s="453" t="s">
        <v>1317</v>
      </c>
      <c r="BB3" s="453" t="s">
        <v>1317</v>
      </c>
      <c r="BC3" s="453" t="s">
        <v>93</v>
      </c>
      <c r="BD3" s="453" t="s">
        <v>93</v>
      </c>
      <c r="BE3" s="453" t="s">
        <v>93</v>
      </c>
      <c r="BF3" s="453" t="s">
        <v>93</v>
      </c>
      <c r="BG3" s="453" t="s">
        <v>1317</v>
      </c>
      <c r="BH3" s="447" t="s">
        <v>1493</v>
      </c>
      <c r="BI3" s="447" t="s">
        <v>1493</v>
      </c>
    </row>
    <row r="4" spans="1:61" ht="12.95" customHeight="1">
      <c r="A4" s="254" t="s">
        <v>1487</v>
      </c>
      <c r="B4" s="254" t="s">
        <v>1493</v>
      </c>
      <c r="C4" s="204">
        <v>1</v>
      </c>
      <c r="D4" s="254" t="s">
        <v>1487</v>
      </c>
      <c r="E4" s="502">
        <v>1</v>
      </c>
      <c r="F4" s="501">
        <v>-36.083528212993002</v>
      </c>
      <c r="G4" s="506"/>
      <c r="H4" s="506"/>
      <c r="I4" s="506"/>
      <c r="J4" s="506"/>
      <c r="K4" s="506"/>
      <c r="L4" s="506"/>
      <c r="M4" s="506">
        <v>0</v>
      </c>
      <c r="N4" s="506">
        <v>0.18470541142706501</v>
      </c>
      <c r="O4" s="506">
        <v>-7.6551999999979707E-5</v>
      </c>
      <c r="P4" s="506">
        <v>0.18478196342706499</v>
      </c>
      <c r="Q4" s="506">
        <v>8.9131181331884E-4</v>
      </c>
      <c r="R4" s="506">
        <v>3.0053792998</v>
      </c>
      <c r="S4" s="506">
        <v>2.826537536</v>
      </c>
      <c r="T4" s="506">
        <v>1.04566667096009E-4</v>
      </c>
      <c r="U4" s="506">
        <v>2.3180177764375E-4</v>
      </c>
      <c r="V4" s="506">
        <v>2.8984735279203599E-8</v>
      </c>
      <c r="W4" s="506">
        <v>0</v>
      </c>
      <c r="X4" s="506">
        <v>0</v>
      </c>
      <c r="Y4" s="506">
        <v>0</v>
      </c>
      <c r="Z4" s="506">
        <v>0</v>
      </c>
      <c r="AA4" s="506">
        <v>0</v>
      </c>
      <c r="AB4" s="506">
        <v>0</v>
      </c>
      <c r="AC4" s="506">
        <v>0</v>
      </c>
      <c r="AD4" s="506">
        <v>0</v>
      </c>
      <c r="AE4" s="506">
        <v>0</v>
      </c>
      <c r="AF4" s="506">
        <v>0</v>
      </c>
      <c r="AG4" s="506">
        <v>0</v>
      </c>
      <c r="AH4" s="506">
        <v>2.2282795332971E-4</v>
      </c>
      <c r="AI4" s="506">
        <v>0.75134482494999999</v>
      </c>
      <c r="AJ4" s="506">
        <v>1</v>
      </c>
      <c r="AK4" s="506">
        <v>0</v>
      </c>
      <c r="AL4" s="506">
        <v>0</v>
      </c>
      <c r="AM4" s="506">
        <v>0</v>
      </c>
      <c r="AN4" s="506">
        <v>0</v>
      </c>
      <c r="AO4" s="506">
        <v>0</v>
      </c>
      <c r="AP4" s="506">
        <v>0</v>
      </c>
      <c r="AQ4" s="506">
        <v>0</v>
      </c>
      <c r="AR4" s="506">
        <v>0</v>
      </c>
      <c r="AS4" s="506">
        <v>0</v>
      </c>
      <c r="AT4" s="506">
        <v>0</v>
      </c>
      <c r="AU4" s="506">
        <v>0</v>
      </c>
      <c r="AV4" s="506">
        <v>0</v>
      </c>
      <c r="AW4" s="506">
        <v>0</v>
      </c>
      <c r="AX4" s="506">
        <v>0</v>
      </c>
      <c r="AY4" s="506">
        <v>0</v>
      </c>
      <c r="AZ4" s="506">
        <v>1</v>
      </c>
      <c r="BA4" s="506">
        <v>0</v>
      </c>
      <c r="BB4" s="506">
        <v>0</v>
      </c>
      <c r="BC4" s="506">
        <v>0</v>
      </c>
      <c r="BD4" s="506">
        <v>0</v>
      </c>
      <c r="BE4" s="506">
        <v>0</v>
      </c>
      <c r="BF4" s="506">
        <v>0</v>
      </c>
      <c r="BG4" s="506">
        <v>0</v>
      </c>
      <c r="BH4" s="506"/>
      <c r="BI4" s="506"/>
    </row>
    <row r="5" spans="1:61" ht="12.95" customHeight="1">
      <c r="A5" s="254" t="s">
        <v>1488</v>
      </c>
      <c r="B5" s="254" t="s">
        <v>1493</v>
      </c>
      <c r="C5" s="204">
        <v>1</v>
      </c>
      <c r="D5" s="254" t="s">
        <v>1488</v>
      </c>
      <c r="E5" s="502">
        <v>1</v>
      </c>
      <c r="F5" s="501">
        <v>-36.274674523862799</v>
      </c>
      <c r="G5" s="506"/>
      <c r="H5" s="506"/>
      <c r="I5" s="506"/>
      <c r="J5" s="506"/>
      <c r="K5" s="506"/>
      <c r="L5" s="506"/>
      <c r="M5" s="506">
        <v>0</v>
      </c>
      <c r="N5" s="506">
        <v>3.9395145347785203E-2</v>
      </c>
      <c r="O5" s="506">
        <v>-8.2678999999995201E-5</v>
      </c>
      <c r="P5" s="506">
        <v>3.9477824347785198E-2</v>
      </c>
      <c r="Q5" s="506">
        <v>2.1276523372297201E-4</v>
      </c>
      <c r="R5" s="506">
        <v>0.71172762248400001</v>
      </c>
      <c r="S5" s="506">
        <v>0.65753554430000005</v>
      </c>
      <c r="T5" s="506">
        <v>1.82268307267256E-5</v>
      </c>
      <c r="U5" s="506">
        <v>1.0458402908285499E-4</v>
      </c>
      <c r="V5" s="506">
        <v>2.7180288556899401E-9</v>
      </c>
      <c r="W5" s="506">
        <v>0</v>
      </c>
      <c r="X5" s="506">
        <v>0</v>
      </c>
      <c r="Y5" s="506">
        <v>0</v>
      </c>
      <c r="Z5" s="506">
        <v>0</v>
      </c>
      <c r="AA5" s="506">
        <v>0</v>
      </c>
      <c r="AB5" s="506">
        <v>0</v>
      </c>
      <c r="AC5" s="506">
        <v>0</v>
      </c>
      <c r="AD5" s="506">
        <v>0</v>
      </c>
      <c r="AE5" s="506">
        <v>0</v>
      </c>
      <c r="AF5" s="506">
        <v>0</v>
      </c>
      <c r="AG5" s="506">
        <v>0</v>
      </c>
      <c r="AH5" s="506">
        <v>5.3191308430743002E-5</v>
      </c>
      <c r="AI5" s="506">
        <v>0.177931905621</v>
      </c>
      <c r="AJ5" s="506">
        <v>1</v>
      </c>
      <c r="AK5" s="506">
        <v>3</v>
      </c>
      <c r="AL5" s="506">
        <v>0.75</v>
      </c>
      <c r="AM5" s="506">
        <v>2.15</v>
      </c>
      <c r="AN5" s="506">
        <v>0</v>
      </c>
      <c r="AO5" s="506">
        <v>1</v>
      </c>
      <c r="AP5" s="506">
        <v>0</v>
      </c>
      <c r="AQ5" s="506">
        <v>0.1</v>
      </c>
      <c r="AR5" s="506">
        <v>0</v>
      </c>
      <c r="AS5" s="506">
        <v>0</v>
      </c>
      <c r="AT5" s="506">
        <v>0.75</v>
      </c>
      <c r="AU5" s="506">
        <v>0</v>
      </c>
      <c r="AV5" s="506">
        <v>0</v>
      </c>
      <c r="AW5" s="506">
        <v>0</v>
      </c>
      <c r="AX5" s="506">
        <v>0</v>
      </c>
      <c r="AY5" s="506">
        <v>0</v>
      </c>
      <c r="AZ5" s="506">
        <v>1</v>
      </c>
      <c r="BA5" s="506">
        <v>3</v>
      </c>
      <c r="BB5" s="506">
        <v>0.75</v>
      </c>
      <c r="BC5" s="506">
        <v>2.15</v>
      </c>
      <c r="BD5" s="506">
        <v>0</v>
      </c>
      <c r="BE5" s="506">
        <v>1</v>
      </c>
      <c r="BF5" s="506">
        <v>0</v>
      </c>
      <c r="BG5" s="506">
        <v>0.1</v>
      </c>
      <c r="BH5" s="506"/>
      <c r="BI5" s="506"/>
    </row>
    <row r="6" spans="1:61" ht="12.95" customHeight="1">
      <c r="A6" s="254" t="s">
        <v>1489</v>
      </c>
      <c r="B6" s="254" t="s">
        <v>1493</v>
      </c>
      <c r="C6" s="204">
        <v>1</v>
      </c>
      <c r="D6" s="254" t="s">
        <v>1489</v>
      </c>
      <c r="E6" s="502">
        <v>1</v>
      </c>
      <c r="F6" s="501">
        <v>-36.259162814571397</v>
      </c>
      <c r="G6" s="506"/>
      <c r="H6" s="506"/>
      <c r="I6" s="506"/>
      <c r="J6" s="506"/>
      <c r="K6" s="506"/>
      <c r="L6" s="506"/>
      <c r="M6" s="506">
        <v>0</v>
      </c>
      <c r="N6" s="506">
        <v>4.63883328554257E-2</v>
      </c>
      <c r="O6" s="506">
        <v>0</v>
      </c>
      <c r="P6" s="506">
        <v>4.63883328554257E-2</v>
      </c>
      <c r="Q6" s="506">
        <v>3.3633181064288001E-4</v>
      </c>
      <c r="R6" s="506">
        <v>0.64784665600799995</v>
      </c>
      <c r="S6" s="506">
        <v>0.60736312189999997</v>
      </c>
      <c r="T6" s="506">
        <v>2.3898629606618401E-5</v>
      </c>
      <c r="U6" s="506">
        <v>8.8181221265961799E-5</v>
      </c>
      <c r="V6" s="506">
        <v>4.8342565539135399E-9</v>
      </c>
      <c r="W6" s="506">
        <v>0</v>
      </c>
      <c r="X6" s="506">
        <v>0</v>
      </c>
      <c r="Y6" s="506">
        <v>0</v>
      </c>
      <c r="Z6" s="506">
        <v>0</v>
      </c>
      <c r="AA6" s="506">
        <v>0</v>
      </c>
      <c r="AB6" s="506">
        <v>0</v>
      </c>
      <c r="AC6" s="506">
        <v>0</v>
      </c>
      <c r="AD6" s="506">
        <v>0</v>
      </c>
      <c r="AE6" s="506">
        <v>0</v>
      </c>
      <c r="AF6" s="506">
        <v>0</v>
      </c>
      <c r="AG6" s="506">
        <v>0</v>
      </c>
      <c r="AH6" s="506">
        <v>8.4082952660720004E-5</v>
      </c>
      <c r="AI6" s="506">
        <v>0.16196166400199999</v>
      </c>
      <c r="AJ6" s="506">
        <v>1</v>
      </c>
      <c r="AK6" s="506">
        <v>0</v>
      </c>
      <c r="AL6" s="506">
        <v>0</v>
      </c>
      <c r="AM6" s="506">
        <v>0</v>
      </c>
      <c r="AN6" s="506">
        <v>0</v>
      </c>
      <c r="AO6" s="506">
        <v>0</v>
      </c>
      <c r="AP6" s="506">
        <v>0</v>
      </c>
      <c r="AQ6" s="506">
        <v>0</v>
      </c>
      <c r="AR6" s="506">
        <v>0</v>
      </c>
      <c r="AS6" s="506">
        <v>0</v>
      </c>
      <c r="AT6" s="506">
        <v>0</v>
      </c>
      <c r="AU6" s="506">
        <v>0</v>
      </c>
      <c r="AV6" s="506">
        <v>0</v>
      </c>
      <c r="AW6" s="506">
        <v>0</v>
      </c>
      <c r="AX6" s="506">
        <v>0</v>
      </c>
      <c r="AY6" s="506">
        <v>0</v>
      </c>
      <c r="AZ6" s="506">
        <v>1</v>
      </c>
      <c r="BA6" s="506">
        <v>0</v>
      </c>
      <c r="BB6" s="506">
        <v>0</v>
      </c>
      <c r="BC6" s="506">
        <v>0</v>
      </c>
      <c r="BD6" s="506">
        <v>0</v>
      </c>
      <c r="BE6" s="506">
        <v>0</v>
      </c>
      <c r="BF6" s="506">
        <v>0</v>
      </c>
      <c r="BG6" s="506">
        <v>0</v>
      </c>
      <c r="BH6" s="506"/>
      <c r="BI6" s="506"/>
    </row>
    <row r="7" spans="1:61" ht="12.95" customHeight="1">
      <c r="A7" s="254" t="s">
        <v>1436</v>
      </c>
      <c r="B7" s="254" t="s">
        <v>93</v>
      </c>
      <c r="C7" s="204">
        <v>1</v>
      </c>
      <c r="D7" s="254" t="s">
        <v>1436</v>
      </c>
      <c r="E7" s="502">
        <v>1</v>
      </c>
      <c r="F7" s="501">
        <v>107.76618893815299</v>
      </c>
      <c r="G7" s="506">
        <v>100</v>
      </c>
      <c r="H7" s="506"/>
      <c r="I7" s="506"/>
      <c r="J7" s="506"/>
      <c r="K7" s="506">
        <v>2300</v>
      </c>
      <c r="L7" s="506"/>
      <c r="M7" s="506">
        <v>2300</v>
      </c>
      <c r="N7" s="506">
        <v>218.79878032191999</v>
      </c>
      <c r="O7" s="506">
        <v>-6.7149180119899204E-2</v>
      </c>
      <c r="P7" s="506">
        <v>218.86592950203899</v>
      </c>
      <c r="Q7" s="506">
        <v>0.41608642837438298</v>
      </c>
      <c r="R7" s="506">
        <v>1564.64605303744</v>
      </c>
      <c r="S7" s="506">
        <v>1462.09447524392</v>
      </c>
      <c r="T7" s="506">
        <v>5.85444974740073E-2</v>
      </c>
      <c r="U7" s="506">
        <v>0.25654706139218503</v>
      </c>
      <c r="V7" s="506">
        <v>4.83058737837099E-6</v>
      </c>
      <c r="W7" s="506">
        <v>0</v>
      </c>
      <c r="X7" s="506">
        <v>0</v>
      </c>
      <c r="Y7" s="506">
        <v>0</v>
      </c>
      <c r="Z7" s="506">
        <v>0</v>
      </c>
      <c r="AA7" s="506">
        <v>0</v>
      </c>
      <c r="AB7" s="506">
        <v>0</v>
      </c>
      <c r="AC7" s="506">
        <v>0</v>
      </c>
      <c r="AD7" s="506">
        <v>0</v>
      </c>
      <c r="AE7" s="506">
        <v>0</v>
      </c>
      <c r="AF7" s="506">
        <v>0</v>
      </c>
      <c r="AG7" s="506">
        <v>0</v>
      </c>
      <c r="AH7" s="506">
        <v>0.10402160709359599</v>
      </c>
      <c r="AI7" s="506">
        <v>391.16151325936102</v>
      </c>
      <c r="AJ7" s="506">
        <v>1</v>
      </c>
      <c r="AK7" s="506">
        <v>2</v>
      </c>
      <c r="AL7" s="506">
        <v>0.75</v>
      </c>
      <c r="AM7" s="506">
        <v>1.4</v>
      </c>
      <c r="AN7" s="506">
        <v>1</v>
      </c>
      <c r="AO7" s="506">
        <v>0</v>
      </c>
      <c r="AP7" s="506">
        <v>0</v>
      </c>
      <c r="AQ7" s="506">
        <v>0.1</v>
      </c>
      <c r="AR7" s="506">
        <v>0</v>
      </c>
      <c r="AS7" s="506">
        <v>0</v>
      </c>
      <c r="AT7" s="506">
        <v>0.75</v>
      </c>
      <c r="AU7" s="506">
        <v>0</v>
      </c>
      <c r="AV7" s="506">
        <v>0</v>
      </c>
      <c r="AW7" s="506">
        <v>0</v>
      </c>
      <c r="AX7" s="506">
        <v>0</v>
      </c>
      <c r="AY7" s="506">
        <v>0</v>
      </c>
      <c r="AZ7" s="506">
        <v>1</v>
      </c>
      <c r="BA7" s="506">
        <v>2</v>
      </c>
      <c r="BB7" s="506">
        <v>0.75</v>
      </c>
      <c r="BC7" s="506">
        <v>1.4</v>
      </c>
      <c r="BD7" s="506">
        <v>1</v>
      </c>
      <c r="BE7" s="506">
        <v>0</v>
      </c>
      <c r="BF7" s="506">
        <v>0</v>
      </c>
      <c r="BG7" s="506">
        <v>0.1</v>
      </c>
      <c r="BH7" s="506"/>
      <c r="BI7" s="506"/>
    </row>
    <row r="8" spans="1:61" ht="12.95" customHeight="1">
      <c r="A8" s="254" t="s">
        <v>1437</v>
      </c>
      <c r="B8" s="88" t="s">
        <v>1310</v>
      </c>
      <c r="C8" s="204">
        <v>1</v>
      </c>
      <c r="D8" s="254" t="s">
        <v>1437</v>
      </c>
      <c r="E8" s="502">
        <v>1</v>
      </c>
      <c r="F8" s="501">
        <f>10924.4110775747/7800</f>
        <v>1.400565522765987</v>
      </c>
      <c r="G8" s="506">
        <v>100</v>
      </c>
      <c r="H8" s="506"/>
      <c r="I8" s="506"/>
      <c r="J8" s="506">
        <f>7800/7800</f>
        <v>1</v>
      </c>
      <c r="K8" s="506"/>
      <c r="L8" s="506"/>
      <c r="M8" s="506">
        <f>7800/7800</f>
        <v>1</v>
      </c>
      <c r="N8" s="506">
        <f>9264.47303644177/7800</f>
        <v>1.1877529533899704</v>
      </c>
      <c r="O8" s="506">
        <f>-31.2258612396895/7800</f>
        <v>-4.0033155435499363E-3</v>
      </c>
      <c r="P8" s="506">
        <f>9295.69889768146/7800</f>
        <v>1.1917562689335204</v>
      </c>
      <c r="Q8" s="506">
        <f>33.1319898453946/7800</f>
        <v>4.2476910058198208E-3</v>
      </c>
      <c r="R8" s="506">
        <f>149972.007763452/7800</f>
        <v>19.227180482493846</v>
      </c>
      <c r="S8" s="506"/>
      <c r="T8" s="506"/>
      <c r="U8" s="506"/>
      <c r="V8" s="506"/>
      <c r="W8" s="506"/>
      <c r="X8" s="506"/>
      <c r="Y8" s="506"/>
      <c r="Z8" s="506"/>
      <c r="AA8" s="506"/>
      <c r="AB8" s="506"/>
      <c r="AC8" s="506"/>
      <c r="AD8" s="506"/>
      <c r="AE8" s="506"/>
      <c r="AF8" s="506"/>
      <c r="AG8" s="506"/>
      <c r="AH8" s="506"/>
      <c r="AI8" s="506"/>
      <c r="AJ8" s="506"/>
      <c r="AK8" s="506"/>
      <c r="AL8" s="506"/>
      <c r="AM8" s="506"/>
      <c r="AN8" s="506"/>
      <c r="AO8" s="506"/>
      <c r="AP8" s="506"/>
      <c r="AQ8" s="506"/>
      <c r="AR8" s="506"/>
      <c r="AS8" s="506"/>
      <c r="AT8" s="506"/>
      <c r="AU8" s="506"/>
      <c r="AV8" s="506"/>
      <c r="AW8" s="506"/>
      <c r="AX8" s="506"/>
      <c r="AY8" s="506"/>
      <c r="AZ8" s="506"/>
      <c r="BA8" s="506"/>
      <c r="BB8" s="506"/>
      <c r="BC8" s="506"/>
      <c r="BD8" s="506"/>
      <c r="BE8" s="506"/>
      <c r="BF8" s="506"/>
      <c r="BG8" s="506"/>
      <c r="BH8" s="506"/>
      <c r="BI8" s="506"/>
    </row>
    <row r="9" spans="1:61" ht="12.95" customHeight="1" thickBot="1">
      <c r="A9" s="254" t="s">
        <v>1438</v>
      </c>
      <c r="B9" s="254" t="s">
        <v>93</v>
      </c>
      <c r="C9" s="204">
        <v>1</v>
      </c>
      <c r="D9" s="254" t="s">
        <v>1438</v>
      </c>
      <c r="E9" s="502">
        <v>1</v>
      </c>
      <c r="F9" s="501">
        <v>-24.383581448826401</v>
      </c>
      <c r="G9" s="506">
        <v>100</v>
      </c>
      <c r="H9" s="506"/>
      <c r="I9" s="506"/>
      <c r="J9" s="506"/>
      <c r="K9" s="506"/>
      <c r="L9" s="506">
        <v>1800</v>
      </c>
      <c r="M9" s="506">
        <v>1800</v>
      </c>
      <c r="N9" s="506">
        <v>7.99272379219423</v>
      </c>
      <c r="O9" s="506">
        <v>0</v>
      </c>
      <c r="P9" s="506">
        <v>7.99272379219423</v>
      </c>
      <c r="Q9" s="506">
        <v>4.48770066629137E-2</v>
      </c>
      <c r="R9" s="506">
        <v>139.020910922582</v>
      </c>
      <c r="S9" s="506">
        <v>128.71235765352699</v>
      </c>
      <c r="T9" s="506">
        <v>4.1129838426707602E-3</v>
      </c>
      <c r="U9" s="506">
        <v>2.0264577002021899E-2</v>
      </c>
      <c r="V9" s="506">
        <v>6.2482057170787296E-7</v>
      </c>
      <c r="W9" s="506">
        <v>0</v>
      </c>
      <c r="X9" s="506">
        <v>0</v>
      </c>
      <c r="Y9" s="506">
        <v>0</v>
      </c>
      <c r="Z9" s="506">
        <v>0</v>
      </c>
      <c r="AA9" s="506">
        <v>0</v>
      </c>
      <c r="AB9" s="506">
        <v>0</v>
      </c>
      <c r="AC9" s="506">
        <v>0</v>
      </c>
      <c r="AD9" s="506">
        <v>0</v>
      </c>
      <c r="AE9" s="506">
        <v>0</v>
      </c>
      <c r="AF9" s="506">
        <v>0</v>
      </c>
      <c r="AG9" s="506">
        <v>0</v>
      </c>
      <c r="AH9" s="506">
        <v>1.1219251665728401E-2</v>
      </c>
      <c r="AI9" s="506">
        <v>34.755227730645601</v>
      </c>
      <c r="AJ9" s="506">
        <v>1</v>
      </c>
      <c r="AK9" s="506">
        <v>1</v>
      </c>
      <c r="AL9" s="506">
        <v>0.25</v>
      </c>
      <c r="AM9" s="506">
        <v>0.15</v>
      </c>
      <c r="AN9" s="506">
        <v>1</v>
      </c>
      <c r="AO9" s="506">
        <v>0</v>
      </c>
      <c r="AP9" s="506">
        <v>0</v>
      </c>
      <c r="AQ9" s="506">
        <v>0.1</v>
      </c>
      <c r="AR9" s="506">
        <v>0</v>
      </c>
      <c r="AS9" s="506">
        <v>0</v>
      </c>
      <c r="AT9" s="506">
        <v>0.25</v>
      </c>
      <c r="AU9" s="506">
        <v>0</v>
      </c>
      <c r="AV9" s="506">
        <v>0</v>
      </c>
      <c r="AW9" s="506">
        <v>0</v>
      </c>
      <c r="AX9" s="506">
        <v>0</v>
      </c>
      <c r="AY9" s="506">
        <v>0</v>
      </c>
      <c r="AZ9" s="506">
        <v>1</v>
      </c>
      <c r="BA9" s="506">
        <v>1</v>
      </c>
      <c r="BB9" s="506">
        <v>0.25</v>
      </c>
      <c r="BC9" s="506">
        <v>0.15</v>
      </c>
      <c r="BD9" s="506">
        <v>1</v>
      </c>
      <c r="BE9" s="506">
        <v>0</v>
      </c>
      <c r="BF9" s="506">
        <v>0</v>
      </c>
      <c r="BG9" s="506">
        <v>0.1</v>
      </c>
      <c r="BH9" s="506"/>
      <c r="BI9" s="506"/>
    </row>
    <row r="10" spans="1:61" ht="12.95" customHeight="1" thickTop="1" thickBot="1">
      <c r="A10" s="493" t="s">
        <v>2689</v>
      </c>
      <c r="B10" s="493"/>
      <c r="C10" s="491"/>
      <c r="D10" s="493"/>
      <c r="E10" s="554"/>
      <c r="F10" s="636" t="s">
        <v>2688</v>
      </c>
      <c r="G10" s="636"/>
      <c r="H10" s="636"/>
      <c r="I10" s="491"/>
      <c r="J10" s="491"/>
      <c r="K10" s="491"/>
      <c r="L10" s="491"/>
      <c r="M10" s="491"/>
      <c r="N10" s="491"/>
      <c r="O10" s="491"/>
      <c r="P10" s="491"/>
      <c r="Q10" s="491"/>
      <c r="R10" s="491"/>
      <c r="S10" s="491"/>
      <c r="T10" s="491"/>
      <c r="U10" s="491"/>
      <c r="V10" s="491"/>
      <c r="W10" s="491"/>
      <c r="X10" s="491"/>
      <c r="Y10" s="491"/>
      <c r="Z10" s="491"/>
      <c r="AA10" s="491"/>
      <c r="AB10" s="491"/>
      <c r="AC10" s="491"/>
      <c r="AD10" s="491"/>
      <c r="AE10" s="491"/>
      <c r="AF10" s="491"/>
      <c r="AG10" s="491"/>
      <c r="AH10" s="491"/>
      <c r="AI10" s="491"/>
      <c r="AJ10" s="491"/>
      <c r="AK10" s="491"/>
      <c r="AL10" s="491"/>
      <c r="AM10" s="491"/>
      <c r="AN10" s="491"/>
      <c r="AO10" s="491"/>
      <c r="AP10" s="491"/>
      <c r="AQ10" s="491"/>
      <c r="AR10" s="491"/>
      <c r="AS10" s="491"/>
      <c r="AT10" s="491"/>
      <c r="AU10" s="491"/>
      <c r="AV10" s="491"/>
      <c r="AW10" s="491"/>
      <c r="AX10" s="491"/>
      <c r="AY10" s="491"/>
      <c r="AZ10" s="491"/>
      <c r="BA10" s="491"/>
      <c r="BB10" s="491"/>
      <c r="BC10" s="491"/>
      <c r="BD10" s="491"/>
      <c r="BE10" s="491"/>
      <c r="BF10" s="491"/>
      <c r="BG10" s="491"/>
      <c r="BH10" s="491"/>
      <c r="BI10" s="491"/>
    </row>
    <row r="11" spans="1:61" ht="12.95" customHeight="1" thickTop="1">
      <c r="A11" s="254" t="s">
        <v>2071</v>
      </c>
      <c r="B11" s="254"/>
      <c r="C11" s="204"/>
      <c r="D11" s="254"/>
      <c r="E11" s="502"/>
      <c r="F11" s="501"/>
      <c r="G11" s="506"/>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c r="AI11" s="506"/>
      <c r="AJ11" s="506"/>
      <c r="AK11" s="506"/>
      <c r="AL11" s="506"/>
      <c r="AM11" s="506"/>
      <c r="AN11" s="506"/>
      <c r="AO11" s="506"/>
      <c r="AP11" s="506"/>
      <c r="AQ11" s="506"/>
      <c r="AR11" s="506"/>
      <c r="AS11" s="506"/>
      <c r="AT11" s="506"/>
      <c r="AU11" s="506"/>
      <c r="AV11" s="506"/>
      <c r="AW11" s="506"/>
      <c r="AX11" s="506"/>
      <c r="AY11" s="506"/>
      <c r="AZ11" s="506"/>
      <c r="BA11" s="506"/>
      <c r="BB11" s="506"/>
      <c r="BC11" s="506"/>
      <c r="BD11" s="506"/>
      <c r="BE11" s="506"/>
      <c r="BF11" s="506"/>
      <c r="BG11" s="506"/>
      <c r="BH11" s="506"/>
      <c r="BI11" s="506"/>
    </row>
    <row r="12" spans="1:61" ht="12.95" customHeight="1">
      <c r="A12" s="254" t="s">
        <v>1428</v>
      </c>
      <c r="B12" s="254" t="s">
        <v>92</v>
      </c>
      <c r="C12" s="204">
        <v>1</v>
      </c>
      <c r="D12" s="254" t="s">
        <v>1318</v>
      </c>
      <c r="E12" s="502">
        <v>1</v>
      </c>
      <c r="F12" s="501">
        <v>15.108696737791</v>
      </c>
      <c r="G12" s="506">
        <v>100</v>
      </c>
      <c r="H12" s="506">
        <v>0</v>
      </c>
      <c r="I12" s="506">
        <v>0</v>
      </c>
      <c r="J12" s="506">
        <v>17.55</v>
      </c>
      <c r="K12" s="506">
        <v>454.6</v>
      </c>
      <c r="L12" s="506">
        <v>270.29000000000002</v>
      </c>
      <c r="M12" s="506">
        <v>742.44</v>
      </c>
      <c r="N12" s="506">
        <v>61.145135236702899</v>
      </c>
      <c r="O12" s="506">
        <v>-0.35346620191372702</v>
      </c>
      <c r="P12" s="506">
        <v>61.498601438616603</v>
      </c>
      <c r="Q12" s="506">
        <v>0.15860737607203501</v>
      </c>
      <c r="R12" s="506">
        <v>603.10572166207498</v>
      </c>
      <c r="S12" s="506">
        <v>27.817083836857101</v>
      </c>
      <c r="T12" s="506">
        <v>2.7630799270274699E-2</v>
      </c>
      <c r="U12" s="506">
        <v>9.5911709327959199E-2</v>
      </c>
      <c r="V12" s="506">
        <v>1.9771749180254201E-6</v>
      </c>
      <c r="W12" s="506">
        <v>0</v>
      </c>
      <c r="X12" s="506">
        <v>0</v>
      </c>
      <c r="Y12" s="506">
        <v>0</v>
      </c>
      <c r="Z12" s="506">
        <v>0</v>
      </c>
      <c r="AA12" s="506">
        <v>0</v>
      </c>
      <c r="AB12" s="506">
        <v>0</v>
      </c>
      <c r="AC12" s="506">
        <v>0</v>
      </c>
      <c r="AD12" s="506">
        <v>0</v>
      </c>
      <c r="AE12" s="506">
        <v>0</v>
      </c>
      <c r="AF12" s="506">
        <v>0</v>
      </c>
      <c r="AG12" s="506">
        <v>0</v>
      </c>
      <c r="AH12" s="506">
        <v>3.9651844018008801E-2</v>
      </c>
      <c r="AI12" s="506">
        <v>150.776430415519</v>
      </c>
      <c r="AJ12" s="506">
        <v>0.35053333333333297</v>
      </c>
      <c r="AK12" s="506">
        <v>18.2225</v>
      </c>
      <c r="AL12" s="506">
        <v>75</v>
      </c>
      <c r="AM12" s="506">
        <v>227.68125000000001</v>
      </c>
      <c r="AN12" s="506">
        <v>0</v>
      </c>
      <c r="AO12" s="506">
        <v>0</v>
      </c>
      <c r="AP12" s="506">
        <v>17.55</v>
      </c>
      <c r="AQ12" s="506">
        <v>0.1</v>
      </c>
      <c r="AR12" s="506">
        <v>-2.7105054312137599E-20</v>
      </c>
      <c r="AS12" s="506">
        <v>-8.1315162936412802E-18</v>
      </c>
      <c r="AT12" s="506">
        <v>75</v>
      </c>
      <c r="AU12" s="506">
        <v>-0.1</v>
      </c>
      <c r="AV12" s="506">
        <v>0</v>
      </c>
      <c r="AW12" s="506">
        <v>-2.7105054312137599E-20</v>
      </c>
      <c r="AX12" s="506">
        <v>0</v>
      </c>
      <c r="AY12" s="506">
        <v>0.1</v>
      </c>
      <c r="AZ12" s="506">
        <v>0.35053333333333297</v>
      </c>
      <c r="BA12" s="506">
        <v>18.2225</v>
      </c>
      <c r="BB12" s="506">
        <v>75</v>
      </c>
      <c r="BC12" s="506">
        <v>227.68125000000001</v>
      </c>
      <c r="BD12" s="506">
        <v>0.34775</v>
      </c>
      <c r="BE12" s="506">
        <v>2.3333333333333301E-4</v>
      </c>
      <c r="BF12" s="506">
        <v>2.2499999999999998E-3</v>
      </c>
      <c r="BG12" s="506">
        <v>0.1</v>
      </c>
      <c r="BH12" s="506">
        <v>41.54</v>
      </c>
      <c r="BI12" s="506">
        <v>37.115000000000002</v>
      </c>
    </row>
    <row r="13" spans="1:61" ht="12.95" customHeight="1">
      <c r="A13" s="254" t="s">
        <v>1429</v>
      </c>
      <c r="B13" s="254" t="s">
        <v>92</v>
      </c>
      <c r="C13" s="204">
        <v>2</v>
      </c>
      <c r="D13" s="254" t="s">
        <v>1319</v>
      </c>
      <c r="E13" s="502">
        <v>1</v>
      </c>
      <c r="F13" s="501">
        <v>30.2200733390595</v>
      </c>
      <c r="G13" s="506">
        <v>100</v>
      </c>
      <c r="H13" s="506">
        <v>0</v>
      </c>
      <c r="I13" s="506">
        <v>0</v>
      </c>
      <c r="J13" s="506">
        <v>23.4</v>
      </c>
      <c r="K13" s="506">
        <v>572.79999999999995</v>
      </c>
      <c r="L13" s="506">
        <v>270.29000000000002</v>
      </c>
      <c r="M13" s="506">
        <v>866.49</v>
      </c>
      <c r="N13" s="506">
        <v>79.337844724491205</v>
      </c>
      <c r="O13" s="506">
        <v>-0.38033648179574298</v>
      </c>
      <c r="P13" s="506">
        <v>79.7181812062869</v>
      </c>
      <c r="Q13" s="506">
        <v>0.20483959273166899</v>
      </c>
      <c r="R13" s="506">
        <v>780.55460562265205</v>
      </c>
      <c r="S13" s="506">
        <v>33.967438814761501</v>
      </c>
      <c r="T13" s="506">
        <v>3.5998016527251799E-2</v>
      </c>
      <c r="U13" s="506">
        <v>0.12453901279560101</v>
      </c>
      <c r="V13" s="506">
        <v>2.5530666883303802E-6</v>
      </c>
      <c r="W13" s="506">
        <v>0</v>
      </c>
      <c r="X13" s="506">
        <v>0</v>
      </c>
      <c r="Y13" s="506">
        <v>0</v>
      </c>
      <c r="Z13" s="506">
        <v>0</v>
      </c>
      <c r="AA13" s="506">
        <v>0</v>
      </c>
      <c r="AB13" s="506">
        <v>0</v>
      </c>
      <c r="AC13" s="506">
        <v>0</v>
      </c>
      <c r="AD13" s="506">
        <v>0</v>
      </c>
      <c r="AE13" s="506">
        <v>0</v>
      </c>
      <c r="AF13" s="506">
        <v>0</v>
      </c>
      <c r="AG13" s="506">
        <v>0</v>
      </c>
      <c r="AH13" s="506">
        <v>5.1209898182917303E-2</v>
      </c>
      <c r="AI13" s="506">
        <v>195.13865140566301</v>
      </c>
      <c r="AJ13" s="506">
        <v>0.40053333333333302</v>
      </c>
      <c r="AK13" s="506">
        <v>20.91</v>
      </c>
      <c r="AL13" s="506">
        <v>75</v>
      </c>
      <c r="AM13" s="506">
        <v>261.27499999999998</v>
      </c>
      <c r="AN13" s="506">
        <v>0</v>
      </c>
      <c r="AO13" s="506">
        <v>0</v>
      </c>
      <c r="AP13" s="506">
        <v>23.4</v>
      </c>
      <c r="AQ13" s="506">
        <v>0.1</v>
      </c>
      <c r="AR13" s="506">
        <v>-2.77826806699411E-17</v>
      </c>
      <c r="AS13" s="506">
        <v>-1.3959102970750899E-15</v>
      </c>
      <c r="AT13" s="506">
        <v>75</v>
      </c>
      <c r="AU13" s="506">
        <v>-1.74488787134386E-14</v>
      </c>
      <c r="AV13" s="506">
        <v>-2.7755575615628901E-17</v>
      </c>
      <c r="AW13" s="506">
        <v>-2.7105054312137599E-20</v>
      </c>
      <c r="AX13" s="506">
        <v>0</v>
      </c>
      <c r="AY13" s="506">
        <v>0</v>
      </c>
      <c r="AZ13" s="506">
        <v>0.40053333333333302</v>
      </c>
      <c r="BA13" s="506">
        <v>20.91</v>
      </c>
      <c r="BB13" s="506">
        <v>75</v>
      </c>
      <c r="BC13" s="506">
        <v>261.27499999999998</v>
      </c>
      <c r="BD13" s="506">
        <v>0.39700000000000002</v>
      </c>
      <c r="BE13" s="506">
        <v>2.3333333333333301E-4</v>
      </c>
      <c r="BF13" s="506">
        <v>3.0000000000000001E-3</v>
      </c>
      <c r="BG13" s="506">
        <v>0.1</v>
      </c>
      <c r="BH13" s="506">
        <v>49.204999999999998</v>
      </c>
      <c r="BI13" s="506">
        <v>43.317500000000003</v>
      </c>
    </row>
    <row r="14" spans="1:61" ht="12.95" customHeight="1">
      <c r="A14" s="254" t="s">
        <v>2053</v>
      </c>
      <c r="B14" s="254" t="s">
        <v>92</v>
      </c>
      <c r="C14" s="204">
        <v>3</v>
      </c>
      <c r="D14" s="254" t="s">
        <v>2575</v>
      </c>
      <c r="E14" s="502">
        <v>1</v>
      </c>
      <c r="F14" s="501"/>
      <c r="G14" s="506">
        <v>100</v>
      </c>
      <c r="H14" s="506">
        <v>0</v>
      </c>
      <c r="I14" s="506">
        <v>0</v>
      </c>
      <c r="J14" s="506">
        <v>35.1</v>
      </c>
      <c r="K14" s="506">
        <v>909.2</v>
      </c>
      <c r="L14" s="506">
        <v>540.58000000000004</v>
      </c>
      <c r="M14" s="506">
        <v>1608.93</v>
      </c>
      <c r="N14" s="506">
        <v>140.4829799611941</v>
      </c>
      <c r="O14" s="506">
        <v>-0.73380268370946999</v>
      </c>
      <c r="P14" s="506">
        <v>141.2167826449035</v>
      </c>
      <c r="Q14" s="506">
        <v>0.36344696880370397</v>
      </c>
      <c r="R14" s="506">
        <v>1383.6603272847269</v>
      </c>
      <c r="S14" s="506">
        <v>61.784522651618602</v>
      </c>
      <c r="T14" s="506">
        <v>6.3628815797526495E-2</v>
      </c>
      <c r="U14" s="506">
        <v>0.22045072212356021</v>
      </c>
      <c r="V14" s="506">
        <v>4.5302416063558002E-6</v>
      </c>
      <c r="W14" s="506">
        <v>0</v>
      </c>
      <c r="X14" s="506">
        <v>0</v>
      </c>
      <c r="Y14" s="506">
        <v>0</v>
      </c>
      <c r="Z14" s="506">
        <v>0</v>
      </c>
      <c r="AA14" s="506">
        <v>0</v>
      </c>
      <c r="AB14" s="506">
        <v>0</v>
      </c>
      <c r="AC14" s="506">
        <v>0</v>
      </c>
      <c r="AD14" s="506">
        <v>0</v>
      </c>
      <c r="AE14" s="506">
        <v>0</v>
      </c>
      <c r="AF14" s="506">
        <v>0</v>
      </c>
      <c r="AG14" s="506">
        <v>0</v>
      </c>
      <c r="AH14" s="506">
        <v>9.0861742200926104E-2</v>
      </c>
      <c r="AI14" s="506">
        <v>345.91508182118201</v>
      </c>
      <c r="AJ14" s="506">
        <v>0.75106666666666599</v>
      </c>
      <c r="AK14" s="506">
        <v>39.1325</v>
      </c>
      <c r="AL14" s="506">
        <v>150</v>
      </c>
      <c r="AM14" s="506">
        <v>488.95624999999995</v>
      </c>
      <c r="AN14" s="506">
        <v>0</v>
      </c>
      <c r="AO14" s="506">
        <v>0</v>
      </c>
      <c r="AP14" s="506">
        <v>40.950000000000003</v>
      </c>
      <c r="AQ14" s="506">
        <v>0.2</v>
      </c>
      <c r="AR14" s="506">
        <v>-2.7809785724253238E-17</v>
      </c>
      <c r="AS14" s="506">
        <v>-1.4040418133687312E-15</v>
      </c>
      <c r="AT14" s="506">
        <v>150</v>
      </c>
      <c r="AU14" s="506">
        <v>-0.10000000000001745</v>
      </c>
      <c r="AV14" s="506">
        <v>-2.7755575615628901E-17</v>
      </c>
      <c r="AW14" s="506">
        <v>-5.4210108624275198E-20</v>
      </c>
      <c r="AX14" s="506">
        <v>0</v>
      </c>
      <c r="AY14" s="506">
        <v>0.1</v>
      </c>
      <c r="AZ14" s="506">
        <v>0.75106666666666599</v>
      </c>
      <c r="BA14" s="506">
        <v>39.1325</v>
      </c>
      <c r="BB14" s="506">
        <v>150</v>
      </c>
      <c r="BC14" s="506">
        <v>488.95624999999995</v>
      </c>
      <c r="BD14" s="506">
        <v>0.74475000000000002</v>
      </c>
      <c r="BE14" s="506">
        <v>4.6666666666666601E-4</v>
      </c>
      <c r="BF14" s="506">
        <v>5.2499999999999995E-3</v>
      </c>
      <c r="BG14" s="506">
        <v>0.2</v>
      </c>
      <c r="BH14" s="506">
        <v>90.745000000000005</v>
      </c>
      <c r="BI14" s="506">
        <v>80.432500000000005</v>
      </c>
    </row>
    <row r="15" spans="1:61" ht="12.95" customHeight="1" thickBot="1">
      <c r="A15" s="254" t="s">
        <v>1925</v>
      </c>
      <c r="B15" s="254" t="s">
        <v>92</v>
      </c>
      <c r="C15" s="204">
        <v>3</v>
      </c>
      <c r="D15" s="254" t="s">
        <v>1320</v>
      </c>
      <c r="E15" s="502">
        <v>1</v>
      </c>
      <c r="F15" s="501">
        <v>33.5694288019548</v>
      </c>
      <c r="G15" s="506">
        <v>100</v>
      </c>
      <c r="H15" s="506">
        <v>0</v>
      </c>
      <c r="I15" s="506">
        <v>0</v>
      </c>
      <c r="J15" s="506">
        <v>17.55</v>
      </c>
      <c r="K15" s="506">
        <v>714.6</v>
      </c>
      <c r="L15" s="506">
        <v>0</v>
      </c>
      <c r="M15" s="506">
        <v>732.15</v>
      </c>
      <c r="N15" s="506">
        <v>93.390012927993993</v>
      </c>
      <c r="O15" s="506">
        <v>-9.5076245789298894E-2</v>
      </c>
      <c r="P15" s="506">
        <v>93.485089173783294</v>
      </c>
      <c r="Q15" s="506">
        <v>0.20619675615013799</v>
      </c>
      <c r="R15" s="506">
        <v>805.345774818123</v>
      </c>
      <c r="S15" s="506">
        <v>23.677299867993302</v>
      </c>
      <c r="T15" s="506">
        <v>3.7347010661999601E-2</v>
      </c>
      <c r="U15" s="506">
        <v>0.12934718655628699</v>
      </c>
      <c r="V15" s="506">
        <v>2.6863486436529802E-6</v>
      </c>
      <c r="W15" s="506">
        <v>0</v>
      </c>
      <c r="X15" s="506">
        <v>0</v>
      </c>
      <c r="Y15" s="506">
        <v>0</v>
      </c>
      <c r="Z15" s="506">
        <v>0</v>
      </c>
      <c r="AA15" s="506">
        <v>0</v>
      </c>
      <c r="AB15" s="506">
        <v>0</v>
      </c>
      <c r="AC15" s="506">
        <v>0</v>
      </c>
      <c r="AD15" s="506">
        <v>0</v>
      </c>
      <c r="AE15" s="506">
        <v>0</v>
      </c>
      <c r="AF15" s="506">
        <v>0</v>
      </c>
      <c r="AG15" s="506">
        <v>0</v>
      </c>
      <c r="AH15" s="506">
        <v>5.1549189037534499E-2</v>
      </c>
      <c r="AI15" s="506">
        <v>201.33644370453101</v>
      </c>
      <c r="AJ15" s="506">
        <v>0.3</v>
      </c>
      <c r="AK15" s="506">
        <v>15.5625</v>
      </c>
      <c r="AL15" s="506">
        <v>25</v>
      </c>
      <c r="AM15" s="506">
        <v>194.43125000000001</v>
      </c>
      <c r="AN15" s="506">
        <v>0</v>
      </c>
      <c r="AO15" s="506">
        <v>0</v>
      </c>
      <c r="AP15" s="506">
        <v>17.55</v>
      </c>
      <c r="AQ15" s="506">
        <v>0.1</v>
      </c>
      <c r="AR15" s="506">
        <v>0</v>
      </c>
      <c r="AS15" s="506">
        <v>0</v>
      </c>
      <c r="AT15" s="506">
        <v>25</v>
      </c>
      <c r="AU15" s="506">
        <v>0</v>
      </c>
      <c r="AV15" s="506">
        <v>0</v>
      </c>
      <c r="AW15" s="506">
        <v>0</v>
      </c>
      <c r="AX15" s="506">
        <v>0</v>
      </c>
      <c r="AY15" s="506">
        <v>0</v>
      </c>
      <c r="AZ15" s="506">
        <v>0.3</v>
      </c>
      <c r="BA15" s="506">
        <v>15.5625</v>
      </c>
      <c r="BB15" s="506">
        <v>25</v>
      </c>
      <c r="BC15" s="506">
        <v>194.43125000000001</v>
      </c>
      <c r="BD15" s="506">
        <v>0.29775000000000001</v>
      </c>
      <c r="BE15" s="506">
        <v>0</v>
      </c>
      <c r="BF15" s="506">
        <v>2.2499999999999998E-3</v>
      </c>
      <c r="BG15" s="506">
        <v>0.1</v>
      </c>
      <c r="BH15" s="506">
        <v>40.994999999999997</v>
      </c>
      <c r="BI15" s="506">
        <v>36.607500000000002</v>
      </c>
    </row>
    <row r="16" spans="1:61" ht="12.95" customHeight="1" thickBot="1">
      <c r="A16" s="254" t="s">
        <v>1728</v>
      </c>
      <c r="B16" s="254" t="s">
        <v>92</v>
      </c>
      <c r="C16" s="204"/>
      <c r="D16" s="254"/>
      <c r="E16" s="502"/>
      <c r="F16" s="501"/>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506"/>
    </row>
    <row r="17" spans="1:61" ht="12.95" customHeight="1">
      <c r="A17" s="254" t="s">
        <v>2071</v>
      </c>
      <c r="B17" s="254"/>
      <c r="C17" s="204"/>
      <c r="D17" s="254"/>
      <c r="E17" s="502"/>
      <c r="F17" s="501"/>
      <c r="G17" s="506"/>
      <c r="H17" s="506"/>
      <c r="I17" s="506"/>
      <c r="J17" s="506"/>
      <c r="K17" s="506"/>
      <c r="L17" s="506"/>
      <c r="M17" s="506"/>
      <c r="N17" s="506"/>
      <c r="O17" s="506"/>
      <c r="P17" s="506"/>
      <c r="Q17" s="506"/>
      <c r="R17" s="506"/>
      <c r="S17" s="506"/>
      <c r="T17" s="506"/>
      <c r="U17" s="506"/>
      <c r="V17" s="506"/>
      <c r="W17" s="506"/>
      <c r="X17" s="506"/>
      <c r="Y17" s="506"/>
      <c r="Z17" s="506"/>
      <c r="AA17" s="506"/>
      <c r="AB17" s="506"/>
      <c r="AC17" s="506"/>
      <c r="AD17" s="506"/>
      <c r="AE17" s="506"/>
      <c r="AF17" s="506"/>
      <c r="AG17" s="506"/>
      <c r="AH17" s="506"/>
      <c r="AI17" s="506"/>
      <c r="AJ17" s="506"/>
      <c r="AK17" s="506"/>
      <c r="AL17" s="506"/>
      <c r="AM17" s="506"/>
      <c r="AN17" s="506"/>
      <c r="AO17" s="506"/>
      <c r="AP17" s="506"/>
      <c r="AQ17" s="506"/>
      <c r="AR17" s="506"/>
      <c r="AS17" s="506"/>
      <c r="AT17" s="506"/>
      <c r="AU17" s="506"/>
      <c r="AV17" s="506"/>
      <c r="AW17" s="506"/>
      <c r="AX17" s="506"/>
      <c r="AY17" s="506"/>
      <c r="AZ17" s="506"/>
      <c r="BA17" s="506"/>
      <c r="BB17" s="506"/>
      <c r="BC17" s="506"/>
      <c r="BD17" s="506"/>
      <c r="BE17" s="506"/>
      <c r="BF17" s="506"/>
      <c r="BG17" s="506"/>
      <c r="BH17" s="506"/>
      <c r="BI17" s="506"/>
    </row>
    <row r="18" spans="1:61" ht="12.95" customHeight="1">
      <c r="A18" s="254" t="s">
        <v>1494</v>
      </c>
      <c r="B18" s="254" t="s">
        <v>92</v>
      </c>
      <c r="C18" s="204"/>
      <c r="D18" s="254"/>
      <c r="E18" s="502"/>
      <c r="F18" s="501">
        <v>0</v>
      </c>
      <c r="G18" s="506" t="s">
        <v>2070</v>
      </c>
      <c r="H18" s="506">
        <v>0</v>
      </c>
      <c r="I18" s="506">
        <v>0</v>
      </c>
      <c r="J18" s="506">
        <v>0</v>
      </c>
      <c r="K18" s="506">
        <v>0</v>
      </c>
      <c r="L18" s="506">
        <v>0</v>
      </c>
      <c r="M18" s="506">
        <v>0</v>
      </c>
      <c r="N18" s="506">
        <v>0</v>
      </c>
      <c r="O18" s="506">
        <v>0</v>
      </c>
      <c r="P18" s="506">
        <v>0</v>
      </c>
      <c r="Q18" s="506">
        <v>0</v>
      </c>
      <c r="R18" s="506">
        <v>0</v>
      </c>
      <c r="S18" s="506">
        <v>0</v>
      </c>
      <c r="T18" s="506">
        <v>0</v>
      </c>
      <c r="U18" s="506">
        <v>0</v>
      </c>
      <c r="V18" s="506">
        <v>0</v>
      </c>
      <c r="W18" s="506">
        <v>0</v>
      </c>
      <c r="X18" s="506">
        <v>0</v>
      </c>
      <c r="Y18" s="506">
        <v>0</v>
      </c>
      <c r="Z18" s="506">
        <v>0</v>
      </c>
      <c r="AA18" s="506">
        <v>0</v>
      </c>
      <c r="AB18" s="506">
        <v>0</v>
      </c>
      <c r="AC18" s="506">
        <v>0</v>
      </c>
      <c r="AD18" s="506">
        <v>0</v>
      </c>
      <c r="AE18" s="506">
        <v>0</v>
      </c>
      <c r="AF18" s="506">
        <v>0</v>
      </c>
      <c r="AG18" s="506">
        <v>0</v>
      </c>
      <c r="AH18" s="506">
        <v>0</v>
      </c>
      <c r="AI18" s="506">
        <v>0</v>
      </c>
      <c r="AJ18" s="506">
        <v>0</v>
      </c>
      <c r="AK18" s="506">
        <v>0</v>
      </c>
      <c r="AL18" s="506">
        <v>0</v>
      </c>
      <c r="AM18" s="506">
        <v>0</v>
      </c>
      <c r="AN18" s="506">
        <v>0</v>
      </c>
      <c r="AO18" s="506">
        <v>0</v>
      </c>
      <c r="AP18" s="506">
        <v>0</v>
      </c>
      <c r="AQ18" s="506">
        <v>0</v>
      </c>
      <c r="AR18" s="506">
        <v>0</v>
      </c>
      <c r="AS18" s="506">
        <v>0</v>
      </c>
      <c r="AT18" s="506">
        <v>0</v>
      </c>
      <c r="AU18" s="506">
        <v>0</v>
      </c>
      <c r="AV18" s="506">
        <v>0</v>
      </c>
      <c r="AW18" s="506">
        <v>0</v>
      </c>
      <c r="AX18" s="506">
        <v>0</v>
      </c>
      <c r="AY18" s="506">
        <v>0</v>
      </c>
      <c r="AZ18" s="506">
        <v>0</v>
      </c>
      <c r="BA18" s="506">
        <v>0</v>
      </c>
      <c r="BB18" s="506">
        <v>0</v>
      </c>
      <c r="BC18" s="506">
        <v>0</v>
      </c>
      <c r="BD18" s="506">
        <v>0</v>
      </c>
      <c r="BE18" s="506">
        <v>0</v>
      </c>
      <c r="BF18" s="506">
        <v>0</v>
      </c>
      <c r="BG18" s="506">
        <v>0</v>
      </c>
      <c r="BH18" s="506">
        <v>0</v>
      </c>
      <c r="BI18" s="506">
        <v>0</v>
      </c>
    </row>
    <row r="19" spans="1:61" ht="12.95" customHeight="1" thickBot="1">
      <c r="A19" s="254" t="s">
        <v>1918</v>
      </c>
      <c r="B19" s="254" t="s">
        <v>92</v>
      </c>
      <c r="C19" s="204">
        <v>4</v>
      </c>
      <c r="D19" s="254" t="s">
        <v>1321</v>
      </c>
      <c r="E19" s="502">
        <v>1</v>
      </c>
      <c r="F19" s="501">
        <v>-16.850163706895898</v>
      </c>
      <c r="G19" s="506">
        <v>50</v>
      </c>
      <c r="H19" s="506">
        <v>0</v>
      </c>
      <c r="I19" s="506">
        <v>0</v>
      </c>
      <c r="J19" s="506">
        <v>0</v>
      </c>
      <c r="K19" s="506">
        <v>0</v>
      </c>
      <c r="L19" s="506">
        <v>8.6020000000000003</v>
      </c>
      <c r="M19" s="506">
        <v>8.6020000000000003</v>
      </c>
      <c r="N19" s="506">
        <v>7.0464905986930901</v>
      </c>
      <c r="O19" s="506">
        <v>-1.4097215659999799E-2</v>
      </c>
      <c r="P19" s="506">
        <v>7.0605878143530898</v>
      </c>
      <c r="Q19" s="506">
        <v>4.7863372205231201E-2</v>
      </c>
      <c r="R19" s="506">
        <v>357.80914697873402</v>
      </c>
      <c r="S19" s="506">
        <v>6.0141406001600002</v>
      </c>
      <c r="T19" s="506">
        <v>9.78971624939424E-3</v>
      </c>
      <c r="U19" s="506">
        <v>1.5562740834254501E-2</v>
      </c>
      <c r="V19" s="506">
        <v>2.7044531945443101E-6</v>
      </c>
      <c r="W19" s="506">
        <v>0</v>
      </c>
      <c r="X19" s="506">
        <v>0</v>
      </c>
      <c r="Y19" s="506">
        <v>0</v>
      </c>
      <c r="Z19" s="506">
        <v>0</v>
      </c>
      <c r="AA19" s="506">
        <v>0</v>
      </c>
      <c r="AB19" s="506">
        <v>0</v>
      </c>
      <c r="AC19" s="506">
        <v>0</v>
      </c>
      <c r="AD19" s="506">
        <v>0</v>
      </c>
      <c r="AE19" s="506">
        <v>0</v>
      </c>
      <c r="AF19" s="506">
        <v>0</v>
      </c>
      <c r="AG19" s="506">
        <v>0</v>
      </c>
      <c r="AH19" s="506">
        <v>1.19658430513078E-2</v>
      </c>
      <c r="AI19" s="506">
        <v>89.452286744683505</v>
      </c>
      <c r="AJ19" s="506">
        <v>7.8200000000000006E-3</v>
      </c>
      <c r="AK19" s="506">
        <v>2.3460000000000001</v>
      </c>
      <c r="AL19" s="506">
        <v>12.5</v>
      </c>
      <c r="AM19" s="506">
        <v>29.324999999999999</v>
      </c>
      <c r="AN19" s="506">
        <v>0</v>
      </c>
      <c r="AO19" s="506">
        <v>0</v>
      </c>
      <c r="AP19" s="506">
        <v>0</v>
      </c>
      <c r="AQ19" s="506">
        <v>0</v>
      </c>
      <c r="AR19" s="506">
        <v>0</v>
      </c>
      <c r="AS19" s="506">
        <v>0</v>
      </c>
      <c r="AT19" s="506">
        <v>12.5</v>
      </c>
      <c r="AU19" s="506">
        <v>0</v>
      </c>
      <c r="AV19" s="506">
        <v>0</v>
      </c>
      <c r="AW19" s="506">
        <v>0</v>
      </c>
      <c r="AX19" s="506">
        <v>0</v>
      </c>
      <c r="AY19" s="506">
        <v>0</v>
      </c>
      <c r="AZ19" s="506">
        <v>7.8200000000000006E-3</v>
      </c>
      <c r="BA19" s="506">
        <v>2.3460000000000001</v>
      </c>
      <c r="BB19" s="506">
        <v>12.5</v>
      </c>
      <c r="BC19" s="506">
        <v>29.225000000000001</v>
      </c>
      <c r="BD19" s="506">
        <v>0</v>
      </c>
      <c r="BE19" s="506">
        <v>7.8200000000000006E-3</v>
      </c>
      <c r="BF19" s="506">
        <v>0</v>
      </c>
      <c r="BG19" s="506">
        <v>0.1</v>
      </c>
      <c r="BH19" s="506">
        <v>2.5806</v>
      </c>
      <c r="BI19" s="506">
        <v>0.43009999999999998</v>
      </c>
    </row>
    <row r="20" spans="1:61" ht="12.95" customHeight="1" thickBot="1">
      <c r="A20" s="254" t="s">
        <v>1730</v>
      </c>
      <c r="B20" s="254" t="s">
        <v>92</v>
      </c>
      <c r="C20" s="204"/>
      <c r="D20" s="254"/>
      <c r="E20" s="502"/>
      <c r="F20" s="501"/>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506"/>
    </row>
    <row r="21" spans="1:61" ht="12.95" customHeight="1">
      <c r="A21" s="254" t="s">
        <v>2071</v>
      </c>
      <c r="B21" s="254"/>
      <c r="C21" s="204"/>
      <c r="D21" s="254"/>
      <c r="E21" s="502"/>
      <c r="F21" s="501"/>
      <c r="G21" s="506"/>
      <c r="H21" s="506"/>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6"/>
      <c r="AL21" s="506"/>
      <c r="AM21" s="506"/>
      <c r="AN21" s="506"/>
      <c r="AO21" s="506"/>
      <c r="AP21" s="506"/>
      <c r="AQ21" s="506"/>
      <c r="AR21" s="506"/>
      <c r="AS21" s="506"/>
      <c r="AT21" s="506"/>
      <c r="AU21" s="506"/>
      <c r="AV21" s="506"/>
      <c r="AW21" s="506"/>
      <c r="AX21" s="506"/>
      <c r="AY21" s="506"/>
      <c r="AZ21" s="506"/>
      <c r="BA21" s="506"/>
      <c r="BB21" s="506"/>
      <c r="BC21" s="506"/>
      <c r="BD21" s="506"/>
      <c r="BE21" s="506"/>
      <c r="BF21" s="506"/>
      <c r="BG21" s="506"/>
      <c r="BH21" s="506"/>
      <c r="BI21" s="506"/>
    </row>
    <row r="22" spans="1:61" ht="12.95" customHeight="1">
      <c r="A22" s="254" t="s">
        <v>1720</v>
      </c>
      <c r="B22" s="254" t="s">
        <v>93</v>
      </c>
      <c r="C22" s="204">
        <v>5</v>
      </c>
      <c r="D22" s="254" t="s">
        <v>1495</v>
      </c>
      <c r="E22" s="502">
        <v>1</v>
      </c>
      <c r="F22" s="501">
        <v>3.4869589358725501</v>
      </c>
      <c r="G22" s="506">
        <v>50</v>
      </c>
      <c r="H22" s="506">
        <v>0</v>
      </c>
      <c r="I22" s="506">
        <v>0</v>
      </c>
      <c r="J22" s="506">
        <v>0</v>
      </c>
      <c r="K22" s="506">
        <v>0</v>
      </c>
      <c r="L22" s="506">
        <v>85</v>
      </c>
      <c r="M22" s="506">
        <v>85</v>
      </c>
      <c r="N22" s="506">
        <v>25.1093850320343</v>
      </c>
      <c r="O22" s="506">
        <v>-1.6239833441708501E-3</v>
      </c>
      <c r="P22" s="506">
        <v>25.111009015378499</v>
      </c>
      <c r="Q22" s="506">
        <v>0.130118113809399</v>
      </c>
      <c r="R22" s="506">
        <v>548.589387678408</v>
      </c>
      <c r="S22" s="506">
        <v>6.5799737669239899</v>
      </c>
      <c r="T22" s="506">
        <v>1.7148279817577501E-2</v>
      </c>
      <c r="U22" s="506">
        <v>1.37565332693644E-2</v>
      </c>
      <c r="V22" s="506">
        <v>9.6732043716348807E-6</v>
      </c>
      <c r="W22" s="506">
        <v>25.111009015378499</v>
      </c>
      <c r="X22" s="506">
        <v>0.130118113809399</v>
      </c>
      <c r="Y22" s="506">
        <v>548.589387678408</v>
      </c>
      <c r="Z22" s="506">
        <v>6.5799737669239899</v>
      </c>
      <c r="AA22" s="506">
        <v>1.7148279817577501E-2</v>
      </c>
      <c r="AB22" s="506">
        <v>1.37565332693644E-2</v>
      </c>
      <c r="AC22" s="506">
        <v>9.6732043716348807E-6</v>
      </c>
      <c r="AD22" s="506">
        <v>0</v>
      </c>
      <c r="AE22" s="506">
        <v>0</v>
      </c>
      <c r="AF22" s="506">
        <v>0</v>
      </c>
      <c r="AG22" s="506">
        <v>0</v>
      </c>
      <c r="AH22" s="506">
        <v>3.2529528452349799E-2</v>
      </c>
      <c r="AI22" s="506">
        <v>137.147346919602</v>
      </c>
      <c r="AJ22" s="506">
        <v>1</v>
      </c>
      <c r="AK22" s="506">
        <v>300</v>
      </c>
      <c r="AL22" s="506">
        <v>12.5</v>
      </c>
      <c r="AM22" s="506">
        <v>3750</v>
      </c>
      <c r="AN22" s="506">
        <v>0</v>
      </c>
      <c r="AO22" s="506">
        <v>0</v>
      </c>
      <c r="AP22" s="506">
        <v>0</v>
      </c>
      <c r="AQ22" s="506">
        <v>0</v>
      </c>
      <c r="AR22" s="506">
        <v>1</v>
      </c>
      <c r="AS22" s="506">
        <v>300</v>
      </c>
      <c r="AT22" s="506">
        <v>12.5</v>
      </c>
      <c r="AU22" s="506">
        <v>3749.9</v>
      </c>
      <c r="AV22" s="506">
        <v>1</v>
      </c>
      <c r="AW22" s="506">
        <v>0</v>
      </c>
      <c r="AX22" s="506">
        <v>0</v>
      </c>
      <c r="AY22" s="506">
        <v>0.1</v>
      </c>
      <c r="AZ22" s="506">
        <v>2</v>
      </c>
      <c r="BA22" s="506">
        <v>600</v>
      </c>
      <c r="BB22" s="506">
        <v>12.5</v>
      </c>
      <c r="BC22" s="506">
        <v>7499.9</v>
      </c>
      <c r="BD22" s="506">
        <v>2</v>
      </c>
      <c r="BE22" s="506">
        <v>0</v>
      </c>
      <c r="BF22" s="506">
        <v>0</v>
      </c>
      <c r="BG22" s="506">
        <v>0.1</v>
      </c>
      <c r="BH22" s="506">
        <v>25.5</v>
      </c>
      <c r="BI22" s="506">
        <v>4.25</v>
      </c>
    </row>
    <row r="23" spans="1:61" ht="12.95" customHeight="1">
      <c r="A23" s="254" t="s">
        <v>1721</v>
      </c>
      <c r="B23" s="254" t="s">
        <v>93</v>
      </c>
      <c r="C23" s="204">
        <v>6</v>
      </c>
      <c r="D23" s="254" t="s">
        <v>1496</v>
      </c>
      <c r="E23" s="502">
        <v>1</v>
      </c>
      <c r="F23" s="501">
        <v>113.119460491589</v>
      </c>
      <c r="G23" s="506">
        <v>50</v>
      </c>
      <c r="H23" s="506">
        <v>0</v>
      </c>
      <c r="I23" s="506">
        <v>25</v>
      </c>
      <c r="J23" s="506">
        <v>0</v>
      </c>
      <c r="K23" s="506">
        <v>0</v>
      </c>
      <c r="L23" s="506">
        <v>0</v>
      </c>
      <c r="M23" s="506">
        <v>25</v>
      </c>
      <c r="N23" s="506">
        <v>104.23037796038</v>
      </c>
      <c r="O23" s="506">
        <v>0</v>
      </c>
      <c r="P23" s="506">
        <v>104.23037796038</v>
      </c>
      <c r="Q23" s="506">
        <v>0.372510979280193</v>
      </c>
      <c r="R23" s="506">
        <v>2472.3880078249999</v>
      </c>
      <c r="S23" s="506">
        <v>25.208634249999999</v>
      </c>
      <c r="T23" s="506">
        <v>0.228443190543243</v>
      </c>
      <c r="U23" s="506">
        <v>6.5179164565735498E-2</v>
      </c>
      <c r="V23" s="506">
        <v>2.7763453239341301E-6</v>
      </c>
      <c r="W23" s="506">
        <v>104.23037796038</v>
      </c>
      <c r="X23" s="506">
        <v>0.372510979280193</v>
      </c>
      <c r="Y23" s="506">
        <v>2472.3880078249999</v>
      </c>
      <c r="Z23" s="506">
        <v>25.208634249999999</v>
      </c>
      <c r="AA23" s="506">
        <v>0.228443190543243</v>
      </c>
      <c r="AB23" s="506">
        <v>6.5179164565735498E-2</v>
      </c>
      <c r="AC23" s="506">
        <v>2.7763453239341301E-6</v>
      </c>
      <c r="AD23" s="506">
        <v>0</v>
      </c>
      <c r="AE23" s="506">
        <v>0</v>
      </c>
      <c r="AF23" s="506">
        <v>0</v>
      </c>
      <c r="AG23" s="506">
        <v>0</v>
      </c>
      <c r="AH23" s="506">
        <v>9.3127744820048097E-2</v>
      </c>
      <c r="AI23" s="506">
        <v>618.09700195624998</v>
      </c>
      <c r="AJ23" s="506">
        <v>1</v>
      </c>
      <c r="AK23" s="506">
        <v>300</v>
      </c>
      <c r="AL23" s="506">
        <v>12.5</v>
      </c>
      <c r="AM23" s="506">
        <v>3749.9</v>
      </c>
      <c r="AN23" s="506">
        <v>0</v>
      </c>
      <c r="AO23" s="506">
        <v>25</v>
      </c>
      <c r="AP23" s="506">
        <v>0</v>
      </c>
      <c r="AQ23" s="506">
        <v>0.1</v>
      </c>
      <c r="AR23" s="506">
        <v>1</v>
      </c>
      <c r="AS23" s="506">
        <v>300</v>
      </c>
      <c r="AT23" s="506">
        <v>12.5</v>
      </c>
      <c r="AU23" s="506">
        <v>3749.9</v>
      </c>
      <c r="AV23" s="506">
        <v>0</v>
      </c>
      <c r="AW23" s="506">
        <v>1</v>
      </c>
      <c r="AX23" s="506">
        <v>0</v>
      </c>
      <c r="AY23" s="506">
        <v>0.1</v>
      </c>
      <c r="AZ23" s="506">
        <v>2</v>
      </c>
      <c r="BA23" s="506">
        <v>600</v>
      </c>
      <c r="BB23" s="506">
        <v>12.5</v>
      </c>
      <c r="BC23" s="506">
        <v>7499.9</v>
      </c>
      <c r="BD23" s="506">
        <v>0</v>
      </c>
      <c r="BE23" s="506">
        <v>2</v>
      </c>
      <c r="BF23" s="506">
        <v>0</v>
      </c>
      <c r="BG23" s="506">
        <v>0.1</v>
      </c>
      <c r="BH23" s="506">
        <v>7.5</v>
      </c>
      <c r="BI23" s="506">
        <v>1.25</v>
      </c>
    </row>
    <row r="24" spans="1:61" ht="12.95" customHeight="1">
      <c r="A24" s="254" t="s">
        <v>1722</v>
      </c>
      <c r="B24" s="254" t="s">
        <v>93</v>
      </c>
      <c r="C24" s="204">
        <v>7</v>
      </c>
      <c r="D24" s="254" t="s">
        <v>1497</v>
      </c>
      <c r="E24" s="502">
        <v>1</v>
      </c>
      <c r="F24" s="501">
        <v>187.54055798181</v>
      </c>
      <c r="G24" s="506">
        <v>50</v>
      </c>
      <c r="H24" s="506">
        <v>0</v>
      </c>
      <c r="I24" s="506">
        <v>38</v>
      </c>
      <c r="J24" s="506">
        <v>0</v>
      </c>
      <c r="K24" s="506">
        <v>0</v>
      </c>
      <c r="L24" s="506">
        <v>0</v>
      </c>
      <c r="M24" s="506">
        <v>38</v>
      </c>
      <c r="N24" s="506">
        <v>159.77493699840201</v>
      </c>
      <c r="O24" s="506">
        <v>0</v>
      </c>
      <c r="P24" s="506">
        <v>159.77493699840201</v>
      </c>
      <c r="Q24" s="506">
        <v>0.59047256343615095</v>
      </c>
      <c r="R24" s="506">
        <v>3555.4518007176698</v>
      </c>
      <c r="S24" s="506">
        <v>34.983430232412999</v>
      </c>
      <c r="T24" s="506">
        <v>0.31020260410808997</v>
      </c>
      <c r="U24" s="506">
        <v>9.7351177347503606E-2</v>
      </c>
      <c r="V24" s="506">
        <v>2.26647590704734E-6</v>
      </c>
      <c r="W24" s="506">
        <v>159.77493699840201</v>
      </c>
      <c r="X24" s="506">
        <v>0.59047256343615095</v>
      </c>
      <c r="Y24" s="506">
        <v>3555.4518007176698</v>
      </c>
      <c r="Z24" s="506">
        <v>34.983430232412999</v>
      </c>
      <c r="AA24" s="506">
        <v>0.31020260410808997</v>
      </c>
      <c r="AB24" s="506">
        <v>9.7351177347503606E-2</v>
      </c>
      <c r="AC24" s="506">
        <v>2.26647590704734E-6</v>
      </c>
      <c r="AD24" s="506">
        <v>0</v>
      </c>
      <c r="AE24" s="506">
        <v>0</v>
      </c>
      <c r="AF24" s="506">
        <v>0</v>
      </c>
      <c r="AG24" s="506">
        <v>0</v>
      </c>
      <c r="AH24" s="506">
        <v>0.14761814085903799</v>
      </c>
      <c r="AI24" s="506">
        <v>888.86295017941802</v>
      </c>
      <c r="AJ24" s="506">
        <v>1</v>
      </c>
      <c r="AK24" s="506">
        <v>300</v>
      </c>
      <c r="AL24" s="506">
        <v>12.5</v>
      </c>
      <c r="AM24" s="506">
        <v>3749.9</v>
      </c>
      <c r="AN24" s="506">
        <v>0</v>
      </c>
      <c r="AO24" s="506">
        <v>38</v>
      </c>
      <c r="AP24" s="506">
        <v>0</v>
      </c>
      <c r="AQ24" s="506">
        <v>0.1</v>
      </c>
      <c r="AR24" s="506">
        <v>1</v>
      </c>
      <c r="AS24" s="506">
        <v>300</v>
      </c>
      <c r="AT24" s="506">
        <v>12.5</v>
      </c>
      <c r="AU24" s="506">
        <v>3749.9</v>
      </c>
      <c r="AV24" s="506">
        <v>0</v>
      </c>
      <c r="AW24" s="506">
        <v>1</v>
      </c>
      <c r="AX24" s="506">
        <v>0</v>
      </c>
      <c r="AY24" s="506">
        <v>0.1</v>
      </c>
      <c r="AZ24" s="506">
        <v>2</v>
      </c>
      <c r="BA24" s="506">
        <v>600</v>
      </c>
      <c r="BB24" s="506">
        <v>12.5</v>
      </c>
      <c r="BC24" s="506">
        <v>7499.9</v>
      </c>
      <c r="BD24" s="506">
        <v>0</v>
      </c>
      <c r="BE24" s="506">
        <v>2</v>
      </c>
      <c r="BF24" s="506">
        <v>0</v>
      </c>
      <c r="BG24" s="506">
        <v>0.1</v>
      </c>
      <c r="BH24" s="506">
        <v>11.4</v>
      </c>
      <c r="BI24" s="506">
        <v>1.9</v>
      </c>
    </row>
    <row r="25" spans="1:61" ht="12.95" customHeight="1">
      <c r="A25" s="254" t="s">
        <v>1719</v>
      </c>
      <c r="B25" s="254" t="s">
        <v>93</v>
      </c>
      <c r="C25" s="204">
        <v>8</v>
      </c>
      <c r="D25" s="254" t="s">
        <v>1498</v>
      </c>
      <c r="E25" s="502">
        <v>1</v>
      </c>
      <c r="F25" s="501">
        <v>187.54055798181</v>
      </c>
      <c r="G25" s="506">
        <v>100</v>
      </c>
      <c r="H25" s="506">
        <v>0</v>
      </c>
      <c r="I25" s="506">
        <v>38</v>
      </c>
      <c r="J25" s="506">
        <v>0</v>
      </c>
      <c r="K25" s="506">
        <v>0</v>
      </c>
      <c r="L25" s="506">
        <v>0</v>
      </c>
      <c r="M25" s="506">
        <v>38</v>
      </c>
      <c r="N25" s="506">
        <v>159.77493699840201</v>
      </c>
      <c r="O25" s="506">
        <v>0</v>
      </c>
      <c r="P25" s="506">
        <v>159.77493699840201</v>
      </c>
      <c r="Q25" s="506">
        <v>0.59047256343615095</v>
      </c>
      <c r="R25" s="506">
        <v>3555.4518007176698</v>
      </c>
      <c r="S25" s="506">
        <v>34.983430232412999</v>
      </c>
      <c r="T25" s="506">
        <v>0.31020260410808997</v>
      </c>
      <c r="U25" s="506">
        <v>9.7351177347503606E-2</v>
      </c>
      <c r="V25" s="506">
        <v>2.26647590704734E-6</v>
      </c>
      <c r="W25" s="506">
        <v>159.77493699840201</v>
      </c>
      <c r="X25" s="506">
        <v>0.59047256343615095</v>
      </c>
      <c r="Y25" s="506">
        <v>3555.4518007176698</v>
      </c>
      <c r="Z25" s="506">
        <v>34.983430232412999</v>
      </c>
      <c r="AA25" s="506">
        <v>0.31020260410808997</v>
      </c>
      <c r="AB25" s="506">
        <v>9.7351177347503606E-2</v>
      </c>
      <c r="AC25" s="506">
        <v>2.26647590704734E-6</v>
      </c>
      <c r="AD25" s="506">
        <v>0</v>
      </c>
      <c r="AE25" s="506">
        <v>0</v>
      </c>
      <c r="AF25" s="506">
        <v>0</v>
      </c>
      <c r="AG25" s="506">
        <v>0</v>
      </c>
      <c r="AH25" s="506">
        <v>0.14761814085903799</v>
      </c>
      <c r="AI25" s="506">
        <v>888.86295017941802</v>
      </c>
      <c r="AJ25" s="506">
        <v>1</v>
      </c>
      <c r="AK25" s="506">
        <v>300</v>
      </c>
      <c r="AL25" s="506">
        <v>12.5</v>
      </c>
      <c r="AM25" s="506">
        <v>3749.9</v>
      </c>
      <c r="AN25" s="506">
        <v>0</v>
      </c>
      <c r="AO25" s="506">
        <v>38</v>
      </c>
      <c r="AP25" s="506">
        <v>0</v>
      </c>
      <c r="AQ25" s="506">
        <v>0.1</v>
      </c>
      <c r="AR25" s="506">
        <v>1</v>
      </c>
      <c r="AS25" s="506">
        <v>300</v>
      </c>
      <c r="AT25" s="506">
        <v>12.5</v>
      </c>
      <c r="AU25" s="506">
        <v>3749.9</v>
      </c>
      <c r="AV25" s="506">
        <v>0</v>
      </c>
      <c r="AW25" s="506">
        <v>1</v>
      </c>
      <c r="AX25" s="506">
        <v>0</v>
      </c>
      <c r="AY25" s="506">
        <v>0.1</v>
      </c>
      <c r="AZ25" s="506">
        <v>2</v>
      </c>
      <c r="BA25" s="506">
        <v>600</v>
      </c>
      <c r="BB25" s="506">
        <v>12.5</v>
      </c>
      <c r="BC25" s="506">
        <v>7499.9</v>
      </c>
      <c r="BD25" s="506">
        <v>0</v>
      </c>
      <c r="BE25" s="506">
        <v>2</v>
      </c>
      <c r="BF25" s="506">
        <v>0</v>
      </c>
      <c r="BG25" s="506">
        <v>0.1</v>
      </c>
      <c r="BH25" s="506">
        <v>11.4</v>
      </c>
      <c r="BI25" s="506">
        <v>1.9</v>
      </c>
    </row>
    <row r="26" spans="1:61" ht="12.95" customHeight="1">
      <c r="A26" s="254" t="s">
        <v>1723</v>
      </c>
      <c r="B26" s="254" t="s">
        <v>93</v>
      </c>
      <c r="C26" s="204">
        <v>9</v>
      </c>
      <c r="D26" s="254" t="s">
        <v>1499</v>
      </c>
      <c r="E26" s="502">
        <v>1</v>
      </c>
      <c r="F26" s="501">
        <v>319.67047545583699</v>
      </c>
      <c r="G26" s="506">
        <v>100</v>
      </c>
      <c r="H26" s="506">
        <v>0</v>
      </c>
      <c r="I26" s="506">
        <v>0</v>
      </c>
      <c r="J26" s="506">
        <v>0</v>
      </c>
      <c r="K26" s="506">
        <v>0</v>
      </c>
      <c r="L26" s="506">
        <v>120</v>
      </c>
      <c r="M26" s="506">
        <v>120</v>
      </c>
      <c r="N26" s="506">
        <v>291.98707537894097</v>
      </c>
      <c r="O26" s="506">
        <v>0</v>
      </c>
      <c r="P26" s="506">
        <v>291.98707537894097</v>
      </c>
      <c r="Q26" s="506">
        <v>1.07536290866923</v>
      </c>
      <c r="R26" s="506">
        <v>4918.7272521034902</v>
      </c>
      <c r="S26" s="506">
        <v>336.77143838030798</v>
      </c>
      <c r="T26" s="506">
        <v>7.7078078528748803E-2</v>
      </c>
      <c r="U26" s="506">
        <v>0.57530551992580004</v>
      </c>
      <c r="V26" s="506">
        <v>2.2870277019952299E-5</v>
      </c>
      <c r="W26" s="506">
        <v>291.98707537894097</v>
      </c>
      <c r="X26" s="506">
        <v>1.07536290866923</v>
      </c>
      <c r="Y26" s="506">
        <v>4918.7272521034902</v>
      </c>
      <c r="Z26" s="506">
        <v>336.77143838030798</v>
      </c>
      <c r="AA26" s="506">
        <v>7.7078078528748803E-2</v>
      </c>
      <c r="AB26" s="506">
        <v>0.57530551992580004</v>
      </c>
      <c r="AC26" s="506">
        <v>2.2870277019952299E-5</v>
      </c>
      <c r="AD26" s="506">
        <v>0</v>
      </c>
      <c r="AE26" s="506">
        <v>0</v>
      </c>
      <c r="AF26" s="506">
        <v>0</v>
      </c>
      <c r="AG26" s="506">
        <v>0</v>
      </c>
      <c r="AH26" s="506">
        <v>0.268840727167307</v>
      </c>
      <c r="AI26" s="506">
        <v>1229.68181302587</v>
      </c>
      <c r="AJ26" s="506">
        <v>1</v>
      </c>
      <c r="AK26" s="506">
        <v>300</v>
      </c>
      <c r="AL26" s="506">
        <v>12.5</v>
      </c>
      <c r="AM26" s="506">
        <v>3750</v>
      </c>
      <c r="AN26" s="506">
        <v>0</v>
      </c>
      <c r="AO26" s="506">
        <v>0</v>
      </c>
      <c r="AP26" s="506">
        <v>0</v>
      </c>
      <c r="AQ26" s="506">
        <v>0</v>
      </c>
      <c r="AR26" s="506">
        <v>1</v>
      </c>
      <c r="AS26" s="506">
        <v>300</v>
      </c>
      <c r="AT26" s="506">
        <v>12.5</v>
      </c>
      <c r="AU26" s="506">
        <v>3749.9</v>
      </c>
      <c r="AV26" s="506">
        <v>1</v>
      </c>
      <c r="AW26" s="506">
        <v>0</v>
      </c>
      <c r="AX26" s="506">
        <v>0</v>
      </c>
      <c r="AY26" s="506">
        <v>0.1</v>
      </c>
      <c r="AZ26" s="506">
        <v>2</v>
      </c>
      <c r="BA26" s="506">
        <v>600</v>
      </c>
      <c r="BB26" s="506">
        <v>12.5</v>
      </c>
      <c r="BC26" s="506">
        <v>7499.9</v>
      </c>
      <c r="BD26" s="506">
        <v>2</v>
      </c>
      <c r="BE26" s="506">
        <v>0</v>
      </c>
      <c r="BF26" s="506">
        <v>0</v>
      </c>
      <c r="BG26" s="506">
        <v>0.1</v>
      </c>
      <c r="BH26" s="506">
        <v>36</v>
      </c>
      <c r="BI26" s="506">
        <v>6</v>
      </c>
    </row>
    <row r="27" spans="1:61" ht="12.95" customHeight="1">
      <c r="A27" s="254" t="s">
        <v>1469</v>
      </c>
      <c r="B27" s="254" t="s">
        <v>93</v>
      </c>
      <c r="C27" s="204">
        <v>10</v>
      </c>
      <c r="D27" s="254" t="s">
        <v>1500</v>
      </c>
      <c r="E27" s="502">
        <v>1</v>
      </c>
      <c r="F27" s="501">
        <v>86.664631487609597</v>
      </c>
      <c r="G27" s="506">
        <v>100</v>
      </c>
      <c r="H27" s="506">
        <v>0</v>
      </c>
      <c r="I27" s="506">
        <v>0</v>
      </c>
      <c r="J27" s="506">
        <v>0</v>
      </c>
      <c r="K27" s="506">
        <v>0</v>
      </c>
      <c r="L27" s="506">
        <v>210</v>
      </c>
      <c r="M27" s="506">
        <v>210</v>
      </c>
      <c r="N27" s="506">
        <v>90.015702079104898</v>
      </c>
      <c r="O27" s="506">
        <v>-0.47973076381775598</v>
      </c>
      <c r="P27" s="506">
        <v>90.495432842922696</v>
      </c>
      <c r="Q27" s="506">
        <v>0.40459814815690598</v>
      </c>
      <c r="R27" s="506">
        <v>1621.4678416051399</v>
      </c>
      <c r="S27" s="506">
        <v>81.039923852133995</v>
      </c>
      <c r="T27" s="506">
        <v>3.2381030312288103E-2</v>
      </c>
      <c r="U27" s="506">
        <v>0.18874114630526301</v>
      </c>
      <c r="V27" s="506">
        <v>9.2264367743130397E-6</v>
      </c>
      <c r="W27" s="506">
        <v>90.495432842922696</v>
      </c>
      <c r="X27" s="506">
        <v>0.40459814815690598</v>
      </c>
      <c r="Y27" s="506">
        <v>1621.4678416051399</v>
      </c>
      <c r="Z27" s="506">
        <v>81.039923852133995</v>
      </c>
      <c r="AA27" s="506">
        <v>3.2381030312288103E-2</v>
      </c>
      <c r="AB27" s="506">
        <v>0.18874114630526301</v>
      </c>
      <c r="AC27" s="506">
        <v>9.2264367743130397E-6</v>
      </c>
      <c r="AD27" s="506">
        <v>0</v>
      </c>
      <c r="AE27" s="506">
        <v>0</v>
      </c>
      <c r="AF27" s="506">
        <v>0</v>
      </c>
      <c r="AG27" s="506">
        <v>0</v>
      </c>
      <c r="AH27" s="506">
        <v>0.10114953703922699</v>
      </c>
      <c r="AI27" s="506">
        <v>405.36696040128402</v>
      </c>
      <c r="AJ27" s="506">
        <v>1</v>
      </c>
      <c r="AK27" s="506">
        <v>300</v>
      </c>
      <c r="AL27" s="506">
        <v>12.5</v>
      </c>
      <c r="AM27" s="506">
        <v>3750</v>
      </c>
      <c r="AN27" s="506">
        <v>0</v>
      </c>
      <c r="AO27" s="506">
        <v>0</v>
      </c>
      <c r="AP27" s="506">
        <v>0</v>
      </c>
      <c r="AQ27" s="506">
        <v>0</v>
      </c>
      <c r="AR27" s="506">
        <v>1</v>
      </c>
      <c r="AS27" s="506">
        <v>300</v>
      </c>
      <c r="AT27" s="506">
        <v>12.5</v>
      </c>
      <c r="AU27" s="506">
        <v>3749.9</v>
      </c>
      <c r="AV27" s="506">
        <v>1</v>
      </c>
      <c r="AW27" s="506">
        <v>0</v>
      </c>
      <c r="AX27" s="506">
        <v>0</v>
      </c>
      <c r="AY27" s="506">
        <v>0.1</v>
      </c>
      <c r="AZ27" s="506">
        <v>2</v>
      </c>
      <c r="BA27" s="506">
        <v>600</v>
      </c>
      <c r="BB27" s="506">
        <v>12.5</v>
      </c>
      <c r="BC27" s="506">
        <v>7499.9</v>
      </c>
      <c r="BD27" s="506">
        <v>2</v>
      </c>
      <c r="BE27" s="506">
        <v>0</v>
      </c>
      <c r="BF27" s="506">
        <v>0</v>
      </c>
      <c r="BG27" s="506">
        <v>0.1</v>
      </c>
      <c r="BH27" s="506">
        <v>63</v>
      </c>
      <c r="BI27" s="506">
        <v>10.5</v>
      </c>
    </row>
    <row r="28" spans="1:61" ht="12.95" customHeight="1" thickBot="1">
      <c r="A28" s="254" t="s">
        <v>1433</v>
      </c>
      <c r="B28" s="254" t="s">
        <v>93</v>
      </c>
      <c r="C28" s="204">
        <v>11</v>
      </c>
      <c r="D28" s="254" t="s">
        <v>1322</v>
      </c>
      <c r="E28" s="502">
        <v>1</v>
      </c>
      <c r="F28" s="501">
        <v>361.28118417856098</v>
      </c>
      <c r="G28" s="506">
        <v>100</v>
      </c>
      <c r="H28" s="506">
        <v>0</v>
      </c>
      <c r="I28" s="506">
        <v>0</v>
      </c>
      <c r="J28" s="506">
        <v>0</v>
      </c>
      <c r="K28" s="506">
        <v>0</v>
      </c>
      <c r="L28" s="506">
        <v>137.19999999999999</v>
      </c>
      <c r="M28" s="506">
        <v>137.19999999999999</v>
      </c>
      <c r="N28" s="506">
        <v>299.32838495782403</v>
      </c>
      <c r="O28" s="506">
        <v>-1.5191039999995701E-3</v>
      </c>
      <c r="P28" s="506">
        <v>299.32990406182398</v>
      </c>
      <c r="Q28" s="506">
        <v>1.1678026784053499</v>
      </c>
      <c r="R28" s="506">
        <v>5760.5828869462903</v>
      </c>
      <c r="S28" s="506">
        <v>338.66682024430798</v>
      </c>
      <c r="T28" s="506">
        <v>9.0567464200183898E-2</v>
      </c>
      <c r="U28" s="506">
        <v>0.58908895050661703</v>
      </c>
      <c r="V28" s="506">
        <v>3.0453508097133599E-5</v>
      </c>
      <c r="W28" s="506">
        <v>0</v>
      </c>
      <c r="X28" s="506">
        <v>0</v>
      </c>
      <c r="Y28" s="506">
        <v>0</v>
      </c>
      <c r="Z28" s="506">
        <v>0</v>
      </c>
      <c r="AA28" s="506">
        <v>0</v>
      </c>
      <c r="AB28" s="506">
        <v>0</v>
      </c>
      <c r="AC28" s="506">
        <v>0</v>
      </c>
      <c r="AD28" s="506">
        <v>0</v>
      </c>
      <c r="AE28" s="506">
        <v>0</v>
      </c>
      <c r="AF28" s="506">
        <v>0</v>
      </c>
      <c r="AG28" s="506">
        <v>0</v>
      </c>
      <c r="AH28" s="506">
        <v>0.29195066960133798</v>
      </c>
      <c r="AI28" s="506">
        <v>1440.1457217365701</v>
      </c>
      <c r="AJ28" s="506">
        <v>1.0163809523809499</v>
      </c>
      <c r="AK28" s="506">
        <v>304.914285714286</v>
      </c>
      <c r="AL28" s="506">
        <v>25</v>
      </c>
      <c r="AM28" s="506">
        <v>3811.4285714285702</v>
      </c>
      <c r="AN28" s="506">
        <v>0</v>
      </c>
      <c r="AO28" s="506">
        <v>0</v>
      </c>
      <c r="AP28" s="506">
        <v>0</v>
      </c>
      <c r="AQ28" s="506">
        <v>0</v>
      </c>
      <c r="AR28" s="506">
        <v>0</v>
      </c>
      <c r="AS28" s="506">
        <v>0</v>
      </c>
      <c r="AT28" s="506">
        <v>25</v>
      </c>
      <c r="AU28" s="506">
        <v>0</v>
      </c>
      <c r="AV28" s="506">
        <v>0</v>
      </c>
      <c r="AW28" s="506">
        <v>0</v>
      </c>
      <c r="AX28" s="506">
        <v>0</v>
      </c>
      <c r="AY28" s="506">
        <v>0</v>
      </c>
      <c r="AZ28" s="506">
        <v>1.0163809523809499</v>
      </c>
      <c r="BA28" s="506">
        <v>304.914285714286</v>
      </c>
      <c r="BB28" s="506">
        <v>25</v>
      </c>
      <c r="BC28" s="506">
        <v>3811.3285714285698</v>
      </c>
      <c r="BD28" s="506">
        <v>1</v>
      </c>
      <c r="BE28" s="506">
        <v>1.6380952380952399E-2</v>
      </c>
      <c r="BF28" s="506">
        <v>0</v>
      </c>
      <c r="BG28" s="506">
        <v>0.1</v>
      </c>
      <c r="BH28" s="506">
        <v>41.16</v>
      </c>
      <c r="BI28" s="506">
        <v>6.86</v>
      </c>
    </row>
    <row r="29" spans="1:61" ht="12.95" customHeight="1" thickBot="1">
      <c r="A29" s="254" t="s">
        <v>1724</v>
      </c>
      <c r="B29" s="254" t="s">
        <v>93</v>
      </c>
      <c r="C29" s="204"/>
      <c r="D29" s="254"/>
      <c r="E29" s="502"/>
      <c r="F29" s="501"/>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506"/>
    </row>
    <row r="30" spans="1:61" ht="12.95" customHeight="1">
      <c r="A30" s="254" t="s">
        <v>2071</v>
      </c>
      <c r="B30" s="254"/>
      <c r="C30" s="204"/>
      <c r="D30" s="254"/>
      <c r="E30" s="502"/>
      <c r="F30" s="501"/>
      <c r="G30" s="506"/>
      <c r="H30" s="506"/>
      <c r="I30" s="506"/>
      <c r="J30" s="506"/>
      <c r="K30" s="506"/>
      <c r="L30" s="506"/>
      <c r="M30" s="506"/>
      <c r="N30" s="506"/>
      <c r="O30" s="506"/>
      <c r="P30" s="506"/>
      <c r="Q30" s="506"/>
      <c r="R30" s="506"/>
      <c r="S30" s="506"/>
      <c r="T30" s="506"/>
      <c r="U30" s="506"/>
      <c r="V30" s="506"/>
      <c r="W30" s="506"/>
      <c r="X30" s="506"/>
      <c r="Y30" s="506"/>
      <c r="Z30" s="506"/>
      <c r="AA30" s="506"/>
      <c r="AB30" s="506"/>
      <c r="AC30" s="506"/>
      <c r="AD30" s="506"/>
      <c r="AE30" s="506"/>
      <c r="AF30" s="506"/>
      <c r="AG30" s="506"/>
      <c r="AH30" s="506"/>
      <c r="AI30" s="506"/>
      <c r="AJ30" s="506"/>
      <c r="AK30" s="506"/>
      <c r="AL30" s="506"/>
      <c r="AM30" s="506"/>
      <c r="AN30" s="506"/>
      <c r="AO30" s="506"/>
      <c r="AP30" s="506"/>
      <c r="AQ30" s="506"/>
      <c r="AR30" s="506"/>
      <c r="AS30" s="506"/>
      <c r="AT30" s="506"/>
      <c r="AU30" s="506"/>
      <c r="AV30" s="506"/>
      <c r="AW30" s="506"/>
      <c r="AX30" s="506"/>
      <c r="AY30" s="506"/>
      <c r="AZ30" s="506"/>
      <c r="BA30" s="506"/>
      <c r="BB30" s="506"/>
      <c r="BC30" s="506"/>
      <c r="BD30" s="506"/>
      <c r="BE30" s="506"/>
      <c r="BF30" s="506"/>
      <c r="BG30" s="506"/>
      <c r="BH30" s="506"/>
      <c r="BI30" s="506"/>
    </row>
    <row r="31" spans="1:61" ht="12.95" customHeight="1">
      <c r="A31" s="254" t="s">
        <v>1434</v>
      </c>
      <c r="B31" s="254" t="s">
        <v>92</v>
      </c>
      <c r="C31" s="204">
        <v>12</v>
      </c>
      <c r="D31" s="254" t="s">
        <v>1323</v>
      </c>
      <c r="E31" s="502">
        <v>1</v>
      </c>
      <c r="F31" s="501">
        <v>-7.0850637365976699</v>
      </c>
      <c r="G31" s="506">
        <v>50</v>
      </c>
      <c r="H31" s="506">
        <v>0</v>
      </c>
      <c r="I31" s="506">
        <v>6.35</v>
      </c>
      <c r="J31" s="506">
        <v>0</v>
      </c>
      <c r="K31" s="506">
        <v>120</v>
      </c>
      <c r="L31" s="506">
        <v>2.04</v>
      </c>
      <c r="M31" s="506">
        <v>128.38999999999999</v>
      </c>
      <c r="N31" s="506">
        <v>27.753906061379102</v>
      </c>
      <c r="O31" s="506">
        <v>-5.1280954240919899E-2</v>
      </c>
      <c r="P31" s="506">
        <v>27.80518701562</v>
      </c>
      <c r="Q31" s="506">
        <v>9.0004274362539397E-2</v>
      </c>
      <c r="R31" s="506">
        <v>378.66146014501697</v>
      </c>
      <c r="S31" s="506">
        <v>35.7560209187439</v>
      </c>
      <c r="T31" s="506">
        <v>2.16983906791746E-2</v>
      </c>
      <c r="U31" s="506">
        <v>3.8647192595777403E-2</v>
      </c>
      <c r="V31" s="506">
        <v>1.1934950282103899E-6</v>
      </c>
      <c r="W31" s="506">
        <v>27.80518701562</v>
      </c>
      <c r="X31" s="506">
        <v>9.0004274362539397E-2</v>
      </c>
      <c r="Y31" s="506">
        <v>378.66146014501697</v>
      </c>
      <c r="Z31" s="506">
        <v>35.7560209187439</v>
      </c>
      <c r="AA31" s="506">
        <v>2.16983906791746E-2</v>
      </c>
      <c r="AB31" s="506">
        <v>3.8647192595777403E-2</v>
      </c>
      <c r="AC31" s="506">
        <v>1.1934950282103899E-6</v>
      </c>
      <c r="AD31" s="506">
        <v>0</v>
      </c>
      <c r="AE31" s="506">
        <v>0</v>
      </c>
      <c r="AF31" s="506">
        <v>0</v>
      </c>
      <c r="AG31" s="506">
        <v>0</v>
      </c>
      <c r="AH31" s="506">
        <v>2.2501068590634801E-2</v>
      </c>
      <c r="AI31" s="506">
        <v>94.665365036254201</v>
      </c>
      <c r="AJ31" s="506">
        <v>0.14010204081632699</v>
      </c>
      <c r="AK31" s="506">
        <v>27.030612244897998</v>
      </c>
      <c r="AL31" s="506">
        <v>50</v>
      </c>
      <c r="AM31" s="506">
        <v>337.78265306122398</v>
      </c>
      <c r="AN31" s="506">
        <v>0</v>
      </c>
      <c r="AO31" s="506">
        <v>6.35</v>
      </c>
      <c r="AP31" s="506">
        <v>0</v>
      </c>
      <c r="AQ31" s="506">
        <v>0.1</v>
      </c>
      <c r="AR31" s="506">
        <v>0.14010204081632699</v>
      </c>
      <c r="AS31" s="506">
        <v>27.030612244897998</v>
      </c>
      <c r="AT31" s="506">
        <v>50</v>
      </c>
      <c r="AU31" s="506">
        <v>337.882653061224</v>
      </c>
      <c r="AV31" s="506">
        <v>9.5000000000000001E-2</v>
      </c>
      <c r="AW31" s="506">
        <v>4.5102040816326502E-2</v>
      </c>
      <c r="AX31" s="506">
        <v>0</v>
      </c>
      <c r="AY31" s="506">
        <v>0</v>
      </c>
      <c r="AZ31" s="506">
        <v>0.28020408163265298</v>
      </c>
      <c r="BA31" s="506">
        <v>54.061224489795897</v>
      </c>
      <c r="BB31" s="506">
        <v>50</v>
      </c>
      <c r="BC31" s="506">
        <v>675.76530612244903</v>
      </c>
      <c r="BD31" s="506">
        <v>0.19</v>
      </c>
      <c r="BE31" s="506">
        <v>9.0204081632653102E-2</v>
      </c>
      <c r="BF31" s="506">
        <v>0</v>
      </c>
      <c r="BG31" s="506">
        <v>0</v>
      </c>
      <c r="BH31" s="506">
        <v>8.5169999999999995</v>
      </c>
      <c r="BI31" s="506">
        <v>6.4195000000000002</v>
      </c>
    </row>
    <row r="32" spans="1:61" ht="12.95" customHeight="1" thickBot="1">
      <c r="A32" s="254" t="s">
        <v>1501</v>
      </c>
      <c r="B32" s="254" t="s">
        <v>92</v>
      </c>
      <c r="C32" s="204">
        <v>13</v>
      </c>
      <c r="D32" s="254" t="s">
        <v>1324</v>
      </c>
      <c r="E32" s="502">
        <v>1</v>
      </c>
      <c r="F32" s="501">
        <v>-15.922987691111899</v>
      </c>
      <c r="G32" s="506">
        <v>50</v>
      </c>
      <c r="H32" s="506">
        <v>20.399999999999999</v>
      </c>
      <c r="I32" s="506">
        <v>0</v>
      </c>
      <c r="J32" s="506">
        <v>0</v>
      </c>
      <c r="K32" s="506">
        <v>0</v>
      </c>
      <c r="L32" s="506">
        <v>2.75</v>
      </c>
      <c r="M32" s="506">
        <v>23.15</v>
      </c>
      <c r="N32" s="506">
        <v>-18.185900267011899</v>
      </c>
      <c r="O32" s="506">
        <v>-35.512156296027101</v>
      </c>
      <c r="P32" s="506">
        <v>17.326256029015202</v>
      </c>
      <c r="Q32" s="506">
        <v>8.0909623527922497E-2</v>
      </c>
      <c r="R32" s="506">
        <v>379.60137649001098</v>
      </c>
      <c r="S32" s="506">
        <v>445.95830767749999</v>
      </c>
      <c r="T32" s="506">
        <v>1.6703929489939099E-2</v>
      </c>
      <c r="U32" s="506">
        <v>3.4844348044568603E-2</v>
      </c>
      <c r="V32" s="506">
        <v>1.18226577689819E-6</v>
      </c>
      <c r="W32" s="506">
        <v>17.326256029015202</v>
      </c>
      <c r="X32" s="506">
        <v>8.0909623527922497E-2</v>
      </c>
      <c r="Y32" s="506">
        <v>379.60137649001098</v>
      </c>
      <c r="Z32" s="506">
        <v>445.95830767749999</v>
      </c>
      <c r="AA32" s="506">
        <v>1.6703929489939099E-2</v>
      </c>
      <c r="AB32" s="506">
        <v>3.4844348044568603E-2</v>
      </c>
      <c r="AC32" s="506">
        <v>1.18226577689819E-6</v>
      </c>
      <c r="AD32" s="506">
        <v>0</v>
      </c>
      <c r="AE32" s="506">
        <v>0</v>
      </c>
      <c r="AF32" s="506">
        <v>0</v>
      </c>
      <c r="AG32" s="506">
        <v>0</v>
      </c>
      <c r="AH32" s="506">
        <v>2.02274058819806E-2</v>
      </c>
      <c r="AI32" s="506">
        <v>94.900344122502801</v>
      </c>
      <c r="AJ32" s="506">
        <v>1.02</v>
      </c>
      <c r="AK32" s="506">
        <v>306</v>
      </c>
      <c r="AL32" s="506">
        <v>37.5</v>
      </c>
      <c r="AM32" s="506">
        <v>3824.9</v>
      </c>
      <c r="AN32" s="506">
        <v>20.399999999999999</v>
      </c>
      <c r="AO32" s="506">
        <v>0</v>
      </c>
      <c r="AP32" s="506">
        <v>0</v>
      </c>
      <c r="AQ32" s="506">
        <v>0.1</v>
      </c>
      <c r="AR32" s="506">
        <v>1.02</v>
      </c>
      <c r="AS32" s="506">
        <v>306</v>
      </c>
      <c r="AT32" s="506">
        <v>37.5</v>
      </c>
      <c r="AU32" s="506">
        <v>3825</v>
      </c>
      <c r="AV32" s="506">
        <v>0.08</v>
      </c>
      <c r="AW32" s="506">
        <v>0.48499999999999999</v>
      </c>
      <c r="AX32" s="506">
        <v>0.45500000000000002</v>
      </c>
      <c r="AY32" s="506">
        <v>0</v>
      </c>
      <c r="AZ32" s="506">
        <v>2.04</v>
      </c>
      <c r="BA32" s="506">
        <v>612</v>
      </c>
      <c r="BB32" s="506">
        <v>37.5</v>
      </c>
      <c r="BC32" s="506">
        <v>7650</v>
      </c>
      <c r="BD32" s="506">
        <v>0.16</v>
      </c>
      <c r="BE32" s="506">
        <v>0.97</v>
      </c>
      <c r="BF32" s="506">
        <v>0.91</v>
      </c>
      <c r="BG32" s="506">
        <v>0</v>
      </c>
      <c r="BH32" s="506">
        <v>6.9450000000000003</v>
      </c>
      <c r="BI32" s="506">
        <v>1.1575</v>
      </c>
    </row>
    <row r="33" spans="1:61" ht="12.95" customHeight="1" thickBot="1">
      <c r="A33" s="254" t="s">
        <v>1729</v>
      </c>
      <c r="B33" s="254" t="s">
        <v>92</v>
      </c>
      <c r="C33" s="204"/>
      <c r="D33" s="254"/>
      <c r="E33" s="502"/>
      <c r="F33" s="501"/>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506"/>
    </row>
    <row r="34" spans="1:61" ht="12.95" customHeight="1" thickTop="1" thickBot="1">
      <c r="A34" s="493" t="s">
        <v>2690</v>
      </c>
      <c r="B34" s="493"/>
      <c r="C34" s="491"/>
      <c r="D34" s="493"/>
      <c r="E34" s="555"/>
      <c r="F34" s="636" t="s">
        <v>2688</v>
      </c>
      <c r="G34" s="636"/>
      <c r="H34" s="636"/>
      <c r="I34" s="558"/>
      <c r="J34" s="558"/>
      <c r="K34" s="558"/>
      <c r="L34" s="558"/>
      <c r="M34" s="558"/>
      <c r="N34" s="558"/>
      <c r="O34" s="558"/>
      <c r="P34" s="558"/>
      <c r="Q34" s="558"/>
      <c r="R34" s="558"/>
      <c r="S34" s="558"/>
      <c r="T34" s="558"/>
      <c r="U34" s="558"/>
      <c r="V34" s="558"/>
      <c r="W34" s="558"/>
      <c r="X34" s="558"/>
      <c r="Y34" s="558"/>
      <c r="Z34" s="558"/>
      <c r="AA34" s="558"/>
      <c r="AB34" s="558"/>
      <c r="AC34" s="558"/>
      <c r="AD34" s="558"/>
      <c r="AE34" s="558"/>
      <c r="AF34" s="558"/>
      <c r="AG34" s="558"/>
      <c r="AH34" s="558"/>
      <c r="AI34" s="558"/>
      <c r="AJ34" s="558"/>
      <c r="AK34" s="558"/>
      <c r="AL34" s="558"/>
      <c r="AM34" s="558"/>
      <c r="AN34" s="558"/>
      <c r="AO34" s="558"/>
      <c r="AP34" s="558"/>
      <c r="AQ34" s="558"/>
      <c r="AR34" s="558"/>
      <c r="AS34" s="558"/>
      <c r="AT34" s="558"/>
      <c r="AU34" s="558"/>
      <c r="AV34" s="558"/>
      <c r="AW34" s="558"/>
      <c r="AX34" s="558"/>
      <c r="AY34" s="558"/>
      <c r="AZ34" s="558"/>
      <c r="BA34" s="558"/>
      <c r="BB34" s="558"/>
      <c r="BC34" s="558"/>
      <c r="BD34" s="558"/>
      <c r="BE34" s="558"/>
      <c r="BF34" s="558"/>
      <c r="BG34" s="558"/>
      <c r="BH34" s="558"/>
      <c r="BI34" s="558"/>
    </row>
    <row r="35" spans="1:61" ht="12.95" customHeight="1" thickTop="1">
      <c r="A35" s="254" t="s">
        <v>2071</v>
      </c>
      <c r="B35" s="254"/>
      <c r="C35" s="204"/>
      <c r="D35" s="254"/>
      <c r="E35" s="502"/>
      <c r="F35" s="501"/>
      <c r="G35" s="506"/>
      <c r="H35" s="506"/>
      <c r="I35" s="506"/>
      <c r="J35" s="506"/>
      <c r="K35" s="506"/>
      <c r="L35" s="506"/>
      <c r="M35" s="506"/>
      <c r="N35" s="506"/>
      <c r="O35" s="506"/>
      <c r="P35" s="506"/>
      <c r="Q35" s="506"/>
      <c r="R35" s="506"/>
      <c r="S35" s="506"/>
      <c r="T35" s="506"/>
      <c r="U35" s="506"/>
      <c r="V35" s="506"/>
      <c r="W35" s="506"/>
      <c r="X35" s="506"/>
      <c r="Y35" s="506"/>
      <c r="Z35" s="506"/>
      <c r="AA35" s="506"/>
      <c r="AB35" s="506"/>
      <c r="AC35" s="506"/>
      <c r="AD35" s="506"/>
      <c r="AE35" s="506"/>
      <c r="AF35" s="506"/>
      <c r="AG35" s="506"/>
      <c r="AH35" s="506"/>
      <c r="AI35" s="506"/>
      <c r="AJ35" s="506"/>
      <c r="AK35" s="506"/>
      <c r="AL35" s="506"/>
      <c r="AM35" s="506"/>
      <c r="AN35" s="506"/>
      <c r="AO35" s="506"/>
      <c r="AP35" s="506"/>
      <c r="AQ35" s="506"/>
      <c r="AR35" s="506"/>
      <c r="AS35" s="506"/>
      <c r="AT35" s="506"/>
      <c r="AU35" s="506"/>
      <c r="AV35" s="506"/>
      <c r="AW35" s="506"/>
      <c r="AX35" s="506"/>
      <c r="AY35" s="506"/>
      <c r="AZ35" s="506"/>
      <c r="BA35" s="506"/>
      <c r="BB35" s="506"/>
      <c r="BC35" s="506"/>
      <c r="BD35" s="506"/>
      <c r="BE35" s="506"/>
      <c r="BF35" s="506"/>
      <c r="BG35" s="506"/>
      <c r="BH35" s="506"/>
      <c r="BI35" s="506"/>
    </row>
    <row r="36" spans="1:61" ht="12.95" customHeight="1">
      <c r="A36" s="254" t="s">
        <v>1502</v>
      </c>
      <c r="B36" s="254" t="s">
        <v>92</v>
      </c>
      <c r="C36" s="204">
        <v>1</v>
      </c>
      <c r="D36" s="254" t="s">
        <v>1325</v>
      </c>
      <c r="E36" s="502">
        <v>1</v>
      </c>
      <c r="F36" s="501">
        <v>24.6762159926955</v>
      </c>
      <c r="G36" s="506">
        <v>100</v>
      </c>
      <c r="H36" s="506">
        <v>0</v>
      </c>
      <c r="I36" s="506">
        <v>0</v>
      </c>
      <c r="J36" s="506">
        <v>23.4</v>
      </c>
      <c r="K36" s="506">
        <v>475.5</v>
      </c>
      <c r="L36" s="506">
        <v>0</v>
      </c>
      <c r="M36" s="506">
        <v>498.9</v>
      </c>
      <c r="N36" s="506">
        <v>73.1949656499268</v>
      </c>
      <c r="O36" s="506">
        <v>-0.121396623275774</v>
      </c>
      <c r="P36" s="506">
        <v>73.3163622732026</v>
      </c>
      <c r="Q36" s="506">
        <v>0.186558564278207</v>
      </c>
      <c r="R36" s="506">
        <v>718.07739441840295</v>
      </c>
      <c r="S36" s="506">
        <v>25.179878579445599</v>
      </c>
      <c r="T36" s="506">
        <v>3.3617604434529803E-2</v>
      </c>
      <c r="U36" s="506">
        <v>0.115242974280372</v>
      </c>
      <c r="V36" s="506">
        <v>2.34857898268099E-6</v>
      </c>
      <c r="W36" s="506">
        <v>0.43804320252159201</v>
      </c>
      <c r="X36" s="506">
        <v>1.62969763967187E-3</v>
      </c>
      <c r="Y36" s="506">
        <v>8.2818585760966403</v>
      </c>
      <c r="Z36" s="506">
        <v>0.57845866782823696</v>
      </c>
      <c r="AA36" s="506">
        <v>1.4873540662141801E-4</v>
      </c>
      <c r="AB36" s="506">
        <v>7.3376040980484205E-4</v>
      </c>
      <c r="AC36" s="506">
        <v>4.5011901461152303E-8</v>
      </c>
      <c r="AD36" s="506">
        <v>0</v>
      </c>
      <c r="AE36" s="506">
        <v>0</v>
      </c>
      <c r="AF36" s="506">
        <v>0</v>
      </c>
      <c r="AG36" s="506">
        <v>0</v>
      </c>
      <c r="AH36" s="506">
        <v>4.6639641069551797E-2</v>
      </c>
      <c r="AI36" s="506">
        <v>179.51934860460099</v>
      </c>
      <c r="AJ36" s="506">
        <v>0.20300000000000001</v>
      </c>
      <c r="AK36" s="506">
        <v>11.65</v>
      </c>
      <c r="AL36" s="506">
        <v>37.5</v>
      </c>
      <c r="AM36" s="506">
        <v>145.52500000000001</v>
      </c>
      <c r="AN36" s="506">
        <v>0</v>
      </c>
      <c r="AO36" s="506">
        <v>0</v>
      </c>
      <c r="AP36" s="506">
        <v>23.4</v>
      </c>
      <c r="AQ36" s="506">
        <v>0.1</v>
      </c>
      <c r="AR36" s="506">
        <v>2.9999999999999701E-3</v>
      </c>
      <c r="AS36" s="506">
        <v>0.89999999999999902</v>
      </c>
      <c r="AT36" s="506">
        <v>37.5</v>
      </c>
      <c r="AU36" s="506">
        <v>11.15</v>
      </c>
      <c r="AV36" s="506">
        <v>2.9999999999999701E-3</v>
      </c>
      <c r="AW36" s="506">
        <v>0</v>
      </c>
      <c r="AX36" s="506">
        <v>0</v>
      </c>
      <c r="AY36" s="506">
        <v>0.1</v>
      </c>
      <c r="AZ36" s="506">
        <v>0.20599999999999999</v>
      </c>
      <c r="BA36" s="506">
        <v>12.55</v>
      </c>
      <c r="BB36" s="506">
        <v>37.5</v>
      </c>
      <c r="BC36" s="506">
        <v>156.77500000000001</v>
      </c>
      <c r="BD36" s="506">
        <v>0.20300000000000001</v>
      </c>
      <c r="BE36" s="506">
        <v>0</v>
      </c>
      <c r="BF36" s="506">
        <v>3.0000000000000001E-3</v>
      </c>
      <c r="BG36" s="506">
        <v>0.1</v>
      </c>
      <c r="BH36" s="506">
        <v>31.47</v>
      </c>
      <c r="BI36" s="506">
        <v>24.945</v>
      </c>
    </row>
    <row r="37" spans="1:61" ht="12.95" customHeight="1">
      <c r="A37" s="254" t="s">
        <v>2577</v>
      </c>
      <c r="B37" s="254" t="s">
        <v>92</v>
      </c>
      <c r="C37" s="204">
        <v>11</v>
      </c>
      <c r="D37" s="254" t="s">
        <v>2576</v>
      </c>
      <c r="E37" s="502">
        <v>1</v>
      </c>
      <c r="F37" s="501"/>
      <c r="G37" s="506">
        <v>100</v>
      </c>
      <c r="H37" s="506">
        <v>0</v>
      </c>
      <c r="I37" s="506">
        <v>0</v>
      </c>
      <c r="J37" s="506">
        <v>35.099999999999994</v>
      </c>
      <c r="K37" s="506">
        <v>713.25</v>
      </c>
      <c r="L37" s="506">
        <v>0</v>
      </c>
      <c r="M37" s="506">
        <v>748.34999999999991</v>
      </c>
      <c r="N37" s="506">
        <v>109.79244847489019</v>
      </c>
      <c r="O37" s="506">
        <v>-0.18209493491366099</v>
      </c>
      <c r="P37" s="506">
        <v>109.9745434098039</v>
      </c>
      <c r="Q37" s="506">
        <v>0.27983784641731047</v>
      </c>
      <c r="R37" s="506">
        <v>1077.1160916276044</v>
      </c>
      <c r="S37" s="506"/>
      <c r="T37" s="506"/>
      <c r="U37" s="506"/>
      <c r="V37" s="506"/>
      <c r="W37" s="506"/>
      <c r="X37" s="506"/>
      <c r="Y37" s="506"/>
      <c r="Z37" s="506"/>
      <c r="AA37" s="506"/>
      <c r="AB37" s="506"/>
      <c r="AC37" s="506"/>
      <c r="AD37" s="506"/>
      <c r="AE37" s="506"/>
      <c r="AF37" s="506"/>
      <c r="AG37" s="506"/>
      <c r="AH37" s="506"/>
      <c r="AI37" s="506"/>
      <c r="AJ37" s="506"/>
      <c r="AK37" s="506"/>
      <c r="AL37" s="506"/>
      <c r="AM37" s="506"/>
      <c r="AN37" s="506"/>
      <c r="AO37" s="506"/>
      <c r="AP37" s="506"/>
      <c r="AQ37" s="506"/>
      <c r="AR37" s="506"/>
      <c r="AS37" s="506"/>
      <c r="AT37" s="506"/>
      <c r="AU37" s="506"/>
      <c r="AV37" s="506"/>
      <c r="AW37" s="506"/>
      <c r="AX37" s="506"/>
      <c r="AY37" s="506"/>
      <c r="AZ37" s="506"/>
      <c r="BA37" s="506"/>
      <c r="BB37" s="506"/>
      <c r="BC37" s="506"/>
      <c r="BD37" s="506"/>
      <c r="BE37" s="506"/>
      <c r="BF37" s="506"/>
      <c r="BG37" s="506"/>
      <c r="BH37" s="506">
        <v>47.204999999999998</v>
      </c>
      <c r="BI37" s="506">
        <v>37.417500000000004</v>
      </c>
    </row>
    <row r="38" spans="1:61" ht="12.95" customHeight="1">
      <c r="A38" s="254" t="s">
        <v>1503</v>
      </c>
      <c r="B38" s="254" t="s">
        <v>92</v>
      </c>
      <c r="C38" s="204">
        <v>2</v>
      </c>
      <c r="D38" s="254" t="s">
        <v>1326</v>
      </c>
      <c r="E38" s="502">
        <v>1</v>
      </c>
      <c r="F38" s="501">
        <v>-10.5234919562802</v>
      </c>
      <c r="G38" s="506">
        <v>100</v>
      </c>
      <c r="H38" s="506">
        <v>70.400000000000006</v>
      </c>
      <c r="I38" s="506">
        <v>0</v>
      </c>
      <c r="J38" s="506">
        <v>0</v>
      </c>
      <c r="K38" s="506">
        <v>0</v>
      </c>
      <c r="L38" s="506">
        <v>0</v>
      </c>
      <c r="M38" s="506">
        <v>70.400000000000006</v>
      </c>
      <c r="N38" s="506">
        <v>-77.679858042842199</v>
      </c>
      <c r="O38" s="506">
        <v>-108.350416060971</v>
      </c>
      <c r="P38" s="506">
        <v>30.670558018129501</v>
      </c>
      <c r="Q38" s="506">
        <v>0.15931356142852501</v>
      </c>
      <c r="R38" s="506">
        <v>525.44028581170403</v>
      </c>
      <c r="S38" s="506">
        <v>1240.9331878729799</v>
      </c>
      <c r="T38" s="506">
        <v>5.3308817695841199E-2</v>
      </c>
      <c r="U38" s="506">
        <v>6.4459599889439598E-2</v>
      </c>
      <c r="V38" s="506">
        <v>2.5777854881708199E-6</v>
      </c>
      <c r="W38" s="506">
        <v>0</v>
      </c>
      <c r="X38" s="506">
        <v>0</v>
      </c>
      <c r="Y38" s="506">
        <v>0</v>
      </c>
      <c r="Z38" s="506">
        <v>0</v>
      </c>
      <c r="AA38" s="506">
        <v>0</v>
      </c>
      <c r="AB38" s="506">
        <v>0</v>
      </c>
      <c r="AC38" s="506">
        <v>0</v>
      </c>
      <c r="AD38" s="506">
        <v>0</v>
      </c>
      <c r="AE38" s="506">
        <v>0</v>
      </c>
      <c r="AF38" s="506">
        <v>0</v>
      </c>
      <c r="AG38" s="506">
        <v>0</v>
      </c>
      <c r="AH38" s="506">
        <v>3.9828390357131198E-2</v>
      </c>
      <c r="AI38" s="506">
        <v>131.36007145292601</v>
      </c>
      <c r="AJ38" s="506">
        <v>0.16</v>
      </c>
      <c r="AK38" s="506">
        <v>32</v>
      </c>
      <c r="AL38" s="506">
        <v>12.5</v>
      </c>
      <c r="AM38" s="506">
        <v>399.9</v>
      </c>
      <c r="AN38" s="506">
        <v>70.400000000000006</v>
      </c>
      <c r="AO38" s="506">
        <v>0</v>
      </c>
      <c r="AP38" s="506">
        <v>0</v>
      </c>
      <c r="AQ38" s="506">
        <v>0.1</v>
      </c>
      <c r="AR38" s="506">
        <v>0</v>
      </c>
      <c r="AS38" s="506">
        <v>0</v>
      </c>
      <c r="AT38" s="506">
        <v>12.5</v>
      </c>
      <c r="AU38" s="506">
        <v>0</v>
      </c>
      <c r="AV38" s="506">
        <v>0</v>
      </c>
      <c r="AW38" s="506">
        <v>0</v>
      </c>
      <c r="AX38" s="506">
        <v>0</v>
      </c>
      <c r="AY38" s="506">
        <v>0</v>
      </c>
      <c r="AZ38" s="506">
        <v>0.16</v>
      </c>
      <c r="BA38" s="506">
        <v>32</v>
      </c>
      <c r="BB38" s="506">
        <v>12.5</v>
      </c>
      <c r="BC38" s="506">
        <v>400</v>
      </c>
      <c r="BD38" s="506">
        <v>0</v>
      </c>
      <c r="BE38" s="506">
        <v>0</v>
      </c>
      <c r="BF38" s="506">
        <v>0</v>
      </c>
      <c r="BG38" s="506">
        <v>0</v>
      </c>
      <c r="BH38" s="506">
        <v>14.08</v>
      </c>
      <c r="BI38" s="506">
        <v>3.52</v>
      </c>
    </row>
    <row r="39" spans="1:61" ht="12.95" customHeight="1">
      <c r="A39" s="254" t="s">
        <v>1742</v>
      </c>
      <c r="B39" s="254" t="s">
        <v>92</v>
      </c>
      <c r="C39" s="204">
        <v>3</v>
      </c>
      <c r="D39" s="254" t="s">
        <v>1504</v>
      </c>
      <c r="E39" s="502">
        <v>1</v>
      </c>
      <c r="F39" s="501">
        <v>-14.2077473795351</v>
      </c>
      <c r="G39" s="506">
        <v>100</v>
      </c>
      <c r="H39" s="506">
        <v>43.317999999999998</v>
      </c>
      <c r="I39" s="506">
        <v>0</v>
      </c>
      <c r="J39" s="506">
        <v>0</v>
      </c>
      <c r="K39" s="506">
        <v>0</v>
      </c>
      <c r="L39" s="506">
        <v>1.5640000000000001</v>
      </c>
      <c r="M39" s="506">
        <v>44.881999999999998</v>
      </c>
      <c r="N39" s="506">
        <v>-47.288139255409199</v>
      </c>
      <c r="O39" s="506">
        <v>-69.217875033174906</v>
      </c>
      <c r="P39" s="506">
        <v>21.9297357777657</v>
      </c>
      <c r="Q39" s="506">
        <v>0.118630498137363</v>
      </c>
      <c r="R39" s="506">
        <v>425.68628234154301</v>
      </c>
      <c r="S39" s="506">
        <v>1027.3146453178399</v>
      </c>
      <c r="T39" s="506">
        <v>2.58626594916193E-2</v>
      </c>
      <c r="U39" s="506">
        <v>4.9520552784847099E-2</v>
      </c>
      <c r="V39" s="506">
        <v>1.8328625567233801E-6</v>
      </c>
      <c r="W39" s="506">
        <v>15.746885513099601</v>
      </c>
      <c r="X39" s="506">
        <v>8.3626370233006106E-2</v>
      </c>
      <c r="Y39" s="506">
        <v>315.922559524392</v>
      </c>
      <c r="Z39" s="506">
        <v>658.51459118646596</v>
      </c>
      <c r="AA39" s="506">
        <v>1.54897945181808E-2</v>
      </c>
      <c r="AB39" s="506">
        <v>3.36462859125293E-2</v>
      </c>
      <c r="AC39" s="506">
        <v>1.2973982783959E-6</v>
      </c>
      <c r="AD39" s="506">
        <v>0</v>
      </c>
      <c r="AE39" s="506">
        <v>0</v>
      </c>
      <c r="AF39" s="506">
        <v>0</v>
      </c>
      <c r="AG39" s="506">
        <v>0</v>
      </c>
      <c r="AH39" s="506">
        <v>2.9657624534340701E-2</v>
      </c>
      <c r="AI39" s="506">
        <v>106.42157058538599</v>
      </c>
      <c r="AJ39" s="506">
        <v>0.14199999999999999</v>
      </c>
      <c r="AK39" s="506">
        <v>39.6</v>
      </c>
      <c r="AL39" s="506">
        <v>50</v>
      </c>
      <c r="AM39" s="506">
        <v>494.9</v>
      </c>
      <c r="AN39" s="506">
        <v>43.317999999999998</v>
      </c>
      <c r="AO39" s="506">
        <v>0</v>
      </c>
      <c r="AP39" s="506">
        <v>0</v>
      </c>
      <c r="AQ39" s="506">
        <v>0.1</v>
      </c>
      <c r="AR39" s="506">
        <v>0.112</v>
      </c>
      <c r="AS39" s="506">
        <v>33.6</v>
      </c>
      <c r="AT39" s="506">
        <v>50</v>
      </c>
      <c r="AU39" s="506">
        <v>420</v>
      </c>
      <c r="AV39" s="506">
        <v>6.8000000000000005E-2</v>
      </c>
      <c r="AW39" s="506">
        <v>4.3999999999999997E-2</v>
      </c>
      <c r="AX39" s="506">
        <v>0</v>
      </c>
      <c r="AY39" s="506">
        <v>0</v>
      </c>
      <c r="AZ39" s="506">
        <v>0.254</v>
      </c>
      <c r="BA39" s="506">
        <v>73.2</v>
      </c>
      <c r="BB39" s="506">
        <v>50</v>
      </c>
      <c r="BC39" s="506">
        <v>915</v>
      </c>
      <c r="BD39" s="506">
        <v>0.13600000000000001</v>
      </c>
      <c r="BE39" s="506">
        <v>0.11799999999999999</v>
      </c>
      <c r="BF39" s="506">
        <v>0</v>
      </c>
      <c r="BG39" s="506">
        <v>0</v>
      </c>
      <c r="BH39" s="506">
        <v>11.9796</v>
      </c>
      <c r="BI39" s="506">
        <v>2.2441</v>
      </c>
    </row>
    <row r="40" spans="1:61" ht="12.95" customHeight="1">
      <c r="A40" s="254" t="s">
        <v>1743</v>
      </c>
      <c r="B40" s="254" t="s">
        <v>92</v>
      </c>
      <c r="C40" s="204">
        <v>4</v>
      </c>
      <c r="D40" s="254" t="s">
        <v>1505</v>
      </c>
      <c r="E40" s="502">
        <v>1</v>
      </c>
      <c r="F40" s="501">
        <v>-11.198608630699701</v>
      </c>
      <c r="G40" s="506">
        <v>100</v>
      </c>
      <c r="H40" s="506">
        <v>49.097999999999999</v>
      </c>
      <c r="I40" s="506">
        <v>0</v>
      </c>
      <c r="J40" s="506">
        <v>0</v>
      </c>
      <c r="K40" s="506">
        <v>0</v>
      </c>
      <c r="L40" s="506">
        <v>0</v>
      </c>
      <c r="M40" s="506">
        <v>49.097999999999999</v>
      </c>
      <c r="N40" s="506">
        <v>-50.678701542021201</v>
      </c>
      <c r="O40" s="506">
        <v>-77.0128396208802</v>
      </c>
      <c r="P40" s="506">
        <v>26.334138078858999</v>
      </c>
      <c r="Q40" s="506">
        <v>0.122079686975926</v>
      </c>
      <c r="R40" s="506">
        <v>519.11650088541103</v>
      </c>
      <c r="S40" s="506">
        <v>1114.42642662155</v>
      </c>
      <c r="T40" s="506">
        <v>2.65912406140493E-2</v>
      </c>
      <c r="U40" s="506">
        <v>4.9638610236459602E-2</v>
      </c>
      <c r="V40" s="506">
        <v>2.1375608052500298E-6</v>
      </c>
      <c r="W40" s="506">
        <v>20.151287814192901</v>
      </c>
      <c r="X40" s="506">
        <v>8.7075559071568998E-2</v>
      </c>
      <c r="Y40" s="506">
        <v>409.35277806826099</v>
      </c>
      <c r="Z40" s="506">
        <v>745.62637249017496</v>
      </c>
      <c r="AA40" s="506">
        <v>1.62183756406107E-2</v>
      </c>
      <c r="AB40" s="506">
        <v>3.3764343364141802E-2</v>
      </c>
      <c r="AC40" s="506">
        <v>1.6020965269225601E-6</v>
      </c>
      <c r="AD40" s="506">
        <v>0</v>
      </c>
      <c r="AE40" s="506">
        <v>0</v>
      </c>
      <c r="AF40" s="506">
        <v>0</v>
      </c>
      <c r="AG40" s="506">
        <v>0</v>
      </c>
      <c r="AH40" s="506">
        <v>3.0519921743981399E-2</v>
      </c>
      <c r="AI40" s="506">
        <v>129.77912522135301</v>
      </c>
      <c r="AJ40" s="506">
        <v>0.14199999999999999</v>
      </c>
      <c r="AK40" s="506">
        <v>39.6</v>
      </c>
      <c r="AL40" s="506">
        <v>50</v>
      </c>
      <c r="AM40" s="506">
        <v>494.9</v>
      </c>
      <c r="AN40" s="506"/>
      <c r="AO40" s="506"/>
      <c r="AP40" s="506"/>
      <c r="AQ40" s="506">
        <v>0.1</v>
      </c>
      <c r="AR40" s="506">
        <v>0.112</v>
      </c>
      <c r="AS40" s="506">
        <v>33.6</v>
      </c>
      <c r="AT40" s="506">
        <v>50</v>
      </c>
      <c r="AU40" s="506">
        <v>419.9</v>
      </c>
      <c r="AV40" s="506">
        <v>0</v>
      </c>
      <c r="AW40" s="506">
        <v>0.112</v>
      </c>
      <c r="AX40" s="506">
        <v>0</v>
      </c>
      <c r="AY40" s="506">
        <v>0.1</v>
      </c>
      <c r="AZ40" s="506">
        <v>0.254</v>
      </c>
      <c r="BA40" s="506">
        <v>73.2</v>
      </c>
      <c r="BB40" s="506">
        <v>50</v>
      </c>
      <c r="BC40" s="506">
        <v>914.9</v>
      </c>
      <c r="BD40" s="506">
        <v>0</v>
      </c>
      <c r="BE40" s="506">
        <v>0.254</v>
      </c>
      <c r="BF40" s="506">
        <v>0</v>
      </c>
      <c r="BG40" s="506">
        <v>0.1</v>
      </c>
      <c r="BH40" s="506">
        <v>13.244400000000001</v>
      </c>
      <c r="BI40" s="506">
        <v>2.4548999999999999</v>
      </c>
    </row>
    <row r="41" spans="1:61" ht="12.95" customHeight="1">
      <c r="A41" s="254" t="s">
        <v>1744</v>
      </c>
      <c r="B41" s="254" t="s">
        <v>92</v>
      </c>
      <c r="C41" s="204">
        <v>5</v>
      </c>
      <c r="D41" s="254" t="s">
        <v>1506</v>
      </c>
      <c r="E41" s="502">
        <v>1</v>
      </c>
      <c r="F41" s="501">
        <v>-17.807986407822501</v>
      </c>
      <c r="G41" s="506">
        <v>100</v>
      </c>
      <c r="H41" s="506">
        <v>45.357999999999997</v>
      </c>
      <c r="I41" s="506">
        <v>0</v>
      </c>
      <c r="J41" s="506">
        <v>0</v>
      </c>
      <c r="K41" s="506">
        <v>0</v>
      </c>
      <c r="L41" s="506">
        <v>0</v>
      </c>
      <c r="M41" s="506">
        <v>45.357999999999997</v>
      </c>
      <c r="N41" s="506">
        <v>-50.030092874218802</v>
      </c>
      <c r="O41" s="506">
        <v>-72.498067821371194</v>
      </c>
      <c r="P41" s="506">
        <v>22.467974947152399</v>
      </c>
      <c r="Q41" s="506">
        <v>0.103071026899448</v>
      </c>
      <c r="R41" s="506">
        <v>393.62676453862599</v>
      </c>
      <c r="S41" s="506">
        <v>1024.2132486783901</v>
      </c>
      <c r="T41" s="506">
        <v>2.4696622462727101E-2</v>
      </c>
      <c r="U41" s="506">
        <v>4.2129731411950498E-2</v>
      </c>
      <c r="V41" s="506">
        <v>1.7168870715092801E-6</v>
      </c>
      <c r="W41" s="506">
        <v>16.285124682486298</v>
      </c>
      <c r="X41" s="506">
        <v>6.8066898995091399E-2</v>
      </c>
      <c r="Y41" s="506">
        <v>283.86304172147499</v>
      </c>
      <c r="Z41" s="506">
        <v>655.41319454700795</v>
      </c>
      <c r="AA41" s="506">
        <v>1.43237574892886E-2</v>
      </c>
      <c r="AB41" s="506">
        <v>2.6255464539632799E-2</v>
      </c>
      <c r="AC41" s="506">
        <v>1.1814227931818099E-6</v>
      </c>
      <c r="AD41" s="506">
        <v>0</v>
      </c>
      <c r="AE41" s="506">
        <v>0</v>
      </c>
      <c r="AF41" s="506">
        <v>0</v>
      </c>
      <c r="AG41" s="506">
        <v>0</v>
      </c>
      <c r="AH41" s="506">
        <v>2.5767756724862E-2</v>
      </c>
      <c r="AI41" s="506">
        <v>98.406691134656498</v>
      </c>
      <c r="AJ41" s="506">
        <v>0.14199999999999999</v>
      </c>
      <c r="AK41" s="506">
        <v>39.6</v>
      </c>
      <c r="AL41" s="506">
        <v>50</v>
      </c>
      <c r="AM41" s="506">
        <v>494.9</v>
      </c>
      <c r="AN41" s="506"/>
      <c r="AO41" s="506"/>
      <c r="AP41" s="506"/>
      <c r="AQ41" s="506">
        <v>0.1</v>
      </c>
      <c r="AR41" s="506">
        <v>0.112</v>
      </c>
      <c r="AS41" s="506">
        <v>33.6</v>
      </c>
      <c r="AT41" s="506">
        <v>50</v>
      </c>
      <c r="AU41" s="506">
        <v>419.9</v>
      </c>
      <c r="AV41" s="506">
        <v>0</v>
      </c>
      <c r="AW41" s="506">
        <v>0.112</v>
      </c>
      <c r="AX41" s="506">
        <v>0</v>
      </c>
      <c r="AY41" s="506">
        <v>0.1</v>
      </c>
      <c r="AZ41" s="506">
        <v>0.254</v>
      </c>
      <c r="BA41" s="506">
        <v>73.2</v>
      </c>
      <c r="BB41" s="506">
        <v>50</v>
      </c>
      <c r="BC41" s="506">
        <v>914.9</v>
      </c>
      <c r="BD41" s="506">
        <v>0</v>
      </c>
      <c r="BE41" s="506">
        <v>0.254</v>
      </c>
      <c r="BF41" s="506">
        <v>0</v>
      </c>
      <c r="BG41" s="506">
        <v>0.1</v>
      </c>
      <c r="BH41" s="506">
        <v>12.122400000000001</v>
      </c>
      <c r="BI41" s="506">
        <v>2.2679</v>
      </c>
    </row>
    <row r="42" spans="1:61" ht="12.95" customHeight="1">
      <c r="A42" s="254" t="s">
        <v>1745</v>
      </c>
      <c r="B42" s="254" t="s">
        <v>92</v>
      </c>
      <c r="C42" s="204">
        <v>6</v>
      </c>
      <c r="D42" s="254" t="s">
        <v>1507</v>
      </c>
      <c r="E42" s="502">
        <v>1</v>
      </c>
      <c r="F42" s="501">
        <v>-4.8404108174893503</v>
      </c>
      <c r="G42" s="506">
        <v>100</v>
      </c>
      <c r="H42" s="506">
        <v>43.317999999999998</v>
      </c>
      <c r="I42" s="506">
        <v>0</v>
      </c>
      <c r="J42" s="506">
        <v>0</v>
      </c>
      <c r="K42" s="506">
        <v>0</v>
      </c>
      <c r="L42" s="506">
        <v>3.91</v>
      </c>
      <c r="M42" s="506">
        <v>47.228000000000002</v>
      </c>
      <c r="N42" s="506">
        <v>-41.5316422569799</v>
      </c>
      <c r="O42" s="506">
        <v>-69.217875033174906</v>
      </c>
      <c r="P42" s="506">
        <v>27.686232776195101</v>
      </c>
      <c r="Q42" s="506">
        <v>0.15456465449287199</v>
      </c>
      <c r="R42" s="506">
        <v>534.18726878873099</v>
      </c>
      <c r="S42" s="506">
        <v>1033.70229307554</v>
      </c>
      <c r="T42" s="506">
        <v>2.97781589740705E-2</v>
      </c>
      <c r="U42" s="506">
        <v>6.5728058428881103E-2</v>
      </c>
      <c r="V42" s="506">
        <v>2.4049627863912299E-6</v>
      </c>
      <c r="W42" s="506">
        <v>21.503382511529001</v>
      </c>
      <c r="X42" s="506">
        <v>0.119560526588515</v>
      </c>
      <c r="Y42" s="506">
        <v>424.42354597158101</v>
      </c>
      <c r="Z42" s="506">
        <v>664.90223894416499</v>
      </c>
      <c r="AA42" s="506">
        <v>1.9405294000631901E-2</v>
      </c>
      <c r="AB42" s="506">
        <v>4.9853791556563401E-2</v>
      </c>
      <c r="AC42" s="506">
        <v>1.86949850806375E-6</v>
      </c>
      <c r="AD42" s="506">
        <v>0</v>
      </c>
      <c r="AE42" s="506">
        <v>0</v>
      </c>
      <c r="AF42" s="506">
        <v>0</v>
      </c>
      <c r="AG42" s="506">
        <v>0</v>
      </c>
      <c r="AH42" s="506">
        <v>3.8641163623217997E-2</v>
      </c>
      <c r="AI42" s="506">
        <v>133.546817197183</v>
      </c>
      <c r="AJ42" s="506">
        <v>0.24399999999999999</v>
      </c>
      <c r="AK42" s="506">
        <v>70.2</v>
      </c>
      <c r="AL42" s="506">
        <v>50</v>
      </c>
      <c r="AM42" s="506">
        <v>877.4</v>
      </c>
      <c r="AN42" s="506"/>
      <c r="AO42" s="506"/>
      <c r="AP42" s="506"/>
      <c r="AQ42" s="506">
        <v>0.1</v>
      </c>
      <c r="AR42" s="506">
        <v>0.214</v>
      </c>
      <c r="AS42" s="506">
        <v>64.2</v>
      </c>
      <c r="AT42" s="506">
        <v>50</v>
      </c>
      <c r="AU42" s="506">
        <v>802.5</v>
      </c>
      <c r="AV42" s="506">
        <v>0.17</v>
      </c>
      <c r="AW42" s="506">
        <v>4.3999999999999997E-2</v>
      </c>
      <c r="AX42" s="506">
        <v>0</v>
      </c>
      <c r="AY42" s="506">
        <v>0</v>
      </c>
      <c r="AZ42" s="506">
        <v>0.45800000000000002</v>
      </c>
      <c r="BA42" s="506">
        <v>134.4</v>
      </c>
      <c r="BB42" s="506">
        <v>50</v>
      </c>
      <c r="BC42" s="506">
        <v>1680</v>
      </c>
      <c r="BD42" s="506">
        <v>0.34</v>
      </c>
      <c r="BE42" s="506">
        <v>0.11799999999999999</v>
      </c>
      <c r="BF42" s="506">
        <v>0</v>
      </c>
      <c r="BG42" s="506">
        <v>0</v>
      </c>
      <c r="BH42" s="506">
        <v>12.683400000000001</v>
      </c>
      <c r="BI42" s="506">
        <v>2.3614000000000002</v>
      </c>
    </row>
    <row r="43" spans="1:61" ht="12.95" customHeight="1">
      <c r="A43" s="254" t="s">
        <v>1746</v>
      </c>
      <c r="B43" s="254" t="s">
        <v>92</v>
      </c>
      <c r="C43" s="204">
        <v>7</v>
      </c>
      <c r="D43" s="254" t="s">
        <v>1508</v>
      </c>
      <c r="E43" s="502">
        <v>1</v>
      </c>
      <c r="F43" s="501">
        <v>-17.148086001121701</v>
      </c>
      <c r="G43" s="506">
        <v>100</v>
      </c>
      <c r="H43" s="506">
        <v>49.268000000000001</v>
      </c>
      <c r="I43" s="506">
        <v>0</v>
      </c>
      <c r="J43" s="506">
        <v>0</v>
      </c>
      <c r="K43" s="506">
        <v>0</v>
      </c>
      <c r="L43" s="506">
        <v>0</v>
      </c>
      <c r="M43" s="506">
        <v>49.268000000000001</v>
      </c>
      <c r="N43" s="506">
        <v>-56.390446729536002</v>
      </c>
      <c r="O43" s="506">
        <v>-77.819726423749302</v>
      </c>
      <c r="P43" s="506">
        <v>21.429279694213299</v>
      </c>
      <c r="Q43" s="506">
        <v>0.115353572417071</v>
      </c>
      <c r="R43" s="506">
        <v>396.09536394574502</v>
      </c>
      <c r="S43" s="506">
        <v>1031.47815818037</v>
      </c>
      <c r="T43" s="506">
        <v>2.4947186108740201E-2</v>
      </c>
      <c r="U43" s="506">
        <v>4.7119139506660399E-2</v>
      </c>
      <c r="V43" s="506">
        <v>1.6970910771587699E-6</v>
      </c>
      <c r="W43" s="506">
        <v>15.2464294295472</v>
      </c>
      <c r="X43" s="506">
        <v>8.0349444512714405E-2</v>
      </c>
      <c r="Y43" s="506">
        <v>286.33164112859498</v>
      </c>
      <c r="Z43" s="506">
        <v>662.67810404898796</v>
      </c>
      <c r="AA43" s="506">
        <v>1.45743211353017E-2</v>
      </c>
      <c r="AB43" s="506">
        <v>3.1244872634342599E-2</v>
      </c>
      <c r="AC43" s="506">
        <v>1.1616267988313E-6</v>
      </c>
      <c r="AD43" s="506">
        <v>0</v>
      </c>
      <c r="AE43" s="506">
        <v>0</v>
      </c>
      <c r="AF43" s="506">
        <v>0</v>
      </c>
      <c r="AG43" s="506">
        <v>0</v>
      </c>
      <c r="AH43" s="506">
        <v>2.88383931042678E-2</v>
      </c>
      <c r="AI43" s="506">
        <v>99.023840986436298</v>
      </c>
      <c r="AJ43" s="506">
        <v>0.24399999999999999</v>
      </c>
      <c r="AK43" s="506">
        <v>70.2</v>
      </c>
      <c r="AL43" s="506">
        <v>50</v>
      </c>
      <c r="AM43" s="506">
        <v>877.4</v>
      </c>
      <c r="AN43" s="506"/>
      <c r="AO43" s="506"/>
      <c r="AP43" s="506"/>
      <c r="AQ43" s="506">
        <v>0.1</v>
      </c>
      <c r="AR43" s="506">
        <v>0.214</v>
      </c>
      <c r="AS43" s="506">
        <v>64.2</v>
      </c>
      <c r="AT43" s="506">
        <v>50</v>
      </c>
      <c r="AU43" s="506">
        <v>802.4</v>
      </c>
      <c r="AV43" s="506">
        <v>0</v>
      </c>
      <c r="AW43" s="506">
        <v>0.214</v>
      </c>
      <c r="AX43" s="506">
        <v>0</v>
      </c>
      <c r="AY43" s="506">
        <v>0.1</v>
      </c>
      <c r="AZ43" s="506">
        <v>0.45800000000000002</v>
      </c>
      <c r="BA43" s="506">
        <v>134.4</v>
      </c>
      <c r="BB43" s="506">
        <v>50</v>
      </c>
      <c r="BC43" s="506">
        <v>1679.9</v>
      </c>
      <c r="BD43" s="506">
        <v>0</v>
      </c>
      <c r="BE43" s="506">
        <v>0.45800000000000002</v>
      </c>
      <c r="BF43" s="506">
        <v>0</v>
      </c>
      <c r="BG43" s="506">
        <v>0.1</v>
      </c>
      <c r="BH43" s="506">
        <v>13.295400000000001</v>
      </c>
      <c r="BI43" s="506">
        <v>2.4634</v>
      </c>
    </row>
    <row r="44" spans="1:61" ht="12.95" customHeight="1">
      <c r="A44" s="254" t="s">
        <v>1440</v>
      </c>
      <c r="B44" s="254" t="s">
        <v>92</v>
      </c>
      <c r="C44" s="204">
        <v>8</v>
      </c>
      <c r="D44" s="254" t="s">
        <v>1327</v>
      </c>
      <c r="E44" s="502">
        <v>1</v>
      </c>
      <c r="F44" s="501">
        <v>-0.576111726569975</v>
      </c>
      <c r="G44" s="506">
        <v>100</v>
      </c>
      <c r="H44" s="506">
        <v>111.5</v>
      </c>
      <c r="I44" s="506">
        <v>0</v>
      </c>
      <c r="J44" s="506">
        <v>0</v>
      </c>
      <c r="K44" s="506">
        <v>0</v>
      </c>
      <c r="L44" s="506">
        <v>0</v>
      </c>
      <c r="M44" s="506">
        <v>111.5</v>
      </c>
      <c r="N44" s="506">
        <v>-140.293908995219</v>
      </c>
      <c r="O44" s="506">
        <v>-184.17957266811999</v>
      </c>
      <c r="P44" s="506">
        <v>43.885663672900897</v>
      </c>
      <c r="Q44" s="506">
        <v>0.24939460143589201</v>
      </c>
      <c r="R44" s="506">
        <v>776.60778743543005</v>
      </c>
      <c r="S44" s="506">
        <v>2723.5806716962502</v>
      </c>
      <c r="T44" s="506">
        <v>7.5507831495390101E-2</v>
      </c>
      <c r="U44" s="506">
        <v>0.113066591634367</v>
      </c>
      <c r="V44" s="506">
        <v>3.7885197758878901E-6</v>
      </c>
      <c r="W44" s="506">
        <v>43.885663672900897</v>
      </c>
      <c r="X44" s="506">
        <v>0.24939460143589201</v>
      </c>
      <c r="Y44" s="506">
        <v>776.60778743543005</v>
      </c>
      <c r="Z44" s="506">
        <v>2723.5806716962502</v>
      </c>
      <c r="AA44" s="506">
        <v>7.5507831495390101E-2</v>
      </c>
      <c r="AB44" s="506">
        <v>0.113066591634367</v>
      </c>
      <c r="AC44" s="506">
        <v>3.7885197758878901E-6</v>
      </c>
      <c r="AD44" s="506">
        <v>0</v>
      </c>
      <c r="AE44" s="506">
        <v>0</v>
      </c>
      <c r="AF44" s="506">
        <v>0</v>
      </c>
      <c r="AG44" s="506">
        <v>0</v>
      </c>
      <c r="AH44" s="506">
        <v>6.2348650358973003E-2</v>
      </c>
      <c r="AI44" s="506">
        <v>194.151946858857</v>
      </c>
      <c r="AJ44" s="506">
        <v>0.22500000000000001</v>
      </c>
      <c r="AK44" s="506">
        <v>45</v>
      </c>
      <c r="AL44" s="506">
        <v>25</v>
      </c>
      <c r="AM44" s="506">
        <v>562.4</v>
      </c>
      <c r="AN44" s="506">
        <v>111.5</v>
      </c>
      <c r="AO44" s="506">
        <v>0</v>
      </c>
      <c r="AP44" s="506">
        <v>0</v>
      </c>
      <c r="AQ44" s="506">
        <v>0.1</v>
      </c>
      <c r="AR44" s="506">
        <v>0.22500000000000001</v>
      </c>
      <c r="AS44" s="506">
        <v>45</v>
      </c>
      <c r="AT44" s="506">
        <v>25</v>
      </c>
      <c r="AU44" s="506">
        <v>562.4</v>
      </c>
      <c r="AV44" s="506">
        <v>0</v>
      </c>
      <c r="AW44" s="506">
        <v>0.22500000000000001</v>
      </c>
      <c r="AX44" s="506">
        <v>0</v>
      </c>
      <c r="AY44" s="506">
        <v>0.1</v>
      </c>
      <c r="AZ44" s="506">
        <v>0.45</v>
      </c>
      <c r="BA44" s="506">
        <v>90</v>
      </c>
      <c r="BB44" s="506">
        <v>25</v>
      </c>
      <c r="BC44" s="506">
        <v>1124.9000000000001</v>
      </c>
      <c r="BD44" s="506">
        <v>0</v>
      </c>
      <c r="BE44" s="506">
        <v>0.45</v>
      </c>
      <c r="BF44" s="506">
        <v>0</v>
      </c>
      <c r="BG44" s="506">
        <v>0.1</v>
      </c>
      <c r="BH44" s="506">
        <v>22.3</v>
      </c>
      <c r="BI44" s="506">
        <v>5.5750000000000002</v>
      </c>
    </row>
    <row r="45" spans="1:61" ht="12.95" customHeight="1">
      <c r="A45" s="254" t="s">
        <v>1725</v>
      </c>
      <c r="B45" s="254" t="s">
        <v>92</v>
      </c>
      <c r="C45" s="204">
        <v>9</v>
      </c>
      <c r="D45" s="254" t="s">
        <v>1509</v>
      </c>
      <c r="E45" s="502">
        <v>1</v>
      </c>
      <c r="F45" s="501">
        <v>76.9667683378823</v>
      </c>
      <c r="G45" s="506">
        <v>100</v>
      </c>
      <c r="H45" s="506">
        <v>0</v>
      </c>
      <c r="I45" s="506">
        <v>0</v>
      </c>
      <c r="J45" s="506">
        <v>15.6</v>
      </c>
      <c r="K45" s="506">
        <v>138</v>
      </c>
      <c r="L45" s="506">
        <v>27.3216</v>
      </c>
      <c r="M45" s="506">
        <v>180.92160000000001</v>
      </c>
      <c r="N45" s="506">
        <v>90.507149178547706</v>
      </c>
      <c r="O45" s="506">
        <v>-1.24779906305726</v>
      </c>
      <c r="P45" s="506">
        <v>91.754948241605007</v>
      </c>
      <c r="Q45" s="506">
        <v>0.43499350005750897</v>
      </c>
      <c r="R45" s="506">
        <v>1206.4933040137</v>
      </c>
      <c r="S45" s="506">
        <v>215.28397001489299</v>
      </c>
      <c r="T45" s="506">
        <v>4.1165446384659798E-2</v>
      </c>
      <c r="U45" s="506">
        <v>0.169359813289821</v>
      </c>
      <c r="V45" s="506">
        <v>4.8100695539487098E-6</v>
      </c>
      <c r="W45" s="506">
        <v>78.622992471482604</v>
      </c>
      <c r="X45" s="506">
        <v>0.410028314355046</v>
      </c>
      <c r="Y45" s="506">
        <v>1118.7676354990599</v>
      </c>
      <c r="Z45" s="506">
        <v>212.00922723764501</v>
      </c>
      <c r="AA45" s="506">
        <v>3.7652776536219401E-2</v>
      </c>
      <c r="AB45" s="506">
        <v>0.15396698960628999</v>
      </c>
      <c r="AC45" s="506">
        <v>4.5202343112464502E-6</v>
      </c>
      <c r="AD45" s="506">
        <v>0</v>
      </c>
      <c r="AE45" s="506">
        <v>0</v>
      </c>
      <c r="AF45" s="506">
        <v>0</v>
      </c>
      <c r="AG45" s="506">
        <v>0</v>
      </c>
      <c r="AH45" s="506">
        <v>0.10874837501437699</v>
      </c>
      <c r="AI45" s="506">
        <v>301.62332600342398</v>
      </c>
      <c r="AJ45" s="506">
        <v>0.17119999999999999</v>
      </c>
      <c r="AK45" s="506">
        <v>36.36</v>
      </c>
      <c r="AL45" s="506">
        <v>50</v>
      </c>
      <c r="AM45" s="506">
        <v>454.4</v>
      </c>
      <c r="AN45" s="506"/>
      <c r="AO45" s="506"/>
      <c r="AP45" s="506"/>
      <c r="AQ45" s="506">
        <v>0.1</v>
      </c>
      <c r="AR45" s="506">
        <v>0.10970000000000001</v>
      </c>
      <c r="AS45" s="506">
        <v>32.909999999999997</v>
      </c>
      <c r="AT45" s="506">
        <v>50</v>
      </c>
      <c r="AU45" s="506">
        <v>411.27499999999998</v>
      </c>
      <c r="AV45" s="506">
        <v>0.10920000000000001</v>
      </c>
      <c r="AW45" s="506">
        <v>0</v>
      </c>
      <c r="AX45" s="506">
        <v>5.0000000000000001E-4</v>
      </c>
      <c r="AY45" s="506">
        <v>0.1</v>
      </c>
      <c r="AZ45" s="506">
        <v>0.28089999999999998</v>
      </c>
      <c r="BA45" s="506">
        <v>69.27</v>
      </c>
      <c r="BB45" s="506">
        <v>50</v>
      </c>
      <c r="BC45" s="506">
        <v>865.77499999999998</v>
      </c>
      <c r="BD45" s="506">
        <v>0.27839999999999998</v>
      </c>
      <c r="BE45" s="506">
        <v>0</v>
      </c>
      <c r="BF45" s="506">
        <v>2.5000000000000001E-3</v>
      </c>
      <c r="BG45" s="506">
        <v>0.1</v>
      </c>
      <c r="BH45" s="506">
        <v>19.776479999999999</v>
      </c>
      <c r="BI45" s="506">
        <v>9.0460799999999999</v>
      </c>
    </row>
    <row r="46" spans="1:61" ht="12.95" customHeight="1" thickBot="1">
      <c r="A46" s="254" t="s">
        <v>1726</v>
      </c>
      <c r="B46" s="254" t="s">
        <v>92</v>
      </c>
      <c r="C46" s="204">
        <v>10</v>
      </c>
      <c r="D46" s="254" t="s">
        <v>1510</v>
      </c>
      <c r="E46" s="502">
        <v>1</v>
      </c>
      <c r="F46" s="501">
        <v>55.503299627899302</v>
      </c>
      <c r="G46" s="506">
        <v>100</v>
      </c>
      <c r="H46" s="506">
        <v>0</v>
      </c>
      <c r="I46" s="506">
        <v>0</v>
      </c>
      <c r="J46" s="506">
        <v>0</v>
      </c>
      <c r="K46" s="506">
        <v>0</v>
      </c>
      <c r="L46" s="506">
        <v>23</v>
      </c>
      <c r="M46" s="506">
        <v>23</v>
      </c>
      <c r="N46" s="506">
        <v>56.436245082640902</v>
      </c>
      <c r="O46" s="506">
        <v>0</v>
      </c>
      <c r="P46" s="506">
        <v>56.436245082640902</v>
      </c>
      <c r="Q46" s="506">
        <v>0.35229565054420697</v>
      </c>
      <c r="R46" s="506">
        <v>1063.7351612469499</v>
      </c>
      <c r="S46" s="506">
        <v>62.6239976245013</v>
      </c>
      <c r="T46" s="506">
        <v>3.8387249827952503E-2</v>
      </c>
      <c r="U46" s="506">
        <v>0.15889711415719601</v>
      </c>
      <c r="V46" s="506">
        <v>5.6088257810573702E-6</v>
      </c>
      <c r="W46" s="506">
        <v>56.436245082640902</v>
      </c>
      <c r="X46" s="506">
        <v>0.35229565054420697</v>
      </c>
      <c r="Y46" s="506">
        <v>1063.7351612469499</v>
      </c>
      <c r="Z46" s="506">
        <v>62.6239976245013</v>
      </c>
      <c r="AA46" s="506">
        <v>3.8387249827952503E-2</v>
      </c>
      <c r="AB46" s="506">
        <v>0.15889711415719601</v>
      </c>
      <c r="AC46" s="506">
        <v>5.6088257810573702E-6</v>
      </c>
      <c r="AD46" s="506">
        <v>0</v>
      </c>
      <c r="AE46" s="506">
        <v>0</v>
      </c>
      <c r="AF46" s="506">
        <v>0</v>
      </c>
      <c r="AG46" s="506">
        <v>0</v>
      </c>
      <c r="AH46" s="506">
        <v>8.8073912636051604E-2</v>
      </c>
      <c r="AI46" s="506">
        <v>265.93379031173703</v>
      </c>
      <c r="AJ46" s="506">
        <v>1</v>
      </c>
      <c r="AK46" s="506">
        <v>300</v>
      </c>
      <c r="AL46" s="506">
        <v>12.5</v>
      </c>
      <c r="AM46" s="506">
        <v>3750</v>
      </c>
      <c r="AN46" s="506"/>
      <c r="AO46" s="506"/>
      <c r="AP46" s="506"/>
      <c r="AQ46" s="506">
        <v>0</v>
      </c>
      <c r="AR46" s="506">
        <v>1</v>
      </c>
      <c r="AS46" s="506">
        <v>300</v>
      </c>
      <c r="AT46" s="506">
        <v>12.5</v>
      </c>
      <c r="AU46" s="506">
        <v>3749.9</v>
      </c>
      <c r="AV46" s="506">
        <v>1</v>
      </c>
      <c r="AW46" s="506">
        <v>0</v>
      </c>
      <c r="AX46" s="506">
        <v>0</v>
      </c>
      <c r="AY46" s="506">
        <v>0.1</v>
      </c>
      <c r="AZ46" s="506">
        <v>2</v>
      </c>
      <c r="BA46" s="506">
        <v>600</v>
      </c>
      <c r="BB46" s="506">
        <v>12.5</v>
      </c>
      <c r="BC46" s="506">
        <v>7499.9</v>
      </c>
      <c r="BD46" s="506">
        <v>2</v>
      </c>
      <c r="BE46" s="506">
        <v>0</v>
      </c>
      <c r="BF46" s="506">
        <v>0</v>
      </c>
      <c r="BG46" s="506">
        <v>0.1</v>
      </c>
      <c r="BH46" s="506">
        <v>6.9</v>
      </c>
      <c r="BI46" s="506">
        <v>1.1499999999999999</v>
      </c>
    </row>
    <row r="47" spans="1:61" ht="12.95" customHeight="1" thickBot="1">
      <c r="A47" s="254" t="s">
        <v>1727</v>
      </c>
      <c r="B47" s="254" t="s">
        <v>92</v>
      </c>
      <c r="C47" s="204"/>
      <c r="D47" s="254"/>
      <c r="E47" s="502"/>
      <c r="F47" s="501"/>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c r="BI47" s="506"/>
    </row>
    <row r="48" spans="1:61" ht="12.95" customHeight="1">
      <c r="A48" s="254" t="s">
        <v>2071</v>
      </c>
      <c r="B48" s="254"/>
      <c r="C48" s="204"/>
      <c r="D48" s="254"/>
      <c r="E48" s="502"/>
      <c r="F48" s="501"/>
      <c r="G48" s="506"/>
      <c r="H48" s="506"/>
      <c r="I48" s="506"/>
      <c r="J48" s="506"/>
      <c r="K48" s="506"/>
      <c r="L48" s="506"/>
      <c r="M48" s="506"/>
      <c r="N48" s="506"/>
      <c r="O48" s="506"/>
      <c r="P48" s="506"/>
      <c r="Q48" s="506"/>
      <c r="R48" s="506"/>
      <c r="S48" s="506"/>
      <c r="T48" s="506"/>
      <c r="U48" s="506"/>
      <c r="V48" s="506"/>
      <c r="W48" s="506"/>
      <c r="X48" s="506"/>
      <c r="Y48" s="506"/>
      <c r="Z48" s="506"/>
      <c r="AA48" s="506"/>
      <c r="AB48" s="506"/>
      <c r="AC48" s="506"/>
      <c r="AD48" s="506"/>
      <c r="AE48" s="506"/>
      <c r="AF48" s="506"/>
      <c r="AG48" s="506"/>
      <c r="AH48" s="506"/>
      <c r="AI48" s="506"/>
      <c r="AJ48" s="506"/>
      <c r="AK48" s="506"/>
      <c r="AL48" s="506"/>
      <c r="AM48" s="506"/>
      <c r="AN48" s="506"/>
      <c r="AO48" s="506"/>
      <c r="AP48" s="506"/>
      <c r="AQ48" s="506"/>
      <c r="AR48" s="506"/>
      <c r="AS48" s="506"/>
      <c r="AT48" s="506"/>
      <c r="AU48" s="506"/>
      <c r="AV48" s="506"/>
      <c r="AW48" s="506"/>
      <c r="AX48" s="506"/>
      <c r="AY48" s="506"/>
      <c r="AZ48" s="506"/>
      <c r="BA48" s="506"/>
      <c r="BB48" s="506"/>
      <c r="BC48" s="506"/>
      <c r="BD48" s="506"/>
      <c r="BE48" s="506"/>
      <c r="BF48" s="506"/>
      <c r="BG48" s="506"/>
      <c r="BH48" s="506"/>
      <c r="BI48" s="506"/>
    </row>
    <row r="49" spans="1:61" ht="12.95" customHeight="1">
      <c r="A49" s="254" t="s">
        <v>1572</v>
      </c>
      <c r="B49" s="254" t="s">
        <v>93</v>
      </c>
      <c r="C49" s="204">
        <v>11</v>
      </c>
      <c r="D49" s="254" t="s">
        <v>1328</v>
      </c>
      <c r="E49" s="502">
        <v>5</v>
      </c>
      <c r="F49" s="501">
        <v>-10.0229138699247</v>
      </c>
      <c r="G49" s="506">
        <v>50</v>
      </c>
      <c r="H49" s="506">
        <v>0</v>
      </c>
      <c r="I49" s="506">
        <v>0</v>
      </c>
      <c r="J49" s="506">
        <v>12</v>
      </c>
      <c r="K49" s="506">
        <v>0</v>
      </c>
      <c r="L49" s="506">
        <v>89.25</v>
      </c>
      <c r="M49" s="506">
        <v>101.25</v>
      </c>
      <c r="N49" s="506">
        <v>91.043845058604802</v>
      </c>
      <c r="O49" s="506">
        <v>-2.6374567956485402</v>
      </c>
      <c r="P49" s="506">
        <v>93.681301854253306</v>
      </c>
      <c r="Q49" s="506">
        <v>0.56354240967189995</v>
      </c>
      <c r="R49" s="506">
        <v>1237.1740555306701</v>
      </c>
      <c r="S49" s="506">
        <v>131.079888611434</v>
      </c>
      <c r="T49" s="506">
        <v>0.16611397964470401</v>
      </c>
      <c r="U49" s="506">
        <v>0.16737653215019499</v>
      </c>
      <c r="V49" s="506">
        <v>5.1020999212972398E-6</v>
      </c>
      <c r="W49" s="506">
        <v>93.681301854253306</v>
      </c>
      <c r="X49" s="506">
        <v>0.56354240967189995</v>
      </c>
      <c r="Y49" s="506">
        <v>1237.1740555306701</v>
      </c>
      <c r="Z49" s="506">
        <v>131.079888611434</v>
      </c>
      <c r="AA49" s="506">
        <v>0.16611397964470401</v>
      </c>
      <c r="AB49" s="506">
        <v>0.16737653215019499</v>
      </c>
      <c r="AC49" s="506">
        <v>5.1020999212972398E-6</v>
      </c>
      <c r="AD49" s="506">
        <v>0</v>
      </c>
      <c r="AE49" s="506">
        <v>0</v>
      </c>
      <c r="AF49" s="506">
        <v>0</v>
      </c>
      <c r="AG49" s="506">
        <v>0</v>
      </c>
      <c r="AH49" s="506">
        <v>0.14088560241797499</v>
      </c>
      <c r="AI49" s="506">
        <v>309.29351388266701</v>
      </c>
      <c r="AJ49" s="506">
        <v>1.0015384615384599</v>
      </c>
      <c r="AK49" s="506">
        <v>60.092307692307699</v>
      </c>
      <c r="AL49" s="506">
        <v>37.5</v>
      </c>
      <c r="AM49" s="506">
        <v>3755.26923076923</v>
      </c>
      <c r="AN49" s="506">
        <v>0</v>
      </c>
      <c r="AO49" s="506">
        <v>0</v>
      </c>
      <c r="AP49" s="506">
        <v>12</v>
      </c>
      <c r="AQ49" s="506">
        <v>0.1</v>
      </c>
      <c r="AR49" s="506">
        <v>1.0015384615384599</v>
      </c>
      <c r="AS49" s="506">
        <v>60.092307692307699</v>
      </c>
      <c r="AT49" s="506">
        <v>37.5</v>
      </c>
      <c r="AU49" s="506">
        <v>3755.26923076923</v>
      </c>
      <c r="AV49" s="506">
        <v>1</v>
      </c>
      <c r="AW49" s="506">
        <v>0</v>
      </c>
      <c r="AX49" s="506">
        <v>1.53846153846154E-3</v>
      </c>
      <c r="AY49" s="506">
        <v>0.1</v>
      </c>
      <c r="AZ49" s="506">
        <v>2.0030769230769199</v>
      </c>
      <c r="BA49" s="506">
        <v>120.184615384615</v>
      </c>
      <c r="BB49" s="506">
        <v>37.5</v>
      </c>
      <c r="BC49" s="506">
        <v>7511.0384615384601</v>
      </c>
      <c r="BD49" s="506">
        <v>2</v>
      </c>
      <c r="BE49" s="506">
        <v>0</v>
      </c>
      <c r="BF49" s="506">
        <v>3.07692307692308E-3</v>
      </c>
      <c r="BG49" s="506">
        <v>0.1</v>
      </c>
      <c r="BH49" s="506">
        <v>30.375</v>
      </c>
      <c r="BI49" s="506">
        <v>5.0625</v>
      </c>
    </row>
    <row r="50" spans="1:61" ht="12.95" customHeight="1">
      <c r="A50" s="254" t="s">
        <v>1573</v>
      </c>
      <c r="B50" s="254" t="s">
        <v>93</v>
      </c>
      <c r="C50" s="204">
        <v>12</v>
      </c>
      <c r="D50" s="254" t="s">
        <v>1329</v>
      </c>
      <c r="E50" s="502">
        <v>5</v>
      </c>
      <c r="F50" s="501">
        <v>-19.022559729338202</v>
      </c>
      <c r="G50" s="506">
        <v>50</v>
      </c>
      <c r="H50" s="506">
        <v>27.75</v>
      </c>
      <c r="I50" s="506">
        <v>0</v>
      </c>
      <c r="J50" s="506">
        <v>12</v>
      </c>
      <c r="K50" s="506">
        <v>0</v>
      </c>
      <c r="L50" s="506">
        <v>61.5</v>
      </c>
      <c r="M50" s="506">
        <v>101.25</v>
      </c>
      <c r="N50" s="506">
        <v>52.264999986999797</v>
      </c>
      <c r="O50" s="506">
        <v>-47.257065457409702</v>
      </c>
      <c r="P50" s="506">
        <v>99.522065444409293</v>
      </c>
      <c r="Q50" s="506">
        <v>0.285769054543975</v>
      </c>
      <c r="R50" s="506">
        <v>1192.2148224883599</v>
      </c>
      <c r="S50" s="506">
        <v>123.969284769821</v>
      </c>
      <c r="T50" s="506">
        <v>4.5188143108876602E-2</v>
      </c>
      <c r="U50" s="506">
        <v>0.127357658630457</v>
      </c>
      <c r="V50" s="506">
        <v>6.8689912057082398E-6</v>
      </c>
      <c r="W50" s="506">
        <v>99.522065444409293</v>
      </c>
      <c r="X50" s="506">
        <v>0.285769054543975</v>
      </c>
      <c r="Y50" s="506">
        <v>1192.2148224883599</v>
      </c>
      <c r="Z50" s="506">
        <v>123.969284769821</v>
      </c>
      <c r="AA50" s="506">
        <v>4.5188143108876602E-2</v>
      </c>
      <c r="AB50" s="506">
        <v>0.127357658630457</v>
      </c>
      <c r="AC50" s="506">
        <v>6.8689912057082398E-6</v>
      </c>
      <c r="AD50" s="506">
        <v>0</v>
      </c>
      <c r="AE50" s="506">
        <v>0</v>
      </c>
      <c r="AF50" s="506">
        <v>0</v>
      </c>
      <c r="AG50" s="506">
        <v>0</v>
      </c>
      <c r="AH50" s="506">
        <v>7.1442263635993694E-2</v>
      </c>
      <c r="AI50" s="506">
        <v>298.053705622091</v>
      </c>
      <c r="AJ50" s="506">
        <v>1.0015384615384599</v>
      </c>
      <c r="AK50" s="506">
        <v>60.092307692307699</v>
      </c>
      <c r="AL50" s="506">
        <v>37.5</v>
      </c>
      <c r="AM50" s="506">
        <v>3755.76923076923</v>
      </c>
      <c r="AN50" s="506">
        <v>27.75</v>
      </c>
      <c r="AO50" s="506">
        <v>0</v>
      </c>
      <c r="AP50" s="506">
        <v>12</v>
      </c>
      <c r="AQ50" s="506">
        <v>0</v>
      </c>
      <c r="AR50" s="506">
        <v>1.0015384615384599</v>
      </c>
      <c r="AS50" s="506">
        <v>60.092307692307699</v>
      </c>
      <c r="AT50" s="506">
        <v>37.5</v>
      </c>
      <c r="AU50" s="506">
        <v>3755.76923076923</v>
      </c>
      <c r="AV50" s="506">
        <v>7.4999999999999997E-2</v>
      </c>
      <c r="AW50" s="506">
        <v>0.92500000000000004</v>
      </c>
      <c r="AX50" s="506">
        <v>1.53846153846154E-3</v>
      </c>
      <c r="AY50" s="506">
        <v>0</v>
      </c>
      <c r="AZ50" s="506">
        <v>2.0030769230769199</v>
      </c>
      <c r="BA50" s="506">
        <v>120.184615384615</v>
      </c>
      <c r="BB50" s="506">
        <v>37.5</v>
      </c>
      <c r="BC50" s="506">
        <v>7511.5384615384601</v>
      </c>
      <c r="BD50" s="506">
        <v>0.15</v>
      </c>
      <c r="BE50" s="506">
        <v>1.85</v>
      </c>
      <c r="BF50" s="506">
        <v>3.07692307692308E-3</v>
      </c>
      <c r="BG50" s="506">
        <v>0</v>
      </c>
      <c r="BH50" s="506">
        <v>30.375</v>
      </c>
      <c r="BI50" s="506">
        <v>5.0625</v>
      </c>
    </row>
    <row r="51" spans="1:61" ht="12.95" customHeight="1">
      <c r="A51" s="254" t="s">
        <v>1574</v>
      </c>
      <c r="B51" s="254" t="s">
        <v>93</v>
      </c>
      <c r="C51" s="204">
        <v>13</v>
      </c>
      <c r="D51" s="254" t="s">
        <v>1330</v>
      </c>
      <c r="E51" s="502">
        <v>1</v>
      </c>
      <c r="F51" s="501">
        <v>156.14697439046401</v>
      </c>
      <c r="G51" s="506">
        <v>50</v>
      </c>
      <c r="H51" s="506">
        <v>0</v>
      </c>
      <c r="I51" s="506">
        <v>18.75</v>
      </c>
      <c r="J51" s="506">
        <v>0</v>
      </c>
      <c r="K51" s="506">
        <v>0</v>
      </c>
      <c r="L51" s="506">
        <v>106.25</v>
      </c>
      <c r="M51" s="506">
        <v>125</v>
      </c>
      <c r="N51" s="506">
        <v>159.78651555904599</v>
      </c>
      <c r="O51" s="506">
        <v>0</v>
      </c>
      <c r="P51" s="506">
        <v>159.78651555904599</v>
      </c>
      <c r="Q51" s="506">
        <v>0.491952003314999</v>
      </c>
      <c r="R51" s="506">
        <v>3007.66864065869</v>
      </c>
      <c r="S51" s="506">
        <v>37.700202031869097</v>
      </c>
      <c r="T51" s="506">
        <v>0.26887446009294103</v>
      </c>
      <c r="U51" s="506">
        <v>0.12173909788114599</v>
      </c>
      <c r="V51" s="506">
        <v>3.2946749521270301E-6</v>
      </c>
      <c r="W51" s="506">
        <v>159.78651555904599</v>
      </c>
      <c r="X51" s="506">
        <v>0.491952003314999</v>
      </c>
      <c r="Y51" s="506">
        <v>3007.66864065869</v>
      </c>
      <c r="Z51" s="506">
        <v>37.700202031869097</v>
      </c>
      <c r="AA51" s="506">
        <v>0.26887446009294103</v>
      </c>
      <c r="AB51" s="506">
        <v>0.12173909788114599</v>
      </c>
      <c r="AC51" s="506">
        <v>3.2946749521270301E-6</v>
      </c>
      <c r="AD51" s="506">
        <v>0</v>
      </c>
      <c r="AE51" s="506">
        <v>0</v>
      </c>
      <c r="AF51" s="506">
        <v>0</v>
      </c>
      <c r="AG51" s="506">
        <v>0</v>
      </c>
      <c r="AH51" s="506">
        <v>0.12298800082875</v>
      </c>
      <c r="AI51" s="506">
        <v>751.91716016467205</v>
      </c>
      <c r="AJ51" s="506">
        <v>1</v>
      </c>
      <c r="AK51" s="506">
        <v>300</v>
      </c>
      <c r="AL51" s="506">
        <v>12.5</v>
      </c>
      <c r="AM51" s="506">
        <v>3749.9</v>
      </c>
      <c r="AN51" s="506">
        <v>0</v>
      </c>
      <c r="AO51" s="506">
        <v>18.75</v>
      </c>
      <c r="AP51" s="506">
        <v>0</v>
      </c>
      <c r="AQ51" s="506">
        <v>0.1</v>
      </c>
      <c r="AR51" s="506">
        <v>1</v>
      </c>
      <c r="AS51" s="506">
        <v>300</v>
      </c>
      <c r="AT51" s="506">
        <v>12.5</v>
      </c>
      <c r="AU51" s="506">
        <v>3750</v>
      </c>
      <c r="AV51" s="506">
        <v>0.1</v>
      </c>
      <c r="AW51" s="506">
        <v>0.9</v>
      </c>
      <c r="AX51" s="506">
        <v>0</v>
      </c>
      <c r="AY51" s="506">
        <v>0</v>
      </c>
      <c r="AZ51" s="506">
        <v>2</v>
      </c>
      <c r="BA51" s="506">
        <v>600</v>
      </c>
      <c r="BB51" s="506">
        <v>12.5</v>
      </c>
      <c r="BC51" s="506">
        <v>7500</v>
      </c>
      <c r="BD51" s="506">
        <v>0.2</v>
      </c>
      <c r="BE51" s="506">
        <v>1.8</v>
      </c>
      <c r="BF51" s="506">
        <v>0</v>
      </c>
      <c r="BG51" s="506">
        <v>0</v>
      </c>
      <c r="BH51" s="506">
        <v>37.5</v>
      </c>
      <c r="BI51" s="506">
        <v>6.25</v>
      </c>
    </row>
    <row r="52" spans="1:61" ht="12.95" customHeight="1">
      <c r="A52" s="254" t="s">
        <v>1575</v>
      </c>
      <c r="B52" s="254" t="s">
        <v>93</v>
      </c>
      <c r="C52" s="204">
        <v>14</v>
      </c>
      <c r="D52" s="254" t="s">
        <v>1331</v>
      </c>
      <c r="E52" s="502">
        <v>1</v>
      </c>
      <c r="F52" s="501">
        <v>83.228901726604505</v>
      </c>
      <c r="G52" s="506">
        <v>50</v>
      </c>
      <c r="H52" s="506">
        <v>0</v>
      </c>
      <c r="I52" s="506">
        <v>20</v>
      </c>
      <c r="J52" s="506">
        <v>0</v>
      </c>
      <c r="K52" s="506">
        <v>0</v>
      </c>
      <c r="L52" s="506">
        <v>0</v>
      </c>
      <c r="M52" s="506">
        <v>20</v>
      </c>
      <c r="N52" s="506">
        <v>83.384302368303807</v>
      </c>
      <c r="O52" s="506">
        <v>0</v>
      </c>
      <c r="P52" s="506">
        <v>83.384302368303807</v>
      </c>
      <c r="Q52" s="506">
        <v>0.29800878342415399</v>
      </c>
      <c r="R52" s="506">
        <v>1977.9104062599999</v>
      </c>
      <c r="S52" s="506">
        <v>20.166907399999999</v>
      </c>
      <c r="T52" s="506">
        <v>0.18275455243459399</v>
      </c>
      <c r="U52" s="506">
        <v>5.2143331652588401E-2</v>
      </c>
      <c r="V52" s="506">
        <v>2.2210762591473001E-6</v>
      </c>
      <c r="W52" s="506">
        <v>83.384302368303807</v>
      </c>
      <c r="X52" s="506">
        <v>0.29800878342415399</v>
      </c>
      <c r="Y52" s="506">
        <v>1977.9104062599999</v>
      </c>
      <c r="Z52" s="506">
        <v>20.166907399999999</v>
      </c>
      <c r="AA52" s="506">
        <v>0.18275455243459399</v>
      </c>
      <c r="AB52" s="506">
        <v>5.2143331652588401E-2</v>
      </c>
      <c r="AC52" s="506">
        <v>2.2210762591473001E-6</v>
      </c>
      <c r="AD52" s="506">
        <v>0</v>
      </c>
      <c r="AE52" s="506">
        <v>0</v>
      </c>
      <c r="AF52" s="506">
        <v>0</v>
      </c>
      <c r="AG52" s="506">
        <v>0</v>
      </c>
      <c r="AH52" s="506">
        <v>7.4502195856038497E-2</v>
      </c>
      <c r="AI52" s="506">
        <v>494.47760156499999</v>
      </c>
      <c r="AJ52" s="506">
        <v>1</v>
      </c>
      <c r="AK52" s="506">
        <v>300</v>
      </c>
      <c r="AL52" s="506">
        <v>12.5</v>
      </c>
      <c r="AM52" s="506">
        <v>3749.9</v>
      </c>
      <c r="AN52" s="506">
        <v>0</v>
      </c>
      <c r="AO52" s="506">
        <v>20</v>
      </c>
      <c r="AP52" s="506">
        <v>0</v>
      </c>
      <c r="AQ52" s="506">
        <v>0.1</v>
      </c>
      <c r="AR52" s="506">
        <v>1</v>
      </c>
      <c r="AS52" s="506">
        <v>300</v>
      </c>
      <c r="AT52" s="506">
        <v>12.5</v>
      </c>
      <c r="AU52" s="506">
        <v>3749.9</v>
      </c>
      <c r="AV52" s="506">
        <v>0</v>
      </c>
      <c r="AW52" s="506">
        <v>1</v>
      </c>
      <c r="AX52" s="506">
        <v>0</v>
      </c>
      <c r="AY52" s="506">
        <v>0.1</v>
      </c>
      <c r="AZ52" s="506">
        <v>2</v>
      </c>
      <c r="BA52" s="506">
        <v>600</v>
      </c>
      <c r="BB52" s="506">
        <v>12.5</v>
      </c>
      <c r="BC52" s="506">
        <v>7499.9</v>
      </c>
      <c r="BD52" s="506">
        <v>0</v>
      </c>
      <c r="BE52" s="506">
        <v>2</v>
      </c>
      <c r="BF52" s="506">
        <v>0</v>
      </c>
      <c r="BG52" s="506">
        <v>0.1</v>
      </c>
      <c r="BH52" s="506">
        <v>6</v>
      </c>
      <c r="BI52" s="506">
        <v>1</v>
      </c>
    </row>
    <row r="53" spans="1:61" ht="12.95" customHeight="1">
      <c r="A53" s="254" t="s">
        <v>1576</v>
      </c>
      <c r="B53" s="254" t="s">
        <v>93</v>
      </c>
      <c r="C53" s="204">
        <v>15</v>
      </c>
      <c r="D53" s="254" t="s">
        <v>1332</v>
      </c>
      <c r="E53" s="502">
        <v>1</v>
      </c>
      <c r="F53" s="501">
        <v>3.4869589358725501</v>
      </c>
      <c r="G53" s="506">
        <v>50</v>
      </c>
      <c r="H53" s="506">
        <v>0</v>
      </c>
      <c r="I53" s="506">
        <v>0</v>
      </c>
      <c r="J53" s="506">
        <v>0</v>
      </c>
      <c r="K53" s="506">
        <v>0</v>
      </c>
      <c r="L53" s="506">
        <v>85</v>
      </c>
      <c r="M53" s="506">
        <v>85</v>
      </c>
      <c r="N53" s="506">
        <v>25.1093850320343</v>
      </c>
      <c r="O53" s="506">
        <v>-1.6239833441708501E-3</v>
      </c>
      <c r="P53" s="506">
        <v>25.111009015378499</v>
      </c>
      <c r="Q53" s="506">
        <v>0.130118113809399</v>
      </c>
      <c r="R53" s="506">
        <v>548.589387678408</v>
      </c>
      <c r="S53" s="506">
        <v>6.5799737669239899</v>
      </c>
      <c r="T53" s="506">
        <v>1.7148279817577501E-2</v>
      </c>
      <c r="U53" s="506">
        <v>1.37565332693644E-2</v>
      </c>
      <c r="V53" s="506">
        <v>9.6732043716348807E-6</v>
      </c>
      <c r="W53" s="506">
        <v>25.111009015378499</v>
      </c>
      <c r="X53" s="506">
        <v>0.130118113809399</v>
      </c>
      <c r="Y53" s="506">
        <v>548.589387678408</v>
      </c>
      <c r="Z53" s="506">
        <v>6.5799737669239899</v>
      </c>
      <c r="AA53" s="506">
        <v>1.7148279817577501E-2</v>
      </c>
      <c r="AB53" s="506">
        <v>1.37565332693644E-2</v>
      </c>
      <c r="AC53" s="506">
        <v>9.6732043716348807E-6</v>
      </c>
      <c r="AD53" s="506">
        <v>0</v>
      </c>
      <c r="AE53" s="506">
        <v>0</v>
      </c>
      <c r="AF53" s="506">
        <v>0</v>
      </c>
      <c r="AG53" s="506">
        <v>0</v>
      </c>
      <c r="AH53" s="506">
        <v>3.2529528452349799E-2</v>
      </c>
      <c r="AI53" s="506">
        <v>137.147346919602</v>
      </c>
      <c r="AJ53" s="506">
        <v>1</v>
      </c>
      <c r="AK53" s="506">
        <v>300</v>
      </c>
      <c r="AL53" s="506">
        <v>12.5</v>
      </c>
      <c r="AM53" s="506">
        <v>3750</v>
      </c>
      <c r="AN53" s="506">
        <v>0</v>
      </c>
      <c r="AO53" s="506">
        <v>0</v>
      </c>
      <c r="AP53" s="506">
        <v>0</v>
      </c>
      <c r="AQ53" s="506">
        <v>0</v>
      </c>
      <c r="AR53" s="506">
        <v>1</v>
      </c>
      <c r="AS53" s="506">
        <v>300</v>
      </c>
      <c r="AT53" s="506">
        <v>12.5</v>
      </c>
      <c r="AU53" s="506">
        <v>3749.9</v>
      </c>
      <c r="AV53" s="506">
        <v>1</v>
      </c>
      <c r="AW53" s="506">
        <v>0</v>
      </c>
      <c r="AX53" s="506">
        <v>0</v>
      </c>
      <c r="AY53" s="506">
        <v>0.1</v>
      </c>
      <c r="AZ53" s="506">
        <v>2</v>
      </c>
      <c r="BA53" s="506">
        <v>600</v>
      </c>
      <c r="BB53" s="506">
        <v>12.5</v>
      </c>
      <c r="BC53" s="506">
        <v>7499.9</v>
      </c>
      <c r="BD53" s="506">
        <v>2</v>
      </c>
      <c r="BE53" s="506">
        <v>0</v>
      </c>
      <c r="BF53" s="506">
        <v>0</v>
      </c>
      <c r="BG53" s="506">
        <v>0.1</v>
      </c>
      <c r="BH53" s="506">
        <v>25.5</v>
      </c>
      <c r="BI53" s="506">
        <v>4.25</v>
      </c>
    </row>
    <row r="54" spans="1:61" ht="12.95" customHeight="1">
      <c r="A54" s="254" t="s">
        <v>1577</v>
      </c>
      <c r="B54" s="254" t="s">
        <v>93</v>
      </c>
      <c r="C54" s="204">
        <v>16</v>
      </c>
      <c r="D54" s="254" t="s">
        <v>1333</v>
      </c>
      <c r="E54" s="502">
        <v>1</v>
      </c>
      <c r="F54" s="501">
        <v>75.886305610626096</v>
      </c>
      <c r="G54" s="506">
        <v>50</v>
      </c>
      <c r="H54" s="506">
        <v>0</v>
      </c>
      <c r="I54" s="506">
        <v>0</v>
      </c>
      <c r="J54" s="506">
        <v>0</v>
      </c>
      <c r="K54" s="506">
        <v>0</v>
      </c>
      <c r="L54" s="506">
        <v>28.4</v>
      </c>
      <c r="M54" s="506">
        <v>28.4</v>
      </c>
      <c r="N54" s="506">
        <v>72.080327826950693</v>
      </c>
      <c r="O54" s="506">
        <v>-4.60265137369196E-2</v>
      </c>
      <c r="P54" s="506">
        <v>72.126354340687598</v>
      </c>
      <c r="Q54" s="506">
        <v>0.42795694813129098</v>
      </c>
      <c r="R54" s="506">
        <v>1294.3597366588699</v>
      </c>
      <c r="S54" s="506">
        <v>87.069107330465101</v>
      </c>
      <c r="T54" s="506">
        <v>4.8964668968557501E-2</v>
      </c>
      <c r="U54" s="506">
        <v>0.19196847723808899</v>
      </c>
      <c r="V54" s="506">
        <v>6.6921149627250404E-6</v>
      </c>
      <c r="W54" s="506">
        <v>72.126354340687598</v>
      </c>
      <c r="X54" s="506">
        <v>0.42795694813129098</v>
      </c>
      <c r="Y54" s="506">
        <v>1294.3597366588699</v>
      </c>
      <c r="Z54" s="506">
        <v>87.069107330465101</v>
      </c>
      <c r="AA54" s="506">
        <v>4.8964668968557501E-2</v>
      </c>
      <c r="AB54" s="506">
        <v>0.19196847723808899</v>
      </c>
      <c r="AC54" s="506">
        <v>6.6921149627250404E-6</v>
      </c>
      <c r="AD54" s="506">
        <v>0</v>
      </c>
      <c r="AE54" s="506">
        <v>0</v>
      </c>
      <c r="AF54" s="506">
        <v>0</v>
      </c>
      <c r="AG54" s="506">
        <v>0</v>
      </c>
      <c r="AH54" s="506">
        <v>0.106989237032823</v>
      </c>
      <c r="AI54" s="506">
        <v>323.589934164716</v>
      </c>
      <c r="AJ54" s="506">
        <v>6.4</v>
      </c>
      <c r="AK54" s="506">
        <v>1920</v>
      </c>
      <c r="AL54" s="506">
        <v>25</v>
      </c>
      <c r="AM54" s="506">
        <v>24000</v>
      </c>
      <c r="AN54" s="506">
        <v>0</v>
      </c>
      <c r="AO54" s="506">
        <v>0</v>
      </c>
      <c r="AP54" s="506">
        <v>0</v>
      </c>
      <c r="AQ54" s="506">
        <v>0</v>
      </c>
      <c r="AR54" s="506">
        <v>6.4</v>
      </c>
      <c r="AS54" s="506">
        <v>1920</v>
      </c>
      <c r="AT54" s="506">
        <v>25</v>
      </c>
      <c r="AU54" s="506">
        <v>24000</v>
      </c>
      <c r="AV54" s="506">
        <v>1</v>
      </c>
      <c r="AW54" s="506">
        <v>2.7</v>
      </c>
      <c r="AX54" s="506">
        <v>2.7</v>
      </c>
      <c r="AY54" s="506">
        <v>0</v>
      </c>
      <c r="AZ54" s="506">
        <v>12.8</v>
      </c>
      <c r="BA54" s="506">
        <v>3840</v>
      </c>
      <c r="BB54" s="506">
        <v>25</v>
      </c>
      <c r="BC54" s="506">
        <v>48000</v>
      </c>
      <c r="BD54" s="506">
        <v>2</v>
      </c>
      <c r="BE54" s="506">
        <v>5.4</v>
      </c>
      <c r="BF54" s="506">
        <v>5.4</v>
      </c>
      <c r="BG54" s="506">
        <v>0</v>
      </c>
      <c r="BH54" s="506">
        <v>8.52</v>
      </c>
      <c r="BI54" s="506">
        <v>1.42</v>
      </c>
    </row>
    <row r="55" spans="1:61" ht="12.95" customHeight="1" thickBot="1">
      <c r="A55" s="254" t="s">
        <v>1578</v>
      </c>
      <c r="B55" s="254" t="s">
        <v>93</v>
      </c>
      <c r="C55" s="204">
        <v>17</v>
      </c>
      <c r="D55" s="254" t="s">
        <v>1334</v>
      </c>
      <c r="E55" s="502">
        <v>1</v>
      </c>
      <c r="F55" s="501">
        <v>22.941614018163701</v>
      </c>
      <c r="G55" s="506">
        <v>50</v>
      </c>
      <c r="H55" s="506">
        <v>30</v>
      </c>
      <c r="I55" s="506">
        <v>0</v>
      </c>
      <c r="J55" s="506">
        <v>0</v>
      </c>
      <c r="K55" s="506">
        <v>0</v>
      </c>
      <c r="L55" s="506">
        <v>5.4</v>
      </c>
      <c r="M55" s="506">
        <v>35.4</v>
      </c>
      <c r="N55" s="506">
        <v>31.7574804915165</v>
      </c>
      <c r="O55" s="506">
        <v>-48.2841557519167</v>
      </c>
      <c r="P55" s="506">
        <v>80.041636243433103</v>
      </c>
      <c r="Q55" s="506">
        <v>0.19914119463254601</v>
      </c>
      <c r="R55" s="506">
        <v>822.89623955714501</v>
      </c>
      <c r="S55" s="506">
        <v>41.460333220783298</v>
      </c>
      <c r="T55" s="506">
        <v>3.18170656024961E-2</v>
      </c>
      <c r="U55" s="506">
        <v>8.3279927636668499E-2</v>
      </c>
      <c r="V55" s="506">
        <v>4.9865931213413498E-6</v>
      </c>
      <c r="W55" s="506">
        <v>80.041636243433103</v>
      </c>
      <c r="X55" s="506">
        <v>0.19914119463254601</v>
      </c>
      <c r="Y55" s="506">
        <v>822.89623955714501</v>
      </c>
      <c r="Z55" s="506">
        <v>41.460333220783298</v>
      </c>
      <c r="AA55" s="506">
        <v>3.18170656024961E-2</v>
      </c>
      <c r="AB55" s="506">
        <v>8.3279927636668499E-2</v>
      </c>
      <c r="AC55" s="506">
        <v>4.9865931213413498E-6</v>
      </c>
      <c r="AD55" s="506">
        <v>0</v>
      </c>
      <c r="AE55" s="506">
        <v>0</v>
      </c>
      <c r="AF55" s="506">
        <v>0</v>
      </c>
      <c r="AG55" s="506">
        <v>0</v>
      </c>
      <c r="AH55" s="506">
        <v>4.9785298658136502E-2</v>
      </c>
      <c r="AI55" s="506">
        <v>205.724059889286</v>
      </c>
      <c r="AJ55" s="506">
        <v>6.4</v>
      </c>
      <c r="AK55" s="506">
        <v>1920</v>
      </c>
      <c r="AL55" s="506">
        <v>25</v>
      </c>
      <c r="AM55" s="506">
        <v>23999.9</v>
      </c>
      <c r="AN55" s="506">
        <v>30</v>
      </c>
      <c r="AO55" s="506">
        <v>0</v>
      </c>
      <c r="AP55" s="506">
        <v>0</v>
      </c>
      <c r="AQ55" s="506">
        <v>0.1</v>
      </c>
      <c r="AR55" s="506">
        <v>6.4</v>
      </c>
      <c r="AS55" s="506">
        <v>1920</v>
      </c>
      <c r="AT55" s="506">
        <v>25</v>
      </c>
      <c r="AU55" s="506">
        <v>24000</v>
      </c>
      <c r="AV55" s="506">
        <v>0</v>
      </c>
      <c r="AW55" s="506">
        <v>3.7</v>
      </c>
      <c r="AX55" s="506">
        <v>2.7</v>
      </c>
      <c r="AY55" s="506">
        <v>0</v>
      </c>
      <c r="AZ55" s="506">
        <v>12.8</v>
      </c>
      <c r="BA55" s="506">
        <v>3840</v>
      </c>
      <c r="BB55" s="506">
        <v>25</v>
      </c>
      <c r="BC55" s="506">
        <v>48000</v>
      </c>
      <c r="BD55" s="506">
        <v>0</v>
      </c>
      <c r="BE55" s="506">
        <v>7.4</v>
      </c>
      <c r="BF55" s="506">
        <v>5.4</v>
      </c>
      <c r="BG55" s="506">
        <v>0</v>
      </c>
      <c r="BH55" s="506">
        <v>10.62</v>
      </c>
      <c r="BI55" s="506">
        <v>1.77</v>
      </c>
    </row>
    <row r="56" spans="1:61" ht="12.95" customHeight="1" thickBot="1">
      <c r="A56" s="254" t="s">
        <v>1731</v>
      </c>
      <c r="B56" s="254" t="s">
        <v>93</v>
      </c>
      <c r="C56" s="204"/>
      <c r="D56" s="254"/>
      <c r="E56" s="502"/>
      <c r="F56" s="501"/>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0"/>
      <c r="AV56" s="90"/>
      <c r="AW56" s="90"/>
      <c r="AX56" s="90"/>
      <c r="AY56" s="90"/>
      <c r="AZ56" s="90"/>
      <c r="BA56" s="90"/>
      <c r="BB56" s="90"/>
      <c r="BC56" s="90"/>
      <c r="BD56" s="90"/>
      <c r="BE56" s="90"/>
      <c r="BF56" s="90"/>
      <c r="BG56" s="90"/>
      <c r="BH56" s="90"/>
      <c r="BI56" s="506"/>
    </row>
    <row r="57" spans="1:61" ht="12.95" customHeight="1">
      <c r="A57" s="254" t="s">
        <v>2071</v>
      </c>
      <c r="B57" s="254"/>
      <c r="C57" s="204"/>
      <c r="D57" s="254"/>
      <c r="E57" s="502"/>
      <c r="F57" s="501"/>
      <c r="G57" s="506"/>
      <c r="H57" s="506"/>
      <c r="I57" s="506"/>
      <c r="J57" s="506"/>
      <c r="K57" s="506"/>
      <c r="L57" s="506"/>
      <c r="M57" s="506"/>
      <c r="N57" s="506"/>
      <c r="O57" s="506"/>
      <c r="P57" s="506"/>
      <c r="Q57" s="506"/>
      <c r="R57" s="506"/>
      <c r="S57" s="506"/>
      <c r="T57" s="506"/>
      <c r="U57" s="506"/>
      <c r="V57" s="506"/>
      <c r="W57" s="506"/>
      <c r="X57" s="506"/>
      <c r="Y57" s="506"/>
      <c r="Z57" s="506"/>
      <c r="AA57" s="506"/>
      <c r="AB57" s="506"/>
      <c r="AC57" s="506"/>
      <c r="AD57" s="506"/>
      <c r="AE57" s="506"/>
      <c r="AF57" s="506"/>
      <c r="AG57" s="506"/>
      <c r="AH57" s="506"/>
      <c r="AI57" s="506"/>
      <c r="AJ57" s="506"/>
      <c r="AK57" s="506"/>
      <c r="AL57" s="506"/>
      <c r="AM57" s="506"/>
      <c r="AN57" s="506"/>
      <c r="AO57" s="506"/>
      <c r="AP57" s="506"/>
      <c r="AQ57" s="506"/>
      <c r="AR57" s="506"/>
      <c r="AS57" s="506"/>
      <c r="AT57" s="506"/>
      <c r="AU57" s="506"/>
      <c r="AV57" s="506"/>
      <c r="AW57" s="506"/>
      <c r="AX57" s="506"/>
      <c r="AY57" s="506"/>
      <c r="AZ57" s="506"/>
      <c r="BA57" s="506"/>
      <c r="BB57" s="506"/>
      <c r="BC57" s="506"/>
      <c r="BD57" s="506"/>
      <c r="BE57" s="506"/>
      <c r="BF57" s="506"/>
      <c r="BG57" s="506"/>
      <c r="BH57" s="506"/>
      <c r="BI57" s="506"/>
    </row>
    <row r="58" spans="1:61" ht="12.95" customHeight="1">
      <c r="A58" s="254" t="s">
        <v>1579</v>
      </c>
      <c r="B58" s="254" t="s">
        <v>93</v>
      </c>
      <c r="C58" s="204">
        <v>18</v>
      </c>
      <c r="D58" s="254" t="s">
        <v>1511</v>
      </c>
      <c r="E58" s="502">
        <v>3.125</v>
      </c>
      <c r="F58" s="501">
        <v>6.9305260928576802</v>
      </c>
      <c r="G58" s="506">
        <v>50</v>
      </c>
      <c r="H58" s="506">
        <v>0</v>
      </c>
      <c r="I58" s="506">
        <v>16.875</v>
      </c>
      <c r="J58" s="506">
        <v>0</v>
      </c>
      <c r="K58" s="506">
        <v>0</v>
      </c>
      <c r="L58" s="506">
        <v>54.53125</v>
      </c>
      <c r="M58" s="506">
        <v>71.40625</v>
      </c>
      <c r="N58" s="506">
        <v>98.810883785800996</v>
      </c>
      <c r="O58" s="506">
        <v>-2.5530497095856999E-2</v>
      </c>
      <c r="P58" s="506">
        <v>98.836414282896797</v>
      </c>
      <c r="Q58" s="506">
        <v>0.36359757572578999</v>
      </c>
      <c r="R58" s="506">
        <v>2107.54209937324</v>
      </c>
      <c r="S58" s="506">
        <v>32.6394625193576</v>
      </c>
      <c r="T58" s="506">
        <v>0.16809800839081801</v>
      </c>
      <c r="U58" s="506">
        <v>8.8776465840554902E-2</v>
      </c>
      <c r="V58" s="506">
        <v>3.8216955520723698E-6</v>
      </c>
      <c r="W58" s="506">
        <v>98.836414282896797</v>
      </c>
      <c r="X58" s="506">
        <v>0.36359757572578999</v>
      </c>
      <c r="Y58" s="506">
        <v>2107.54209937324</v>
      </c>
      <c r="Z58" s="506">
        <v>32.6394625193576</v>
      </c>
      <c r="AA58" s="506">
        <v>0.16809800839081801</v>
      </c>
      <c r="AB58" s="506">
        <v>8.8776465840554902E-2</v>
      </c>
      <c r="AC58" s="506">
        <v>3.8216955520723698E-6</v>
      </c>
      <c r="AD58" s="506">
        <v>0</v>
      </c>
      <c r="AE58" s="506">
        <v>0</v>
      </c>
      <c r="AF58" s="506">
        <v>0</v>
      </c>
      <c r="AG58" s="506">
        <v>0</v>
      </c>
      <c r="AH58" s="506">
        <v>9.0899393931447497E-2</v>
      </c>
      <c r="AI58" s="506">
        <v>526.88552484331103</v>
      </c>
      <c r="AJ58" s="506">
        <v>22.852621527777799</v>
      </c>
      <c r="AK58" s="506">
        <v>2193.3516666666701</v>
      </c>
      <c r="AL58" s="506">
        <v>87.5</v>
      </c>
      <c r="AM58" s="506">
        <v>85677.486979166701</v>
      </c>
      <c r="AN58" s="506">
        <v>0</v>
      </c>
      <c r="AO58" s="506">
        <v>16.875</v>
      </c>
      <c r="AP58" s="506">
        <v>0</v>
      </c>
      <c r="AQ58" s="506">
        <v>0.1</v>
      </c>
      <c r="AR58" s="506">
        <v>22.852621527777799</v>
      </c>
      <c r="AS58" s="506">
        <v>2193.3516666666701</v>
      </c>
      <c r="AT58" s="506">
        <v>87.5</v>
      </c>
      <c r="AU58" s="506">
        <v>85677.486979166701</v>
      </c>
      <c r="AV58" s="506">
        <v>4.0121527777777798E-2</v>
      </c>
      <c r="AW58" s="506">
        <v>22.8125</v>
      </c>
      <c r="AX58" s="506">
        <v>0</v>
      </c>
      <c r="AY58" s="506">
        <v>0.1</v>
      </c>
      <c r="AZ58" s="506">
        <v>45.705243055555599</v>
      </c>
      <c r="BA58" s="506">
        <v>4386.7033333333302</v>
      </c>
      <c r="BB58" s="506">
        <v>87.5</v>
      </c>
      <c r="BC58" s="506">
        <v>171355.28645833299</v>
      </c>
      <c r="BD58" s="506">
        <v>8.0243055555555595E-2</v>
      </c>
      <c r="BE58" s="506">
        <v>45.625</v>
      </c>
      <c r="BF58" s="506">
        <v>0</v>
      </c>
      <c r="BG58" s="506">
        <v>0.1</v>
      </c>
      <c r="BH58" s="506">
        <v>16.96875</v>
      </c>
      <c r="BI58" s="506">
        <v>2.828125</v>
      </c>
    </row>
    <row r="59" spans="1:61" ht="12.95" customHeight="1">
      <c r="A59" s="254" t="s">
        <v>1449</v>
      </c>
      <c r="B59" s="254" t="s">
        <v>93</v>
      </c>
      <c r="C59" s="204">
        <v>19</v>
      </c>
      <c r="D59" s="254" t="s">
        <v>1335</v>
      </c>
      <c r="E59" s="502">
        <v>3.125</v>
      </c>
      <c r="F59" s="501">
        <v>6.44775544843153</v>
      </c>
      <c r="G59" s="506">
        <v>50</v>
      </c>
      <c r="H59" s="506">
        <v>0</v>
      </c>
      <c r="I59" s="506">
        <v>0</v>
      </c>
      <c r="J59" s="506">
        <v>0</v>
      </c>
      <c r="K59" s="506">
        <v>0</v>
      </c>
      <c r="L59" s="506">
        <v>169.53125</v>
      </c>
      <c r="M59" s="506">
        <v>169.53125</v>
      </c>
      <c r="N59" s="506">
        <v>144.14779407818</v>
      </c>
      <c r="O59" s="506">
        <v>-2.5530497095856999E-2</v>
      </c>
      <c r="P59" s="506">
        <v>144.17332457527601</v>
      </c>
      <c r="Q59" s="506">
        <v>0.35793731615681001</v>
      </c>
      <c r="R59" s="506">
        <v>1858.23883827231</v>
      </c>
      <c r="S59" s="506">
        <v>109.262194275749</v>
      </c>
      <c r="T59" s="506">
        <v>4.5909503184017202E-2</v>
      </c>
      <c r="U59" s="506">
        <v>0.151214487520899</v>
      </c>
      <c r="V59" s="506">
        <v>1.0481517250507E-5</v>
      </c>
      <c r="W59" s="506">
        <v>144.17332457527601</v>
      </c>
      <c r="X59" s="506">
        <v>0.35793731615681001</v>
      </c>
      <c r="Y59" s="506">
        <v>1858.23883827231</v>
      </c>
      <c r="Z59" s="506">
        <v>109.262194275749</v>
      </c>
      <c r="AA59" s="506">
        <v>4.5909503184017202E-2</v>
      </c>
      <c r="AB59" s="506">
        <v>0.151214487520899</v>
      </c>
      <c r="AC59" s="506">
        <v>1.0481517250507E-5</v>
      </c>
      <c r="AD59" s="506">
        <v>0</v>
      </c>
      <c r="AE59" s="506">
        <v>0</v>
      </c>
      <c r="AF59" s="506">
        <v>0</v>
      </c>
      <c r="AG59" s="506">
        <v>0</v>
      </c>
      <c r="AH59" s="506">
        <v>8.9484329039202601E-2</v>
      </c>
      <c r="AI59" s="506">
        <v>464.55970956807897</v>
      </c>
      <c r="AJ59" s="506">
        <v>22.915121527777799</v>
      </c>
      <c r="AK59" s="506">
        <v>2199.3516666666701</v>
      </c>
      <c r="AL59" s="506">
        <v>87.5</v>
      </c>
      <c r="AM59" s="506">
        <v>85912.174479166701</v>
      </c>
      <c r="AN59" s="506">
        <v>0</v>
      </c>
      <c r="AO59" s="506">
        <v>0</v>
      </c>
      <c r="AP59" s="506">
        <v>0</v>
      </c>
      <c r="AQ59" s="506">
        <v>0</v>
      </c>
      <c r="AR59" s="506">
        <v>22.915121527777799</v>
      </c>
      <c r="AS59" s="506">
        <v>2199.3516666666701</v>
      </c>
      <c r="AT59" s="506">
        <v>87.5</v>
      </c>
      <c r="AU59" s="506">
        <v>85911.861979166701</v>
      </c>
      <c r="AV59" s="506">
        <v>1.04012152777778</v>
      </c>
      <c r="AW59" s="506">
        <v>21.875</v>
      </c>
      <c r="AX59" s="506">
        <v>0</v>
      </c>
      <c r="AY59" s="506">
        <v>0.1</v>
      </c>
      <c r="AZ59" s="506">
        <v>45.830243055555599</v>
      </c>
      <c r="BA59" s="506">
        <v>4398.7033333333302</v>
      </c>
      <c r="BB59" s="506">
        <v>87.5</v>
      </c>
      <c r="BC59" s="506">
        <v>171824.03645833299</v>
      </c>
      <c r="BD59" s="506">
        <v>2.08024305555556</v>
      </c>
      <c r="BE59" s="506">
        <v>43.75</v>
      </c>
      <c r="BF59" s="506">
        <v>0</v>
      </c>
      <c r="BG59" s="506">
        <v>0.1</v>
      </c>
      <c r="BH59" s="506">
        <v>46.40625</v>
      </c>
      <c r="BI59" s="506">
        <v>7.734375</v>
      </c>
    </row>
    <row r="60" spans="1:61" ht="12.95" customHeight="1">
      <c r="A60" s="254" t="s">
        <v>1917</v>
      </c>
      <c r="B60" s="254" t="s">
        <v>93</v>
      </c>
      <c r="C60" s="204">
        <v>20</v>
      </c>
      <c r="D60" s="254" t="s">
        <v>1336</v>
      </c>
      <c r="E60" s="502">
        <v>3.125</v>
      </c>
      <c r="F60" s="501">
        <v>-11.3379631119442</v>
      </c>
      <c r="G60" s="506">
        <v>50</v>
      </c>
      <c r="H60" s="506">
        <v>89.0625</v>
      </c>
      <c r="I60" s="506">
        <v>0.25</v>
      </c>
      <c r="J60" s="506">
        <v>3.125</v>
      </c>
      <c r="K60" s="506">
        <v>0</v>
      </c>
      <c r="L60" s="506">
        <v>18</v>
      </c>
      <c r="M60" s="506">
        <v>110.4375</v>
      </c>
      <c r="N60" s="506">
        <v>-81.936685233248795</v>
      </c>
      <c r="O60" s="506">
        <v>-147.07266214076299</v>
      </c>
      <c r="P60" s="506">
        <v>65.135976907513793</v>
      </c>
      <c r="Q60" s="506">
        <v>0.39164808213257601</v>
      </c>
      <c r="R60" s="506">
        <v>1186.4070558911701</v>
      </c>
      <c r="S60" s="506">
        <v>1921.0062746306601</v>
      </c>
      <c r="T60" s="506">
        <v>7.5513622610452094E-2</v>
      </c>
      <c r="U60" s="506">
        <v>0.176907122796883</v>
      </c>
      <c r="V60" s="506">
        <v>6.0159978030387097E-6</v>
      </c>
      <c r="W60" s="506">
        <v>65.135976907513793</v>
      </c>
      <c r="X60" s="506">
        <v>0.39164808213257601</v>
      </c>
      <c r="Y60" s="506">
        <v>1186.4070558911701</v>
      </c>
      <c r="Z60" s="506">
        <v>1921.0062746306601</v>
      </c>
      <c r="AA60" s="506">
        <v>7.5513622610452094E-2</v>
      </c>
      <c r="AB60" s="506">
        <v>0.176907122796883</v>
      </c>
      <c r="AC60" s="506">
        <v>6.0159978030387097E-6</v>
      </c>
      <c r="AD60" s="506">
        <v>0</v>
      </c>
      <c r="AE60" s="506">
        <v>0</v>
      </c>
      <c r="AF60" s="506">
        <v>0</v>
      </c>
      <c r="AG60" s="506">
        <v>0</v>
      </c>
      <c r="AH60" s="506">
        <v>9.7912020533144004E-2</v>
      </c>
      <c r="AI60" s="506">
        <v>296.60176397279298</v>
      </c>
      <c r="AJ60" s="506">
        <v>1.07878074306646</v>
      </c>
      <c r="AK60" s="506">
        <v>97.8629513343799</v>
      </c>
      <c r="AL60" s="506">
        <v>87.5</v>
      </c>
      <c r="AM60" s="506">
        <v>3822.45903649922</v>
      </c>
      <c r="AN60" s="506">
        <v>89.0625</v>
      </c>
      <c r="AO60" s="506">
        <v>0.25</v>
      </c>
      <c r="AP60" s="506">
        <v>0</v>
      </c>
      <c r="AQ60" s="506">
        <v>0.1</v>
      </c>
      <c r="AR60" s="506">
        <v>1.07878074306646</v>
      </c>
      <c r="AS60" s="506">
        <v>97.8629513343799</v>
      </c>
      <c r="AT60" s="506">
        <v>87.5</v>
      </c>
      <c r="AU60" s="506">
        <v>3822.77153649922</v>
      </c>
      <c r="AV60" s="506">
        <v>0.9</v>
      </c>
      <c r="AW60" s="506">
        <v>0.178380102040816</v>
      </c>
      <c r="AX60" s="506">
        <v>4.0064102564102601E-4</v>
      </c>
      <c r="AY60" s="506">
        <v>0</v>
      </c>
      <c r="AZ60" s="506">
        <v>2.15756148613292</v>
      </c>
      <c r="BA60" s="506">
        <v>195.72590266876</v>
      </c>
      <c r="BB60" s="506">
        <v>87.5</v>
      </c>
      <c r="BC60" s="506">
        <v>7645.54307299843</v>
      </c>
      <c r="BD60" s="506">
        <v>1.8</v>
      </c>
      <c r="BE60" s="506">
        <v>0.356760204081633</v>
      </c>
      <c r="BF60" s="506">
        <v>8.0128205128205104E-4</v>
      </c>
      <c r="BG60" s="506">
        <v>0</v>
      </c>
      <c r="BH60" s="506">
        <v>16.337499999999999</v>
      </c>
      <c r="BI60" s="506">
        <v>3.5562499999999999</v>
      </c>
    </row>
    <row r="61" spans="1:61" ht="12.95" customHeight="1">
      <c r="A61" s="254" t="s">
        <v>1471</v>
      </c>
      <c r="B61" s="254" t="s">
        <v>93</v>
      </c>
      <c r="C61" s="204">
        <v>21</v>
      </c>
      <c r="D61" s="254" t="s">
        <v>1337</v>
      </c>
      <c r="E61" s="502">
        <v>3.125</v>
      </c>
      <c r="F61" s="501">
        <v>4.85648761185616</v>
      </c>
      <c r="G61" s="506">
        <v>50</v>
      </c>
      <c r="H61" s="506">
        <v>165.5625</v>
      </c>
      <c r="I61" s="506">
        <v>0.25</v>
      </c>
      <c r="J61" s="506">
        <v>3.125</v>
      </c>
      <c r="K61" s="506">
        <v>0</v>
      </c>
      <c r="L61" s="506">
        <v>0</v>
      </c>
      <c r="M61" s="506">
        <v>168.9375</v>
      </c>
      <c r="N61" s="506">
        <v>-120.18664989801501</v>
      </c>
      <c r="O61" s="506">
        <v>-250.241311095686</v>
      </c>
      <c r="P61" s="506">
        <v>130.05466119766999</v>
      </c>
      <c r="Q61" s="506">
        <v>0.47865555681171201</v>
      </c>
      <c r="R61" s="506">
        <v>2547.8567358547398</v>
      </c>
      <c r="S61" s="506">
        <v>3081.307834062</v>
      </c>
      <c r="T61" s="506">
        <v>8.9662937382007105E-2</v>
      </c>
      <c r="U61" s="506">
        <v>0.19712278737977301</v>
      </c>
      <c r="V61" s="506">
        <v>1.0707196113719E-5</v>
      </c>
      <c r="W61" s="506">
        <v>130.05466119766999</v>
      </c>
      <c r="X61" s="506">
        <v>0.47865555681171201</v>
      </c>
      <c r="Y61" s="506">
        <v>2547.8567358547398</v>
      </c>
      <c r="Z61" s="506">
        <v>3081.307834062</v>
      </c>
      <c r="AA61" s="506">
        <v>8.9662937382007105E-2</v>
      </c>
      <c r="AB61" s="506">
        <v>0.19712278737977301</v>
      </c>
      <c r="AC61" s="506">
        <v>1.0707196113719E-5</v>
      </c>
      <c r="AD61" s="506">
        <v>0</v>
      </c>
      <c r="AE61" s="506">
        <v>0</v>
      </c>
      <c r="AF61" s="506">
        <v>0</v>
      </c>
      <c r="AG61" s="506">
        <v>0</v>
      </c>
      <c r="AH61" s="506">
        <v>0.119663889202928</v>
      </c>
      <c r="AI61" s="506">
        <v>636.96418396368495</v>
      </c>
      <c r="AJ61" s="506">
        <v>1.07878074306646</v>
      </c>
      <c r="AK61" s="506">
        <v>97.8629513343799</v>
      </c>
      <c r="AL61" s="506">
        <v>87.5</v>
      </c>
      <c r="AM61" s="506">
        <v>3822.45903649922</v>
      </c>
      <c r="AN61" s="506">
        <v>165.5625</v>
      </c>
      <c r="AO61" s="506">
        <v>0.25</v>
      </c>
      <c r="AP61" s="506">
        <v>0</v>
      </c>
      <c r="AQ61" s="506">
        <v>0.1</v>
      </c>
      <c r="AR61" s="506">
        <v>1.07878074306646</v>
      </c>
      <c r="AS61" s="506">
        <v>97.8629513343799</v>
      </c>
      <c r="AT61" s="506">
        <v>87.5</v>
      </c>
      <c r="AU61" s="506">
        <v>3822.45903649922</v>
      </c>
      <c r="AV61" s="506">
        <v>0</v>
      </c>
      <c r="AW61" s="506">
        <v>1.0783801020408199</v>
      </c>
      <c r="AX61" s="506">
        <v>4.0064102564102601E-4</v>
      </c>
      <c r="AY61" s="506">
        <v>0.1</v>
      </c>
      <c r="AZ61" s="506">
        <v>2.15756148613292</v>
      </c>
      <c r="BA61" s="506">
        <v>195.72590266876</v>
      </c>
      <c r="BB61" s="506">
        <v>87.5</v>
      </c>
      <c r="BC61" s="506">
        <v>7645.23057299843</v>
      </c>
      <c r="BD61" s="506">
        <v>0</v>
      </c>
      <c r="BE61" s="506">
        <v>2.1567602040816301</v>
      </c>
      <c r="BF61" s="506">
        <v>8.0128205128205104E-4</v>
      </c>
      <c r="BG61" s="506">
        <v>0.1</v>
      </c>
      <c r="BH61" s="506">
        <v>33.887500000000003</v>
      </c>
      <c r="BI61" s="506">
        <v>6.4812500000000002</v>
      </c>
    </row>
    <row r="62" spans="1:61" ht="12.95" customHeight="1" thickBot="1">
      <c r="A62" s="254" t="s">
        <v>1926</v>
      </c>
      <c r="B62" s="254" t="s">
        <v>93</v>
      </c>
      <c r="C62" s="204">
        <v>22</v>
      </c>
      <c r="D62" s="254" t="s">
        <v>1338</v>
      </c>
      <c r="E62" s="502">
        <v>3.125</v>
      </c>
      <c r="F62" s="501">
        <v>-28.7387497531295</v>
      </c>
      <c r="G62" s="506">
        <v>50</v>
      </c>
      <c r="H62" s="506">
        <v>120.5625</v>
      </c>
      <c r="I62" s="506">
        <v>0.25</v>
      </c>
      <c r="J62" s="506">
        <v>3.125</v>
      </c>
      <c r="K62" s="506">
        <v>0</v>
      </c>
      <c r="L62" s="506">
        <v>0</v>
      </c>
      <c r="M62" s="506">
        <v>123.9375</v>
      </c>
      <c r="N62" s="506">
        <v>-153.97581978285999</v>
      </c>
      <c r="O62" s="506">
        <v>-192.61187538498001</v>
      </c>
      <c r="P62" s="506">
        <v>38.636055602119797</v>
      </c>
      <c r="Q62" s="506">
        <v>0.22541644648825801</v>
      </c>
      <c r="R62" s="506">
        <v>580.20552360537795</v>
      </c>
      <c r="S62" s="506">
        <v>1916.58295559727</v>
      </c>
      <c r="T62" s="506">
        <v>5.44442132392743E-2</v>
      </c>
      <c r="U62" s="506">
        <v>9.7042456226085802E-2</v>
      </c>
      <c r="V62" s="506">
        <v>2.9268690696355202E-6</v>
      </c>
      <c r="W62" s="506">
        <v>38.636055602119797</v>
      </c>
      <c r="X62" s="506">
        <v>0.22541644648825801</v>
      </c>
      <c r="Y62" s="506">
        <v>580.20552360537795</v>
      </c>
      <c r="Z62" s="506">
        <v>1916.58295559727</v>
      </c>
      <c r="AA62" s="506">
        <v>5.44442132392743E-2</v>
      </c>
      <c r="AB62" s="506">
        <v>9.7042456226085802E-2</v>
      </c>
      <c r="AC62" s="506">
        <v>2.9268690696355202E-6</v>
      </c>
      <c r="AD62" s="506">
        <v>0</v>
      </c>
      <c r="AE62" s="506">
        <v>0</v>
      </c>
      <c r="AF62" s="506">
        <v>0</v>
      </c>
      <c r="AG62" s="506">
        <v>0</v>
      </c>
      <c r="AH62" s="506">
        <v>5.6354111622064502E-2</v>
      </c>
      <c r="AI62" s="506">
        <v>145.051380901344</v>
      </c>
      <c r="AJ62" s="506">
        <v>1.07878074306646</v>
      </c>
      <c r="AK62" s="506">
        <v>97.8629513343799</v>
      </c>
      <c r="AL62" s="506">
        <v>87.5</v>
      </c>
      <c r="AM62" s="506">
        <v>3822.45903649922</v>
      </c>
      <c r="AN62" s="506">
        <v>120.5625</v>
      </c>
      <c r="AO62" s="506">
        <v>0.25</v>
      </c>
      <c r="AP62" s="506">
        <v>0</v>
      </c>
      <c r="AQ62" s="506">
        <v>0.1</v>
      </c>
      <c r="AR62" s="506">
        <v>1.07878074306646</v>
      </c>
      <c r="AS62" s="506">
        <v>97.8629513343799</v>
      </c>
      <c r="AT62" s="506">
        <v>87.5</v>
      </c>
      <c r="AU62" s="506">
        <v>3822.45903649922</v>
      </c>
      <c r="AV62" s="506">
        <v>0</v>
      </c>
      <c r="AW62" s="506">
        <v>1.0783801020408199</v>
      </c>
      <c r="AX62" s="506">
        <v>4.0064102564102601E-4</v>
      </c>
      <c r="AY62" s="506">
        <v>0.1</v>
      </c>
      <c r="AZ62" s="506">
        <v>2.15756148613292</v>
      </c>
      <c r="BA62" s="506">
        <v>195.72590266876</v>
      </c>
      <c r="BB62" s="506">
        <v>87.5</v>
      </c>
      <c r="BC62" s="506">
        <v>7645.23057299843</v>
      </c>
      <c r="BD62" s="506">
        <v>0</v>
      </c>
      <c r="BE62" s="506">
        <v>2.1567602040816301</v>
      </c>
      <c r="BF62" s="506">
        <v>8.0128205128205104E-4</v>
      </c>
      <c r="BG62" s="506">
        <v>0.1</v>
      </c>
      <c r="BH62" s="506">
        <v>20.387499999999999</v>
      </c>
      <c r="BI62" s="506">
        <v>4.2312500000000002</v>
      </c>
    </row>
    <row r="63" spans="1:61" ht="12.95" customHeight="1" thickBot="1">
      <c r="A63" s="254" t="s">
        <v>1732</v>
      </c>
      <c r="B63" s="254" t="s">
        <v>93</v>
      </c>
      <c r="C63" s="204"/>
      <c r="D63" s="254"/>
      <c r="E63" s="502"/>
      <c r="F63" s="501"/>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506"/>
    </row>
    <row r="64" spans="1:61" ht="12.95" customHeight="1">
      <c r="A64" s="254" t="s">
        <v>2071</v>
      </c>
      <c r="B64" s="254"/>
      <c r="C64" s="204"/>
      <c r="D64" s="254"/>
      <c r="E64" s="502"/>
      <c r="F64" s="501"/>
      <c r="G64" s="506"/>
      <c r="H64" s="506"/>
      <c r="I64" s="506"/>
      <c r="J64" s="506"/>
      <c r="K64" s="506"/>
      <c r="L64" s="506"/>
      <c r="M64" s="506"/>
      <c r="N64" s="506"/>
      <c r="O64" s="506"/>
      <c r="P64" s="506"/>
      <c r="Q64" s="506"/>
      <c r="R64" s="506"/>
      <c r="S64" s="506"/>
      <c r="T64" s="506"/>
      <c r="U64" s="506"/>
      <c r="V64" s="506"/>
      <c r="W64" s="506"/>
      <c r="X64" s="506"/>
      <c r="Y64" s="506"/>
      <c r="Z64" s="506"/>
      <c r="AA64" s="506"/>
      <c r="AB64" s="506"/>
      <c r="AC64" s="506"/>
      <c r="AD64" s="506"/>
      <c r="AE64" s="506"/>
      <c r="AF64" s="506"/>
      <c r="AG64" s="506"/>
      <c r="AH64" s="506"/>
      <c r="AI64" s="506"/>
      <c r="AJ64" s="506"/>
      <c r="AK64" s="506"/>
      <c r="AL64" s="506"/>
      <c r="AM64" s="506"/>
      <c r="AN64" s="506"/>
      <c r="AO64" s="506"/>
      <c r="AP64" s="506"/>
      <c r="AQ64" s="506"/>
      <c r="AR64" s="506"/>
      <c r="AS64" s="506"/>
      <c r="AT64" s="506"/>
      <c r="AU64" s="506"/>
      <c r="AV64" s="506"/>
      <c r="AW64" s="506"/>
      <c r="AX64" s="506"/>
      <c r="AY64" s="506"/>
      <c r="AZ64" s="506"/>
      <c r="BA64" s="506"/>
      <c r="BB64" s="506"/>
      <c r="BC64" s="506"/>
      <c r="BD64" s="506"/>
      <c r="BE64" s="506"/>
      <c r="BF64" s="506"/>
      <c r="BG64" s="506"/>
      <c r="BH64" s="506"/>
      <c r="BI64" s="506"/>
    </row>
    <row r="65" spans="1:61" ht="12.95" customHeight="1">
      <c r="A65" s="254" t="s">
        <v>1470</v>
      </c>
      <c r="B65" s="254" t="s">
        <v>92</v>
      </c>
      <c r="C65" s="204">
        <v>23</v>
      </c>
      <c r="D65" s="254" t="s">
        <v>1339</v>
      </c>
      <c r="E65" s="502">
        <v>1</v>
      </c>
      <c r="F65" s="501">
        <v>-7.0850637365976699</v>
      </c>
      <c r="G65" s="506">
        <v>50</v>
      </c>
      <c r="H65" s="506">
        <v>0</v>
      </c>
      <c r="I65" s="506">
        <v>6.35</v>
      </c>
      <c r="J65" s="506">
        <v>0</v>
      </c>
      <c r="K65" s="506">
        <v>120</v>
      </c>
      <c r="L65" s="506">
        <v>2.04</v>
      </c>
      <c r="M65" s="506">
        <v>128.38999999999999</v>
      </c>
      <c r="N65" s="506">
        <v>27.753906061379102</v>
      </c>
      <c r="O65" s="506">
        <v>-5.1280954240919899E-2</v>
      </c>
      <c r="P65" s="506">
        <v>27.80518701562</v>
      </c>
      <c r="Q65" s="506">
        <v>9.0004274362539397E-2</v>
      </c>
      <c r="R65" s="506">
        <v>378.66146014501697</v>
      </c>
      <c r="S65" s="506">
        <v>35.7560209187439</v>
      </c>
      <c r="T65" s="506">
        <v>2.16983906791746E-2</v>
      </c>
      <c r="U65" s="506">
        <v>3.8647192595777403E-2</v>
      </c>
      <c r="V65" s="506">
        <v>1.1934950282103899E-6</v>
      </c>
      <c r="W65" s="506">
        <v>27.80518701562</v>
      </c>
      <c r="X65" s="506">
        <v>9.0004274362539397E-2</v>
      </c>
      <c r="Y65" s="506">
        <v>378.66146014501697</v>
      </c>
      <c r="Z65" s="506">
        <v>35.7560209187439</v>
      </c>
      <c r="AA65" s="506">
        <v>2.16983906791746E-2</v>
      </c>
      <c r="AB65" s="506">
        <v>3.8647192595777403E-2</v>
      </c>
      <c r="AC65" s="506">
        <v>1.1934950282103899E-6</v>
      </c>
      <c r="AD65" s="506">
        <v>0</v>
      </c>
      <c r="AE65" s="506">
        <v>0</v>
      </c>
      <c r="AF65" s="506">
        <v>0</v>
      </c>
      <c r="AG65" s="506">
        <v>0</v>
      </c>
      <c r="AH65" s="506">
        <v>2.2501068590634801E-2</v>
      </c>
      <c r="AI65" s="506">
        <v>94.665365036254201</v>
      </c>
      <c r="AJ65" s="506">
        <v>0.14010204081632699</v>
      </c>
      <c r="AK65" s="506">
        <v>27.030612244897998</v>
      </c>
      <c r="AL65" s="506">
        <v>50</v>
      </c>
      <c r="AM65" s="506">
        <v>337.78265306122398</v>
      </c>
      <c r="AN65" s="506">
        <v>0</v>
      </c>
      <c r="AO65" s="506">
        <v>6.35</v>
      </c>
      <c r="AP65" s="506">
        <v>0</v>
      </c>
      <c r="AQ65" s="506">
        <v>0.1</v>
      </c>
      <c r="AR65" s="506">
        <v>0.14010204081632699</v>
      </c>
      <c r="AS65" s="506">
        <v>27.030612244897998</v>
      </c>
      <c r="AT65" s="506">
        <v>50</v>
      </c>
      <c r="AU65" s="506">
        <v>337.882653061224</v>
      </c>
      <c r="AV65" s="506">
        <v>9.5000000000000001E-2</v>
      </c>
      <c r="AW65" s="506">
        <v>4.5102040816326502E-2</v>
      </c>
      <c r="AX65" s="506">
        <v>0</v>
      </c>
      <c r="AY65" s="506">
        <v>0</v>
      </c>
      <c r="AZ65" s="506">
        <v>0.28020408163265298</v>
      </c>
      <c r="BA65" s="506">
        <v>54.061224489795897</v>
      </c>
      <c r="BB65" s="506">
        <v>50</v>
      </c>
      <c r="BC65" s="506">
        <v>675.76530612244903</v>
      </c>
      <c r="BD65" s="506">
        <v>0.19</v>
      </c>
      <c r="BE65" s="506">
        <v>9.0204081632653102E-2</v>
      </c>
      <c r="BF65" s="506">
        <v>0</v>
      </c>
      <c r="BG65" s="506">
        <v>0</v>
      </c>
      <c r="BH65" s="506">
        <v>8.5169999999999995</v>
      </c>
      <c r="BI65" s="506">
        <v>6.4195000000000002</v>
      </c>
    </row>
    <row r="66" spans="1:61" ht="12.95" customHeight="1">
      <c r="A66" s="254" t="s">
        <v>1733</v>
      </c>
      <c r="B66" s="254" t="s">
        <v>92</v>
      </c>
      <c r="C66" s="204">
        <v>24</v>
      </c>
      <c r="D66" s="254" t="s">
        <v>1340</v>
      </c>
      <c r="E66" s="502">
        <v>1</v>
      </c>
      <c r="F66" s="501">
        <v>-15.3102625986884</v>
      </c>
      <c r="G66" s="506">
        <v>50</v>
      </c>
      <c r="H66" s="506">
        <v>21.76</v>
      </c>
      <c r="I66" s="506">
        <v>0</v>
      </c>
      <c r="J66" s="506">
        <v>0</v>
      </c>
      <c r="K66" s="506">
        <v>0</v>
      </c>
      <c r="L66" s="506">
        <v>2.75</v>
      </c>
      <c r="M66" s="506">
        <v>24.51</v>
      </c>
      <c r="N66" s="506">
        <v>-19.898162212759399</v>
      </c>
      <c r="O66" s="506">
        <v>-37.879026855541497</v>
      </c>
      <c r="P66" s="506">
        <v>17.980864642782201</v>
      </c>
      <c r="Q66" s="506">
        <v>8.3471709902219596E-2</v>
      </c>
      <c r="R66" s="506">
        <v>396.29609349426602</v>
      </c>
      <c r="S66" s="506">
        <v>474.98466614468703</v>
      </c>
      <c r="T66" s="506">
        <v>1.74870843364354E-2</v>
      </c>
      <c r="U66" s="506">
        <v>3.5919973383037401E-2</v>
      </c>
      <c r="V66" s="506">
        <v>1.21654258499493E-6</v>
      </c>
      <c r="W66" s="506">
        <v>17.980864642782201</v>
      </c>
      <c r="X66" s="506">
        <v>8.3471709902219596E-2</v>
      </c>
      <c r="Y66" s="506">
        <v>396.29609349426602</v>
      </c>
      <c r="Z66" s="506">
        <v>474.98466614468703</v>
      </c>
      <c r="AA66" s="506">
        <v>1.74870843364354E-2</v>
      </c>
      <c r="AB66" s="506">
        <v>3.5919973383037401E-2</v>
      </c>
      <c r="AC66" s="506">
        <v>1.21654258499493E-6</v>
      </c>
      <c r="AD66" s="506">
        <v>0</v>
      </c>
      <c r="AE66" s="506">
        <v>0</v>
      </c>
      <c r="AF66" s="506">
        <v>0</v>
      </c>
      <c r="AG66" s="506">
        <v>0</v>
      </c>
      <c r="AH66" s="506">
        <v>2.0867927475554899E-2</v>
      </c>
      <c r="AI66" s="506">
        <v>99.074023373566405</v>
      </c>
      <c r="AJ66" s="506">
        <v>1.022</v>
      </c>
      <c r="AK66" s="506">
        <v>306.60000000000002</v>
      </c>
      <c r="AL66" s="506">
        <v>37.5</v>
      </c>
      <c r="AM66" s="506">
        <v>3832.4</v>
      </c>
      <c r="AN66" s="506">
        <v>21.76</v>
      </c>
      <c r="AO66" s="506">
        <v>0</v>
      </c>
      <c r="AP66" s="506">
        <v>0</v>
      </c>
      <c r="AQ66" s="506">
        <v>0.1</v>
      </c>
      <c r="AR66" s="506">
        <v>1.022</v>
      </c>
      <c r="AS66" s="506">
        <v>306.60000000000002</v>
      </c>
      <c r="AT66" s="506">
        <v>37.5</v>
      </c>
      <c r="AU66" s="506">
        <v>3832.5</v>
      </c>
      <c r="AV66" s="506">
        <v>0.08</v>
      </c>
      <c r="AW66" s="506">
        <v>0.48699999999999999</v>
      </c>
      <c r="AX66" s="506">
        <v>0.45500000000000002</v>
      </c>
      <c r="AY66" s="506">
        <v>0</v>
      </c>
      <c r="AZ66" s="506">
        <v>2.044</v>
      </c>
      <c r="BA66" s="506">
        <v>613.20000000000005</v>
      </c>
      <c r="BB66" s="506">
        <v>37.5</v>
      </c>
      <c r="BC66" s="506">
        <v>7665</v>
      </c>
      <c r="BD66" s="506">
        <v>0.16</v>
      </c>
      <c r="BE66" s="506">
        <v>0.97399999999999998</v>
      </c>
      <c r="BF66" s="506">
        <v>0.91</v>
      </c>
      <c r="BG66" s="506">
        <v>0</v>
      </c>
      <c r="BH66" s="506">
        <v>7.3529999999999998</v>
      </c>
      <c r="BI66" s="506">
        <v>1.2255</v>
      </c>
    </row>
    <row r="67" spans="1:61" ht="12.95" customHeight="1">
      <c r="A67" s="254" t="s">
        <v>1734</v>
      </c>
      <c r="B67" s="254" t="s">
        <v>92</v>
      </c>
      <c r="C67" s="204">
        <v>25</v>
      </c>
      <c r="D67" s="254" t="s">
        <v>1341</v>
      </c>
      <c r="E67" s="502">
        <v>1</v>
      </c>
      <c r="F67" s="501">
        <v>-19.545837926085401</v>
      </c>
      <c r="G67" s="506">
        <v>50</v>
      </c>
      <c r="H67" s="506">
        <v>24.16</v>
      </c>
      <c r="I67" s="506">
        <v>0</v>
      </c>
      <c r="J67" s="506">
        <v>0</v>
      </c>
      <c r="K67" s="506">
        <v>0</v>
      </c>
      <c r="L67" s="506">
        <v>0.91</v>
      </c>
      <c r="M67" s="506">
        <v>25.07</v>
      </c>
      <c r="N67" s="506">
        <v>-23.123989999594102</v>
      </c>
      <c r="O67" s="506">
        <v>-41.738077194595903</v>
      </c>
      <c r="P67" s="506">
        <v>18.614087195001801</v>
      </c>
      <c r="Q67" s="506">
        <v>6.5166449622320002E-2</v>
      </c>
      <c r="R67" s="506">
        <v>358.57901372612798</v>
      </c>
      <c r="S67" s="506">
        <v>471.33596421591199</v>
      </c>
      <c r="T67" s="506">
        <v>1.6115276067150502E-2</v>
      </c>
      <c r="U67" s="506">
        <v>2.7224889414923799E-2</v>
      </c>
      <c r="V67" s="506">
        <v>1.08010083768423E-6</v>
      </c>
      <c r="W67" s="506">
        <v>18.614087195001801</v>
      </c>
      <c r="X67" s="506">
        <v>6.5166449622320002E-2</v>
      </c>
      <c r="Y67" s="506">
        <v>358.57901372612798</v>
      </c>
      <c r="Z67" s="506">
        <v>471.33596421591199</v>
      </c>
      <c r="AA67" s="506">
        <v>1.6115276067150502E-2</v>
      </c>
      <c r="AB67" s="506">
        <v>2.7224889414923799E-2</v>
      </c>
      <c r="AC67" s="506">
        <v>1.08010083768423E-6</v>
      </c>
      <c r="AD67" s="506">
        <v>0</v>
      </c>
      <c r="AE67" s="506">
        <v>0</v>
      </c>
      <c r="AF67" s="506">
        <v>0</v>
      </c>
      <c r="AG67" s="506">
        <v>0</v>
      </c>
      <c r="AH67" s="506">
        <v>1.6291612405580001E-2</v>
      </c>
      <c r="AI67" s="506">
        <v>89.644753431531996</v>
      </c>
      <c r="AJ67" s="506">
        <v>1.022</v>
      </c>
      <c r="AK67" s="506">
        <v>306.60000000000002</v>
      </c>
      <c r="AL67" s="506">
        <v>37.5</v>
      </c>
      <c r="AM67" s="506">
        <v>3832.4</v>
      </c>
      <c r="AN67" s="506">
        <v>24.16</v>
      </c>
      <c r="AO67" s="506">
        <v>0</v>
      </c>
      <c r="AP67" s="506">
        <v>0</v>
      </c>
      <c r="AQ67" s="506">
        <v>0.1</v>
      </c>
      <c r="AR67" s="506">
        <v>1.022</v>
      </c>
      <c r="AS67" s="506">
        <v>306.60000000000002</v>
      </c>
      <c r="AT67" s="506">
        <v>37.5</v>
      </c>
      <c r="AU67" s="506">
        <v>3832.5</v>
      </c>
      <c r="AV67" s="506">
        <v>0</v>
      </c>
      <c r="AW67" s="506">
        <v>0.56699999999999995</v>
      </c>
      <c r="AX67" s="506">
        <v>0.45500000000000002</v>
      </c>
      <c r="AY67" s="506">
        <v>0</v>
      </c>
      <c r="AZ67" s="506">
        <v>2.044</v>
      </c>
      <c r="BA67" s="506">
        <v>613.20000000000005</v>
      </c>
      <c r="BB67" s="506">
        <v>37.5</v>
      </c>
      <c r="BC67" s="506">
        <v>7665</v>
      </c>
      <c r="BD67" s="506">
        <v>0</v>
      </c>
      <c r="BE67" s="506">
        <v>1.1339999999999999</v>
      </c>
      <c r="BF67" s="506">
        <v>0.91</v>
      </c>
      <c r="BG67" s="506">
        <v>0</v>
      </c>
      <c r="BH67" s="506">
        <v>7.5209999999999999</v>
      </c>
      <c r="BI67" s="506">
        <v>1.2535000000000001</v>
      </c>
    </row>
    <row r="68" spans="1:61" ht="12.95" customHeight="1">
      <c r="A68" s="254" t="s">
        <v>1735</v>
      </c>
      <c r="B68" s="254" t="s">
        <v>92</v>
      </c>
      <c r="C68" s="204">
        <v>26</v>
      </c>
      <c r="D68" s="254" t="s">
        <v>1342</v>
      </c>
      <c r="E68" s="502">
        <v>1</v>
      </c>
      <c r="F68" s="501">
        <v>-11.233092881740699</v>
      </c>
      <c r="G68" s="506">
        <v>50</v>
      </c>
      <c r="H68" s="506">
        <v>0</v>
      </c>
      <c r="I68" s="506">
        <v>0</v>
      </c>
      <c r="J68" s="506">
        <v>0</v>
      </c>
      <c r="K68" s="506">
        <v>0</v>
      </c>
      <c r="L68" s="506">
        <v>38.15</v>
      </c>
      <c r="M68" s="506">
        <v>38.15</v>
      </c>
      <c r="N68" s="506">
        <v>10.5810215919931</v>
      </c>
      <c r="O68" s="506">
        <v>-10.335691173099599</v>
      </c>
      <c r="P68" s="506">
        <v>20.9167127650928</v>
      </c>
      <c r="Q68" s="506">
        <v>9.4584013529318403E-2</v>
      </c>
      <c r="R68" s="506">
        <v>321.76605147053903</v>
      </c>
      <c r="S68" s="506">
        <v>30.918017171412401</v>
      </c>
      <c r="T68" s="506">
        <v>9.7328406029877305E-3</v>
      </c>
      <c r="U68" s="506">
        <v>3.6074343918221098E-2</v>
      </c>
      <c r="V68" s="506">
        <v>2.0078893117973601E-6</v>
      </c>
      <c r="W68" s="506">
        <v>20.9167127650928</v>
      </c>
      <c r="X68" s="506">
        <v>9.4584013529318403E-2</v>
      </c>
      <c r="Y68" s="506">
        <v>321.76605147053903</v>
      </c>
      <c r="Z68" s="506">
        <v>30.918017171412401</v>
      </c>
      <c r="AA68" s="506">
        <v>9.7328406029877305E-3</v>
      </c>
      <c r="AB68" s="506">
        <v>3.6074343918221098E-2</v>
      </c>
      <c r="AC68" s="506">
        <v>2.0078893117973601E-6</v>
      </c>
      <c r="AD68" s="506">
        <v>0</v>
      </c>
      <c r="AE68" s="506">
        <v>0</v>
      </c>
      <c r="AF68" s="506">
        <v>0</v>
      </c>
      <c r="AG68" s="506">
        <v>0</v>
      </c>
      <c r="AH68" s="506">
        <v>2.3646003382329601E-2</v>
      </c>
      <c r="AI68" s="506">
        <v>80.4415128676347</v>
      </c>
      <c r="AJ68" s="506">
        <v>1.02</v>
      </c>
      <c r="AK68" s="506">
        <v>306</v>
      </c>
      <c r="AL68" s="506">
        <v>37.5</v>
      </c>
      <c r="AM68" s="506">
        <v>3825</v>
      </c>
      <c r="AN68" s="506">
        <v>0</v>
      </c>
      <c r="AO68" s="506">
        <v>0</v>
      </c>
      <c r="AP68" s="506">
        <v>0</v>
      </c>
      <c r="AQ68" s="506">
        <v>0</v>
      </c>
      <c r="AR68" s="506">
        <v>1.02</v>
      </c>
      <c r="AS68" s="506">
        <v>306</v>
      </c>
      <c r="AT68" s="506">
        <v>37.5</v>
      </c>
      <c r="AU68" s="506">
        <v>3825</v>
      </c>
      <c r="AV68" s="506">
        <v>0.11</v>
      </c>
      <c r="AW68" s="506">
        <v>0.45500000000000002</v>
      </c>
      <c r="AX68" s="506">
        <v>0.45500000000000002</v>
      </c>
      <c r="AY68" s="506">
        <v>0</v>
      </c>
      <c r="AZ68" s="506">
        <v>2.04</v>
      </c>
      <c r="BA68" s="506">
        <v>612</v>
      </c>
      <c r="BB68" s="506">
        <v>37.5</v>
      </c>
      <c r="BC68" s="506">
        <v>7650</v>
      </c>
      <c r="BD68" s="506">
        <v>0.22</v>
      </c>
      <c r="BE68" s="506">
        <v>0.91</v>
      </c>
      <c r="BF68" s="506">
        <v>0.91</v>
      </c>
      <c r="BG68" s="506">
        <v>0</v>
      </c>
      <c r="BH68" s="506">
        <v>11.445</v>
      </c>
      <c r="BI68" s="506">
        <v>1.9075</v>
      </c>
    </row>
    <row r="69" spans="1:61" ht="12.95" customHeight="1" thickBot="1">
      <c r="A69" s="254" t="s">
        <v>1736</v>
      </c>
      <c r="B69" s="254" t="s">
        <v>92</v>
      </c>
      <c r="C69" s="204">
        <v>27</v>
      </c>
      <c r="D69" s="254" t="s">
        <v>1343</v>
      </c>
      <c r="E69" s="502">
        <v>1</v>
      </c>
      <c r="F69" s="501">
        <v>-15.4686682091377</v>
      </c>
      <c r="G69" s="506">
        <v>50</v>
      </c>
      <c r="H69" s="506">
        <v>2.4</v>
      </c>
      <c r="I69" s="506">
        <v>0</v>
      </c>
      <c r="J69" s="506">
        <v>0</v>
      </c>
      <c r="K69" s="506">
        <v>0</v>
      </c>
      <c r="L69" s="506">
        <v>36.31</v>
      </c>
      <c r="M69" s="506">
        <v>38.71</v>
      </c>
      <c r="N69" s="506">
        <v>7.3551938051584198</v>
      </c>
      <c r="O69" s="506">
        <v>-14.194741512154</v>
      </c>
      <c r="P69" s="506">
        <v>21.5499353173124</v>
      </c>
      <c r="Q69" s="506">
        <v>7.6278753249418796E-2</v>
      </c>
      <c r="R69" s="506">
        <v>284.04897170240099</v>
      </c>
      <c r="S69" s="506">
        <v>27.269315242637798</v>
      </c>
      <c r="T69" s="506">
        <v>8.3610323337028197E-3</v>
      </c>
      <c r="U69" s="506">
        <v>2.7379259950107499E-2</v>
      </c>
      <c r="V69" s="506">
        <v>1.8714475644866699E-6</v>
      </c>
      <c r="W69" s="506">
        <v>21.5499353173124</v>
      </c>
      <c r="X69" s="506">
        <v>7.6278753249418796E-2</v>
      </c>
      <c r="Y69" s="506">
        <v>284.04897170240099</v>
      </c>
      <c r="Z69" s="506">
        <v>27.269315242637798</v>
      </c>
      <c r="AA69" s="506">
        <v>8.3610323337028197E-3</v>
      </c>
      <c r="AB69" s="506">
        <v>2.7379259950107499E-2</v>
      </c>
      <c r="AC69" s="506">
        <v>1.8714475644866699E-6</v>
      </c>
      <c r="AD69" s="506">
        <v>0</v>
      </c>
      <c r="AE69" s="506">
        <v>0</v>
      </c>
      <c r="AF69" s="506">
        <v>0</v>
      </c>
      <c r="AG69" s="506">
        <v>0</v>
      </c>
      <c r="AH69" s="506">
        <v>1.9069688312354699E-2</v>
      </c>
      <c r="AI69" s="506">
        <v>71.012242925600304</v>
      </c>
      <c r="AJ69" s="506">
        <v>1.02</v>
      </c>
      <c r="AK69" s="506">
        <v>306</v>
      </c>
      <c r="AL69" s="506">
        <v>37.5</v>
      </c>
      <c r="AM69" s="506">
        <v>3824.9</v>
      </c>
      <c r="AN69" s="506">
        <v>2.4</v>
      </c>
      <c r="AO69" s="506">
        <v>0</v>
      </c>
      <c r="AP69" s="506">
        <v>0</v>
      </c>
      <c r="AQ69" s="506">
        <v>0.1</v>
      </c>
      <c r="AR69" s="506">
        <v>1.02</v>
      </c>
      <c r="AS69" s="506">
        <v>306</v>
      </c>
      <c r="AT69" s="506">
        <v>37.5</v>
      </c>
      <c r="AU69" s="506">
        <v>3825</v>
      </c>
      <c r="AV69" s="506">
        <v>0.03</v>
      </c>
      <c r="AW69" s="506">
        <v>0.53500000000000003</v>
      </c>
      <c r="AX69" s="506">
        <v>0.45500000000000002</v>
      </c>
      <c r="AY69" s="506">
        <v>0</v>
      </c>
      <c r="AZ69" s="506">
        <v>2.04</v>
      </c>
      <c r="BA69" s="506">
        <v>612</v>
      </c>
      <c r="BB69" s="506">
        <v>37.5</v>
      </c>
      <c r="BC69" s="506">
        <v>7650</v>
      </c>
      <c r="BD69" s="506">
        <v>0.06</v>
      </c>
      <c r="BE69" s="506">
        <v>1.07</v>
      </c>
      <c r="BF69" s="506">
        <v>0.91</v>
      </c>
      <c r="BG69" s="506">
        <v>0</v>
      </c>
      <c r="BH69" s="506">
        <v>11.613</v>
      </c>
      <c r="BI69" s="506">
        <v>1.9355</v>
      </c>
    </row>
    <row r="70" spans="1:61" ht="12.95" customHeight="1" thickBot="1">
      <c r="A70" s="254" t="s">
        <v>1737</v>
      </c>
      <c r="B70" s="254" t="s">
        <v>92</v>
      </c>
      <c r="C70" s="204"/>
      <c r="D70" s="254"/>
      <c r="E70" s="502"/>
      <c r="F70" s="501"/>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506"/>
    </row>
    <row r="71" spans="1:61" ht="12.95" customHeight="1">
      <c r="A71" s="254" t="s">
        <v>2071</v>
      </c>
      <c r="B71" s="254"/>
      <c r="C71" s="204"/>
      <c r="D71" s="254"/>
      <c r="E71" s="502"/>
      <c r="F71" s="501"/>
      <c r="G71" s="506"/>
      <c r="H71" s="506"/>
      <c r="I71" s="506"/>
      <c r="J71" s="506"/>
      <c r="K71" s="506"/>
      <c r="L71" s="506"/>
      <c r="M71" s="506"/>
      <c r="N71" s="506"/>
      <c r="O71" s="506"/>
      <c r="P71" s="506"/>
      <c r="Q71" s="506"/>
      <c r="R71" s="506"/>
      <c r="S71" s="506"/>
      <c r="T71" s="506"/>
      <c r="U71" s="506"/>
      <c r="V71" s="506"/>
      <c r="W71" s="506"/>
      <c r="X71" s="506"/>
      <c r="Y71" s="506"/>
      <c r="Z71" s="506"/>
      <c r="AA71" s="506"/>
      <c r="AB71" s="506"/>
      <c r="AC71" s="506"/>
      <c r="AD71" s="506"/>
      <c r="AE71" s="506"/>
      <c r="AF71" s="506"/>
      <c r="AG71" s="506"/>
      <c r="AH71" s="506"/>
      <c r="AI71" s="506"/>
      <c r="AJ71" s="506"/>
      <c r="AK71" s="506"/>
      <c r="AL71" s="506"/>
      <c r="AM71" s="506"/>
      <c r="AN71" s="506"/>
      <c r="AO71" s="506"/>
      <c r="AP71" s="506"/>
      <c r="AQ71" s="506"/>
      <c r="AR71" s="506"/>
      <c r="AS71" s="506"/>
      <c r="AT71" s="506"/>
      <c r="AU71" s="506"/>
      <c r="AV71" s="506"/>
      <c r="AW71" s="506"/>
      <c r="AX71" s="506"/>
      <c r="AY71" s="506"/>
      <c r="AZ71" s="506"/>
      <c r="BA71" s="506"/>
      <c r="BB71" s="506"/>
      <c r="BC71" s="506"/>
      <c r="BD71" s="506"/>
      <c r="BE71" s="506"/>
      <c r="BF71" s="506"/>
      <c r="BG71" s="506"/>
      <c r="BH71" s="506"/>
      <c r="BI71" s="506"/>
    </row>
    <row r="72" spans="1:61" ht="12.95" customHeight="1" thickBot="1">
      <c r="A72" s="254" t="s">
        <v>1450</v>
      </c>
      <c r="B72" s="254" t="s">
        <v>92</v>
      </c>
      <c r="C72" s="204">
        <v>1</v>
      </c>
      <c r="D72" s="254" t="s">
        <v>1344</v>
      </c>
      <c r="E72" s="502">
        <v>1</v>
      </c>
      <c r="F72" s="501">
        <v>34.474161374066902</v>
      </c>
      <c r="G72" s="506">
        <v>100</v>
      </c>
      <c r="H72" s="506">
        <v>0</v>
      </c>
      <c r="I72" s="506">
        <v>0</v>
      </c>
      <c r="J72" s="506">
        <v>31.2</v>
      </c>
      <c r="K72" s="506">
        <v>470.4</v>
      </c>
      <c r="L72" s="506">
        <v>0</v>
      </c>
      <c r="M72" s="506">
        <v>501.6</v>
      </c>
      <c r="N72" s="506">
        <v>81.806999216823996</v>
      </c>
      <c r="O72" s="506">
        <v>-0.138636912058062</v>
      </c>
      <c r="P72" s="506">
        <v>81.9456361288821</v>
      </c>
      <c r="Q72" s="506">
        <v>0.217626679341278</v>
      </c>
      <c r="R72" s="506">
        <v>844.68312777277401</v>
      </c>
      <c r="S72" s="506">
        <v>29.005089995492199</v>
      </c>
      <c r="T72" s="506">
        <v>4.0552498010033897E-2</v>
      </c>
      <c r="U72" s="506">
        <v>0.134832199730575</v>
      </c>
      <c r="V72" s="506">
        <v>2.73538191385571E-6</v>
      </c>
      <c r="W72" s="506">
        <v>0</v>
      </c>
      <c r="X72" s="506">
        <v>0</v>
      </c>
      <c r="Y72" s="506">
        <v>0</v>
      </c>
      <c r="Z72" s="506">
        <v>0</v>
      </c>
      <c r="AA72" s="506">
        <v>0</v>
      </c>
      <c r="AB72" s="506">
        <v>0</v>
      </c>
      <c r="AC72" s="506">
        <v>0</v>
      </c>
      <c r="AD72" s="506">
        <v>0</v>
      </c>
      <c r="AE72" s="506">
        <v>0</v>
      </c>
      <c r="AF72" s="506">
        <v>0</v>
      </c>
      <c r="AG72" s="506">
        <v>0</v>
      </c>
      <c r="AH72" s="506">
        <v>5.4406669835319603E-2</v>
      </c>
      <c r="AI72" s="506">
        <v>211.17078194319299</v>
      </c>
      <c r="AJ72" s="506">
        <v>0.2</v>
      </c>
      <c r="AK72" s="506">
        <v>11</v>
      </c>
      <c r="AL72" s="506">
        <v>25</v>
      </c>
      <c r="AM72" s="506">
        <v>137.4</v>
      </c>
      <c r="AN72" s="506">
        <v>0</v>
      </c>
      <c r="AO72" s="506">
        <v>0</v>
      </c>
      <c r="AP72" s="506">
        <v>31.2</v>
      </c>
      <c r="AQ72" s="506">
        <v>0.1</v>
      </c>
      <c r="AR72" s="506">
        <v>0</v>
      </c>
      <c r="AS72" s="506">
        <v>0</v>
      </c>
      <c r="AT72" s="506">
        <v>25</v>
      </c>
      <c r="AU72" s="506">
        <v>0</v>
      </c>
      <c r="AV72" s="506">
        <v>0</v>
      </c>
      <c r="AW72" s="506">
        <v>0</v>
      </c>
      <c r="AX72" s="506">
        <v>0</v>
      </c>
      <c r="AY72" s="506">
        <v>0</v>
      </c>
      <c r="AZ72" s="506">
        <v>0.2</v>
      </c>
      <c r="BA72" s="506">
        <v>11</v>
      </c>
      <c r="BB72" s="506">
        <v>25</v>
      </c>
      <c r="BC72" s="506">
        <v>137.4</v>
      </c>
      <c r="BD72" s="506">
        <v>0.19600000000000001</v>
      </c>
      <c r="BE72" s="506">
        <v>0</v>
      </c>
      <c r="BF72" s="506">
        <v>4.0000000000000001E-3</v>
      </c>
      <c r="BG72" s="506">
        <v>0.1</v>
      </c>
      <c r="BH72" s="506">
        <v>32.880000000000003</v>
      </c>
      <c r="BI72" s="506">
        <v>25.08</v>
      </c>
    </row>
    <row r="73" spans="1:61" ht="12.95" customHeight="1" thickBot="1">
      <c r="A73" s="254" t="s">
        <v>1738</v>
      </c>
      <c r="B73" s="254" t="s">
        <v>92</v>
      </c>
      <c r="C73" s="204"/>
      <c r="D73" s="254"/>
      <c r="E73" s="502"/>
      <c r="F73" s="501"/>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506"/>
    </row>
    <row r="74" spans="1:61" ht="12.95" customHeight="1">
      <c r="A74" s="254" t="s">
        <v>2071</v>
      </c>
      <c r="B74" s="254"/>
      <c r="C74" s="204"/>
      <c r="D74" s="254"/>
      <c r="E74" s="502"/>
      <c r="F74" s="501"/>
      <c r="G74" s="506"/>
      <c r="H74" s="506"/>
      <c r="I74" s="506"/>
      <c r="J74" s="506"/>
      <c r="K74" s="506"/>
      <c r="L74" s="506"/>
      <c r="M74" s="506"/>
      <c r="N74" s="506"/>
      <c r="O74" s="506"/>
      <c r="P74" s="506"/>
      <c r="Q74" s="506"/>
      <c r="R74" s="506"/>
      <c r="S74" s="506"/>
      <c r="T74" s="506"/>
      <c r="U74" s="506"/>
      <c r="V74" s="506"/>
      <c r="W74" s="506"/>
      <c r="X74" s="506"/>
      <c r="Y74" s="506"/>
      <c r="Z74" s="506"/>
      <c r="AA74" s="506"/>
      <c r="AB74" s="506"/>
      <c r="AC74" s="506"/>
      <c r="AD74" s="506"/>
      <c r="AE74" s="506"/>
      <c r="AF74" s="506"/>
      <c r="AG74" s="506"/>
      <c r="AH74" s="506"/>
      <c r="AI74" s="506"/>
      <c r="AJ74" s="506"/>
      <c r="AK74" s="506"/>
      <c r="AL74" s="506"/>
      <c r="AM74" s="506"/>
      <c r="AN74" s="506"/>
      <c r="AO74" s="506"/>
      <c r="AP74" s="506"/>
      <c r="AQ74" s="506"/>
      <c r="AR74" s="506"/>
      <c r="AS74" s="506"/>
      <c r="AT74" s="506"/>
      <c r="AU74" s="506"/>
      <c r="AV74" s="506"/>
      <c r="AW74" s="506"/>
      <c r="AX74" s="506"/>
      <c r="AY74" s="506"/>
      <c r="AZ74" s="506"/>
      <c r="BA74" s="506"/>
      <c r="BB74" s="506"/>
      <c r="BC74" s="506"/>
      <c r="BD74" s="506"/>
      <c r="BE74" s="506"/>
      <c r="BF74" s="506"/>
      <c r="BG74" s="506"/>
      <c r="BH74" s="506"/>
      <c r="BI74" s="506"/>
    </row>
    <row r="75" spans="1:61" ht="12.95" customHeight="1">
      <c r="A75" s="254" t="s">
        <v>1584</v>
      </c>
      <c r="B75" s="254" t="s">
        <v>92</v>
      </c>
      <c r="C75" s="204">
        <v>1</v>
      </c>
      <c r="D75" s="254" t="s">
        <v>1580</v>
      </c>
      <c r="E75" s="502">
        <v>1</v>
      </c>
      <c r="F75" s="501">
        <v>24.6762159926955</v>
      </c>
      <c r="G75" s="506">
        <v>100</v>
      </c>
      <c r="H75" s="506">
        <v>0</v>
      </c>
      <c r="I75" s="506">
        <v>0</v>
      </c>
      <c r="J75" s="506">
        <v>23.4</v>
      </c>
      <c r="K75" s="506">
        <v>475.5</v>
      </c>
      <c r="L75" s="506">
        <v>0</v>
      </c>
      <c r="M75" s="506">
        <v>498.9</v>
      </c>
      <c r="N75" s="506">
        <v>73.1949656499268</v>
      </c>
      <c r="O75" s="506">
        <v>-0.121396623275774</v>
      </c>
      <c r="P75" s="506">
        <v>73.3163622732026</v>
      </c>
      <c r="Q75" s="506">
        <v>0.186558564278207</v>
      </c>
      <c r="R75" s="506">
        <v>718.07739441840295</v>
      </c>
      <c r="S75" s="506">
        <v>25.179878579445599</v>
      </c>
      <c r="T75" s="506">
        <v>3.3617604434529803E-2</v>
      </c>
      <c r="U75" s="506">
        <v>0.115242974280372</v>
      </c>
      <c r="V75" s="506">
        <v>2.34857898268099E-6</v>
      </c>
      <c r="W75" s="506">
        <v>0</v>
      </c>
      <c r="X75" s="506">
        <v>0</v>
      </c>
      <c r="Y75" s="506">
        <v>0</v>
      </c>
      <c r="Z75" s="506">
        <v>0</v>
      </c>
      <c r="AA75" s="506">
        <v>0</v>
      </c>
      <c r="AB75" s="506">
        <v>0</v>
      </c>
      <c r="AC75" s="506">
        <v>0</v>
      </c>
      <c r="AD75" s="506">
        <v>0</v>
      </c>
      <c r="AE75" s="506">
        <v>0</v>
      </c>
      <c r="AF75" s="506">
        <v>0</v>
      </c>
      <c r="AG75" s="506">
        <v>0</v>
      </c>
      <c r="AH75" s="506">
        <v>4.6639641069551797E-2</v>
      </c>
      <c r="AI75" s="506">
        <v>179.51934860460099</v>
      </c>
      <c r="AJ75" s="506">
        <v>0.20300000000000001</v>
      </c>
      <c r="AK75" s="506">
        <v>11.65</v>
      </c>
      <c r="AL75" s="506">
        <v>37.5</v>
      </c>
      <c r="AM75" s="506">
        <v>145.52500000000001</v>
      </c>
      <c r="AN75" s="506">
        <v>0</v>
      </c>
      <c r="AO75" s="506">
        <v>0</v>
      </c>
      <c r="AP75" s="506">
        <v>23.4</v>
      </c>
      <c r="AQ75" s="506">
        <v>0.1</v>
      </c>
      <c r="AR75" s="506">
        <v>-2.7755575615628901E-17</v>
      </c>
      <c r="AS75" s="506">
        <v>-1.38777878078145E-15</v>
      </c>
      <c r="AT75" s="506">
        <v>37.5</v>
      </c>
      <c r="AU75" s="506">
        <v>-1.7347234759768099E-14</v>
      </c>
      <c r="AV75" s="506">
        <v>-2.7755575615628901E-17</v>
      </c>
      <c r="AW75" s="506">
        <v>0</v>
      </c>
      <c r="AX75" s="506">
        <v>0</v>
      </c>
      <c r="AY75" s="506">
        <v>0</v>
      </c>
      <c r="AZ75" s="506">
        <v>0.20300000000000001</v>
      </c>
      <c r="BA75" s="506">
        <v>11.65</v>
      </c>
      <c r="BB75" s="506">
        <v>37.5</v>
      </c>
      <c r="BC75" s="506">
        <v>145.52500000000001</v>
      </c>
      <c r="BD75" s="506">
        <v>0.2</v>
      </c>
      <c r="BE75" s="506">
        <v>0</v>
      </c>
      <c r="BF75" s="506">
        <v>3.0000000000000001E-3</v>
      </c>
      <c r="BG75" s="506">
        <v>0.1</v>
      </c>
      <c r="BH75" s="506">
        <v>31.47</v>
      </c>
      <c r="BI75" s="506">
        <v>24.945</v>
      </c>
    </row>
    <row r="76" spans="1:61" ht="12.95" customHeight="1">
      <c r="A76" s="254" t="s">
        <v>2579</v>
      </c>
      <c r="B76" s="254" t="s">
        <v>92</v>
      </c>
      <c r="C76" s="204">
        <v>5</v>
      </c>
      <c r="D76" s="254" t="s">
        <v>2578</v>
      </c>
      <c r="E76" s="502">
        <v>1</v>
      </c>
      <c r="F76" s="501"/>
      <c r="G76" s="506">
        <v>100</v>
      </c>
      <c r="H76" s="506">
        <v>0</v>
      </c>
      <c r="I76" s="506">
        <v>0</v>
      </c>
      <c r="J76" s="506">
        <v>35.099999999999994</v>
      </c>
      <c r="K76" s="506">
        <v>713.25</v>
      </c>
      <c r="L76" s="506">
        <v>0</v>
      </c>
      <c r="M76" s="506">
        <v>748.34999999999991</v>
      </c>
      <c r="N76" s="506">
        <v>109.79244847489019</v>
      </c>
      <c r="O76" s="506">
        <v>-0.18209493491366099</v>
      </c>
      <c r="P76" s="506">
        <v>109.9745434098039</v>
      </c>
      <c r="Q76" s="506">
        <v>0.27983784641731047</v>
      </c>
      <c r="R76" s="506">
        <v>1077.1160916276044</v>
      </c>
      <c r="S76" s="506"/>
      <c r="T76" s="506"/>
      <c r="U76" s="506"/>
      <c r="V76" s="506"/>
      <c r="W76" s="506"/>
      <c r="X76" s="506"/>
      <c r="Y76" s="506"/>
      <c r="Z76" s="506"/>
      <c r="AA76" s="506"/>
      <c r="AB76" s="506"/>
      <c r="AC76" s="506"/>
      <c r="AD76" s="506"/>
      <c r="AE76" s="506"/>
      <c r="AF76" s="506"/>
      <c r="AG76" s="506"/>
      <c r="AH76" s="506"/>
      <c r="AI76" s="506"/>
      <c r="AJ76" s="506"/>
      <c r="AK76" s="506"/>
      <c r="AL76" s="506"/>
      <c r="AM76" s="506"/>
      <c r="AN76" s="506"/>
      <c r="AO76" s="506"/>
      <c r="AP76" s="506"/>
      <c r="AQ76" s="506"/>
      <c r="AR76" s="506"/>
      <c r="AS76" s="506"/>
      <c r="AT76" s="506"/>
      <c r="AU76" s="506"/>
      <c r="AV76" s="506"/>
      <c r="AW76" s="506"/>
      <c r="AX76" s="506"/>
      <c r="AY76" s="506"/>
      <c r="AZ76" s="506"/>
      <c r="BA76" s="506"/>
      <c r="BB76" s="506"/>
      <c r="BC76" s="506"/>
      <c r="BD76" s="506"/>
      <c r="BE76" s="506"/>
      <c r="BF76" s="506"/>
      <c r="BG76" s="506"/>
      <c r="BH76" s="506">
        <v>47.204999999999998</v>
      </c>
      <c r="BI76" s="506">
        <v>37.417500000000004</v>
      </c>
    </row>
    <row r="77" spans="1:61" ht="12.95" customHeight="1">
      <c r="A77" s="254" t="s">
        <v>1585</v>
      </c>
      <c r="B77" s="254" t="s">
        <v>92</v>
      </c>
      <c r="C77" s="204">
        <v>2</v>
      </c>
      <c r="D77" s="254" t="s">
        <v>1581</v>
      </c>
      <c r="E77" s="502">
        <v>1</v>
      </c>
      <c r="F77" s="501">
        <v>4.4537322892932902</v>
      </c>
      <c r="G77" s="506">
        <v>50</v>
      </c>
      <c r="H77" s="506">
        <v>88</v>
      </c>
      <c r="I77" s="506">
        <v>0</v>
      </c>
      <c r="J77" s="506">
        <v>0</v>
      </c>
      <c r="K77" s="506">
        <v>0</v>
      </c>
      <c r="L77" s="506">
        <v>3.4</v>
      </c>
      <c r="M77" s="506">
        <v>91.4</v>
      </c>
      <c r="N77" s="506">
        <v>-93.323250931382802</v>
      </c>
      <c r="O77" s="506">
        <v>-135.479559576269</v>
      </c>
      <c r="P77" s="506">
        <v>42.156308644886799</v>
      </c>
      <c r="Q77" s="506">
        <v>0.22168774460466201</v>
      </c>
      <c r="R77" s="506">
        <v>803.47724491706401</v>
      </c>
      <c r="S77" s="506">
        <v>1555.93703740211</v>
      </c>
      <c r="T77" s="506">
        <v>6.9862448351050793E-2</v>
      </c>
      <c r="U77" s="506">
        <v>8.5481499784770501E-2</v>
      </c>
      <c r="V77" s="506">
        <v>4.2377032614541697E-6</v>
      </c>
      <c r="W77" s="506">
        <v>3.8181111222249702</v>
      </c>
      <c r="X77" s="506">
        <v>2.2545792819006202E-2</v>
      </c>
      <c r="Y77" s="506">
        <v>146.676887652434</v>
      </c>
      <c r="Z77" s="506">
        <v>4.7705525608908497</v>
      </c>
      <c r="AA77" s="506">
        <v>3.2264262312492798E-3</v>
      </c>
      <c r="AB77" s="506">
        <v>4.9069999229710403E-3</v>
      </c>
      <c r="AC77" s="506">
        <v>1.01547140124066E-6</v>
      </c>
      <c r="AD77" s="506">
        <v>0</v>
      </c>
      <c r="AE77" s="506">
        <v>0</v>
      </c>
      <c r="AF77" s="506">
        <v>0</v>
      </c>
      <c r="AG77" s="506">
        <v>0</v>
      </c>
      <c r="AH77" s="506">
        <v>5.5421936151165599E-2</v>
      </c>
      <c r="AI77" s="506">
        <v>200.869311229266</v>
      </c>
      <c r="AJ77" s="506">
        <v>0.202967045437352</v>
      </c>
      <c r="AK77" s="506">
        <v>40.890113631205502</v>
      </c>
      <c r="AL77" s="506">
        <v>37.5</v>
      </c>
      <c r="AM77" s="506">
        <v>511.02642039006798</v>
      </c>
      <c r="AN77" s="506">
        <v>88</v>
      </c>
      <c r="AO77" s="506">
        <v>0</v>
      </c>
      <c r="AP77" s="506">
        <v>0</v>
      </c>
      <c r="AQ77" s="506">
        <v>0.1</v>
      </c>
      <c r="AR77" s="506">
        <v>2.9670454373515302E-3</v>
      </c>
      <c r="AS77" s="506">
        <v>0.89011363120545905</v>
      </c>
      <c r="AT77" s="506">
        <v>37.5</v>
      </c>
      <c r="AU77" s="506">
        <v>11.0264203900682</v>
      </c>
      <c r="AV77" s="506">
        <v>0</v>
      </c>
      <c r="AW77" s="506">
        <v>2.9670454373515302E-3</v>
      </c>
      <c r="AX77" s="506">
        <v>0</v>
      </c>
      <c r="AY77" s="506">
        <v>0.1</v>
      </c>
      <c r="AZ77" s="506">
        <v>0.20593409087470299</v>
      </c>
      <c r="BA77" s="506">
        <v>41.780227262410897</v>
      </c>
      <c r="BB77" s="506">
        <v>37.5</v>
      </c>
      <c r="BC77" s="506">
        <v>522.15284078013599</v>
      </c>
      <c r="BD77" s="506">
        <v>0</v>
      </c>
      <c r="BE77" s="506">
        <v>5.9340908747030604E-3</v>
      </c>
      <c r="BF77" s="506">
        <v>0</v>
      </c>
      <c r="BG77" s="506">
        <v>0.1</v>
      </c>
      <c r="BH77" s="506">
        <v>18.62</v>
      </c>
      <c r="BI77" s="506">
        <v>4.57</v>
      </c>
    </row>
    <row r="78" spans="1:61" ht="12.95" customHeight="1">
      <c r="A78" s="254" t="s">
        <v>1586</v>
      </c>
      <c r="B78" s="254" t="s">
        <v>92</v>
      </c>
      <c r="C78" s="204">
        <v>3</v>
      </c>
      <c r="D78" s="254" t="s">
        <v>1582</v>
      </c>
      <c r="E78" s="502">
        <v>1</v>
      </c>
      <c r="F78" s="501">
        <v>-28.667738396743399</v>
      </c>
      <c r="G78" s="506">
        <v>50</v>
      </c>
      <c r="H78" s="506">
        <v>14.96</v>
      </c>
      <c r="I78" s="506">
        <v>0.2</v>
      </c>
      <c r="J78" s="506">
        <v>0</v>
      </c>
      <c r="K78" s="506">
        <v>0</v>
      </c>
      <c r="L78" s="506">
        <v>0</v>
      </c>
      <c r="M78" s="506">
        <v>15.16</v>
      </c>
      <c r="N78" s="506">
        <v>-18.308106870917101</v>
      </c>
      <c r="O78" s="506">
        <v>-26.035576154658401</v>
      </c>
      <c r="P78" s="506">
        <v>7.7274692837412902</v>
      </c>
      <c r="Q78" s="506">
        <v>3.0233193868173799E-2</v>
      </c>
      <c r="R78" s="506">
        <v>200.575606979588</v>
      </c>
      <c r="S78" s="506">
        <v>319.78572763163999</v>
      </c>
      <c r="T78" s="506">
        <v>9.1797921702306707E-3</v>
      </c>
      <c r="U78" s="506">
        <v>1.23168131301676E-2</v>
      </c>
      <c r="V78" s="506">
        <v>3.9989215442940499E-7</v>
      </c>
      <c r="W78" s="506">
        <v>7.7274692837412902</v>
      </c>
      <c r="X78" s="506">
        <v>3.0233193868173799E-2</v>
      </c>
      <c r="Y78" s="506">
        <v>200.575606979588</v>
      </c>
      <c r="Z78" s="506">
        <v>319.78572763163999</v>
      </c>
      <c r="AA78" s="506">
        <v>9.1797921702306707E-3</v>
      </c>
      <c r="AB78" s="506">
        <v>1.23168131301676E-2</v>
      </c>
      <c r="AC78" s="506">
        <v>3.9989215442940499E-7</v>
      </c>
      <c r="AD78" s="506">
        <v>0</v>
      </c>
      <c r="AE78" s="506">
        <v>0</v>
      </c>
      <c r="AF78" s="506">
        <v>0</v>
      </c>
      <c r="AG78" s="506">
        <v>0</v>
      </c>
      <c r="AH78" s="506">
        <v>7.5582984670434497E-3</v>
      </c>
      <c r="AI78" s="506">
        <v>50.143901744897001</v>
      </c>
      <c r="AJ78" s="506">
        <v>2.2204081632653101E-2</v>
      </c>
      <c r="AK78" s="506">
        <v>6.6612244897959201</v>
      </c>
      <c r="AL78" s="506">
        <v>25</v>
      </c>
      <c r="AM78" s="506">
        <v>83.165306122448996</v>
      </c>
      <c r="AN78" s="506">
        <v>14.96</v>
      </c>
      <c r="AO78" s="506">
        <v>0.2</v>
      </c>
      <c r="AP78" s="506">
        <v>0</v>
      </c>
      <c r="AQ78" s="506">
        <v>0.1</v>
      </c>
      <c r="AR78" s="506">
        <v>2.2204081632653101E-2</v>
      </c>
      <c r="AS78" s="506">
        <v>6.6612244897959201</v>
      </c>
      <c r="AT78" s="506">
        <v>25</v>
      </c>
      <c r="AU78" s="506">
        <v>83.165306122448996</v>
      </c>
      <c r="AV78" s="506">
        <v>0</v>
      </c>
      <c r="AW78" s="506">
        <v>2.2204081632653101E-2</v>
      </c>
      <c r="AX78" s="506">
        <v>0</v>
      </c>
      <c r="AY78" s="506">
        <v>0.1</v>
      </c>
      <c r="AZ78" s="506">
        <v>4.4408163265306097E-2</v>
      </c>
      <c r="BA78" s="506">
        <v>13.322448979591799</v>
      </c>
      <c r="BB78" s="506">
        <v>25</v>
      </c>
      <c r="BC78" s="506">
        <v>166.43061224489799</v>
      </c>
      <c r="BD78" s="506">
        <v>0</v>
      </c>
      <c r="BE78" s="506">
        <v>4.4408163265306097E-2</v>
      </c>
      <c r="BF78" s="506">
        <v>0</v>
      </c>
      <c r="BG78" s="506">
        <v>0.1</v>
      </c>
      <c r="BH78" s="506">
        <v>4.548</v>
      </c>
      <c r="BI78" s="506">
        <v>0.75800000000000001</v>
      </c>
    </row>
    <row r="79" spans="1:61" ht="12.95" customHeight="1" thickBot="1">
      <c r="A79" s="254" t="s">
        <v>1706</v>
      </c>
      <c r="B79" s="254" t="s">
        <v>92</v>
      </c>
      <c r="C79" s="204">
        <v>4</v>
      </c>
      <c r="D79" s="254" t="s">
        <v>1583</v>
      </c>
      <c r="E79" s="502">
        <v>1</v>
      </c>
      <c r="F79" s="501">
        <v>-21.847681997158801</v>
      </c>
      <c r="G79" s="506">
        <v>100</v>
      </c>
      <c r="H79" s="506">
        <v>12.24</v>
      </c>
      <c r="I79" s="506">
        <v>0</v>
      </c>
      <c r="J79" s="506">
        <v>0.2</v>
      </c>
      <c r="K79" s="506">
        <v>0</v>
      </c>
      <c r="L79" s="506">
        <v>0.2</v>
      </c>
      <c r="M79" s="506">
        <v>12.44</v>
      </c>
      <c r="N79" s="506">
        <v>-8.7899581379079201</v>
      </c>
      <c r="O79" s="506">
        <v>-21.313098817085098</v>
      </c>
      <c r="P79" s="506">
        <v>12.5231406791772</v>
      </c>
      <c r="Q79" s="506">
        <v>5.4470142195152199E-2</v>
      </c>
      <c r="R79" s="506">
        <v>260.63876199416802</v>
      </c>
      <c r="S79" s="506">
        <v>273.02418319653202</v>
      </c>
      <c r="T79" s="506">
        <v>9.2247183578826192E-3</v>
      </c>
      <c r="U79" s="506">
        <v>2.82885258878251E-2</v>
      </c>
      <c r="V79" s="506">
        <v>6.3898328776140097E-7</v>
      </c>
      <c r="W79" s="506">
        <v>12.5231406791772</v>
      </c>
      <c r="X79" s="506">
        <v>5.4470142195152199E-2</v>
      </c>
      <c r="Y79" s="506">
        <v>260.63876199416802</v>
      </c>
      <c r="Z79" s="506">
        <v>273.02418319653202</v>
      </c>
      <c r="AA79" s="506">
        <v>9.2247183578826192E-3</v>
      </c>
      <c r="AB79" s="506">
        <v>2.82885258878251E-2</v>
      </c>
      <c r="AC79" s="506">
        <v>6.3898328776140097E-7</v>
      </c>
      <c r="AD79" s="506">
        <v>0</v>
      </c>
      <c r="AE79" s="506">
        <v>0</v>
      </c>
      <c r="AF79" s="506">
        <v>0</v>
      </c>
      <c r="AG79" s="506">
        <v>0</v>
      </c>
      <c r="AH79" s="506">
        <v>1.3617535548787999E-2</v>
      </c>
      <c r="AI79" s="506">
        <v>65.159690498542105</v>
      </c>
      <c r="AJ79" s="506">
        <v>1.80740740740741E-2</v>
      </c>
      <c r="AK79" s="506">
        <v>5.4222222222222198</v>
      </c>
      <c r="AL79" s="506">
        <v>25</v>
      </c>
      <c r="AM79" s="506">
        <v>67.677777777777806</v>
      </c>
      <c r="AN79" s="506">
        <v>12.24</v>
      </c>
      <c r="AO79" s="506">
        <v>0</v>
      </c>
      <c r="AP79" s="506">
        <v>0.2</v>
      </c>
      <c r="AQ79" s="506">
        <v>0.1</v>
      </c>
      <c r="AR79" s="506">
        <v>1.80740740740741E-2</v>
      </c>
      <c r="AS79" s="506">
        <v>5.4222222222222198</v>
      </c>
      <c r="AT79" s="506">
        <v>25</v>
      </c>
      <c r="AU79" s="506">
        <v>67.677777777777806</v>
      </c>
      <c r="AV79" s="506">
        <v>0</v>
      </c>
      <c r="AW79" s="506">
        <v>1.80740740740741E-2</v>
      </c>
      <c r="AX79" s="506">
        <v>0</v>
      </c>
      <c r="AY79" s="506">
        <v>0.1</v>
      </c>
      <c r="AZ79" s="506">
        <v>3.6148148148148103E-2</v>
      </c>
      <c r="BA79" s="506">
        <v>10.844444444444401</v>
      </c>
      <c r="BB79" s="506">
        <v>25</v>
      </c>
      <c r="BC79" s="506">
        <v>135.455555555556</v>
      </c>
      <c r="BD79" s="506">
        <v>0</v>
      </c>
      <c r="BE79" s="506">
        <v>3.6148148148148103E-2</v>
      </c>
      <c r="BF79" s="506">
        <v>0</v>
      </c>
      <c r="BG79" s="506">
        <v>0.1</v>
      </c>
      <c r="BH79" s="506">
        <v>3.7320000000000002</v>
      </c>
      <c r="BI79" s="506">
        <v>0.622</v>
      </c>
    </row>
    <row r="80" spans="1:61" ht="12.95" customHeight="1" thickBot="1">
      <c r="A80" s="254" t="s">
        <v>1800</v>
      </c>
      <c r="B80" s="254" t="s">
        <v>92</v>
      </c>
      <c r="C80" s="204"/>
      <c r="D80" s="254"/>
      <c r="E80" s="502"/>
      <c r="F80" s="501"/>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506"/>
    </row>
    <row r="81" spans="1:61" ht="12.95" customHeight="1">
      <c r="A81" s="254" t="s">
        <v>2071</v>
      </c>
      <c r="B81" s="254"/>
      <c r="C81" s="204"/>
      <c r="D81" s="254"/>
      <c r="E81" s="502"/>
      <c r="F81" s="501"/>
      <c r="G81" s="506"/>
      <c r="H81" s="506"/>
      <c r="I81" s="506"/>
      <c r="J81" s="506"/>
      <c r="K81" s="506"/>
      <c r="L81" s="506"/>
      <c r="M81" s="506"/>
      <c r="N81" s="506"/>
      <c r="O81" s="506"/>
      <c r="P81" s="506"/>
      <c r="Q81" s="506"/>
      <c r="R81" s="506"/>
      <c r="S81" s="506"/>
      <c r="T81" s="506"/>
      <c r="U81" s="506"/>
      <c r="V81" s="506"/>
      <c r="W81" s="506"/>
      <c r="X81" s="506"/>
      <c r="Y81" s="506"/>
      <c r="Z81" s="506"/>
      <c r="AA81" s="506"/>
      <c r="AB81" s="506"/>
      <c r="AC81" s="506"/>
      <c r="AD81" s="506"/>
      <c r="AE81" s="506"/>
      <c r="AF81" s="506"/>
      <c r="AG81" s="506"/>
      <c r="AH81" s="506"/>
      <c r="AI81" s="506"/>
      <c r="AJ81" s="506"/>
      <c r="AK81" s="506"/>
      <c r="AL81" s="506"/>
      <c r="AM81" s="506"/>
      <c r="AN81" s="506"/>
      <c r="AO81" s="506"/>
      <c r="AP81" s="506"/>
      <c r="AQ81" s="506"/>
      <c r="AR81" s="506"/>
      <c r="AS81" s="506"/>
      <c r="AT81" s="506"/>
      <c r="AU81" s="506"/>
      <c r="AV81" s="506"/>
      <c r="AW81" s="506"/>
      <c r="AX81" s="506"/>
      <c r="AY81" s="506"/>
      <c r="AZ81" s="506"/>
      <c r="BA81" s="506"/>
      <c r="BB81" s="506"/>
      <c r="BC81" s="506"/>
      <c r="BD81" s="506"/>
      <c r="BE81" s="506"/>
      <c r="BF81" s="506"/>
      <c r="BG81" s="506"/>
      <c r="BH81" s="506"/>
      <c r="BI81" s="506"/>
    </row>
    <row r="82" spans="1:61" ht="12.95" customHeight="1">
      <c r="A82" s="254" t="s">
        <v>1594</v>
      </c>
      <c r="B82" s="254" t="s">
        <v>93</v>
      </c>
      <c r="C82" s="204">
        <v>5</v>
      </c>
      <c r="D82" s="254" t="s">
        <v>1345</v>
      </c>
      <c r="E82" s="502">
        <v>1</v>
      </c>
      <c r="F82" s="501">
        <v>3.3901835492994001</v>
      </c>
      <c r="G82" s="506">
        <v>100</v>
      </c>
      <c r="H82" s="506">
        <v>32.0672</v>
      </c>
      <c r="I82" s="506">
        <v>0.2</v>
      </c>
      <c r="J82" s="506">
        <v>0</v>
      </c>
      <c r="K82" s="506">
        <v>0</v>
      </c>
      <c r="L82" s="506">
        <v>6.5087999999999999</v>
      </c>
      <c r="M82" s="506">
        <v>38.776000000000003</v>
      </c>
      <c r="N82" s="506">
        <v>-23.472785891627399</v>
      </c>
      <c r="O82" s="506">
        <v>-54.2938652886941</v>
      </c>
      <c r="P82" s="506">
        <v>30.8210793970668</v>
      </c>
      <c r="Q82" s="506">
        <v>0.170254554877564</v>
      </c>
      <c r="R82" s="506">
        <v>628.05121642686402</v>
      </c>
      <c r="S82" s="506">
        <v>762.36543676222095</v>
      </c>
      <c r="T82" s="506">
        <v>3.199259051877E-2</v>
      </c>
      <c r="U82" s="506">
        <v>7.55704701595281E-2</v>
      </c>
      <c r="V82" s="506">
        <v>2.6039959267037902E-6</v>
      </c>
      <c r="W82" s="506">
        <v>30.8210793970668</v>
      </c>
      <c r="X82" s="506">
        <v>0.170254554877564</v>
      </c>
      <c r="Y82" s="506">
        <v>628.05121642686402</v>
      </c>
      <c r="Z82" s="506">
        <v>762.36543676222095</v>
      </c>
      <c r="AA82" s="506">
        <v>3.199259051877E-2</v>
      </c>
      <c r="AB82" s="506">
        <v>7.55704701595281E-2</v>
      </c>
      <c r="AC82" s="506">
        <v>2.6039959267037902E-6</v>
      </c>
      <c r="AD82" s="506">
        <v>0</v>
      </c>
      <c r="AE82" s="506">
        <v>0</v>
      </c>
      <c r="AF82" s="506">
        <v>0</v>
      </c>
      <c r="AG82" s="506">
        <v>0</v>
      </c>
      <c r="AH82" s="506">
        <v>4.2563638719390902E-2</v>
      </c>
      <c r="AI82" s="506">
        <v>157.012804106716</v>
      </c>
      <c r="AJ82" s="506">
        <v>0.38220408163265301</v>
      </c>
      <c r="AK82" s="506">
        <v>111.205224489796</v>
      </c>
      <c r="AL82" s="506">
        <v>50</v>
      </c>
      <c r="AM82" s="506">
        <v>1389.9653061224501</v>
      </c>
      <c r="AN82" s="506">
        <v>32.0672</v>
      </c>
      <c r="AO82" s="506">
        <v>0.2</v>
      </c>
      <c r="AP82" s="506">
        <v>0</v>
      </c>
      <c r="AQ82" s="506">
        <v>0.1</v>
      </c>
      <c r="AR82" s="506">
        <v>0.38220408163265301</v>
      </c>
      <c r="AS82" s="506">
        <v>111.205224489796</v>
      </c>
      <c r="AT82" s="506">
        <v>50</v>
      </c>
      <c r="AU82" s="506">
        <v>1390.06530612245</v>
      </c>
      <c r="AV82" s="506">
        <v>0.32544000000000001</v>
      </c>
      <c r="AW82" s="506">
        <v>5.6764081632653098E-2</v>
      </c>
      <c r="AX82" s="506">
        <v>0</v>
      </c>
      <c r="AY82" s="506">
        <v>0</v>
      </c>
      <c r="AZ82" s="506">
        <v>0.76440816326530603</v>
      </c>
      <c r="BA82" s="506">
        <v>222.41044897959199</v>
      </c>
      <c r="BB82" s="506">
        <v>50</v>
      </c>
      <c r="BC82" s="506">
        <v>2780.1306122449</v>
      </c>
      <c r="BD82" s="506">
        <v>0.65088000000000001</v>
      </c>
      <c r="BE82" s="506">
        <v>0.113528163265306</v>
      </c>
      <c r="BF82" s="506">
        <v>0</v>
      </c>
      <c r="BG82" s="506">
        <v>0</v>
      </c>
      <c r="BH82" s="506">
        <v>9.9220799999999993</v>
      </c>
      <c r="BI82" s="506">
        <v>1.9388000000000001</v>
      </c>
    </row>
    <row r="83" spans="1:61" ht="12.95" customHeight="1">
      <c r="A83" s="254" t="s">
        <v>1595</v>
      </c>
      <c r="B83" s="254" t="s">
        <v>93</v>
      </c>
      <c r="C83" s="204">
        <v>6</v>
      </c>
      <c r="D83" s="254" t="s">
        <v>1346</v>
      </c>
      <c r="E83" s="502">
        <v>1</v>
      </c>
      <c r="F83" s="501">
        <v>14.0243179306038</v>
      </c>
      <c r="G83" s="506">
        <v>100</v>
      </c>
      <c r="H83" s="506">
        <v>44.769599999999997</v>
      </c>
      <c r="I83" s="506">
        <v>0</v>
      </c>
      <c r="J83" s="506">
        <v>0</v>
      </c>
      <c r="K83" s="506">
        <v>0</v>
      </c>
      <c r="L83" s="506">
        <v>0</v>
      </c>
      <c r="M83" s="506">
        <v>44.769599999999997</v>
      </c>
      <c r="N83" s="506">
        <v>-18.9958662434898</v>
      </c>
      <c r="O83" s="506">
        <v>-65.564072596135901</v>
      </c>
      <c r="P83" s="506">
        <v>46.568206352646001</v>
      </c>
      <c r="Q83" s="506">
        <v>0.17148326385336601</v>
      </c>
      <c r="R83" s="506">
        <v>919.77581372210204</v>
      </c>
      <c r="S83" s="506">
        <v>862.14475302095502</v>
      </c>
      <c r="T83" s="506">
        <v>2.79291905699336E-2</v>
      </c>
      <c r="U83" s="506">
        <v>7.0563641342533401E-2</v>
      </c>
      <c r="V83" s="506">
        <v>3.9004410814163703E-6</v>
      </c>
      <c r="W83" s="506">
        <v>46.568206352646001</v>
      </c>
      <c r="X83" s="506">
        <v>0.17148326385336601</v>
      </c>
      <c r="Y83" s="506">
        <v>919.77581372210204</v>
      </c>
      <c r="Z83" s="506">
        <v>862.14475302095502</v>
      </c>
      <c r="AA83" s="506">
        <v>2.79291905699336E-2</v>
      </c>
      <c r="AB83" s="506">
        <v>7.0563641342533401E-2</v>
      </c>
      <c r="AC83" s="506">
        <v>3.9004410814163703E-6</v>
      </c>
      <c r="AD83" s="506">
        <v>0</v>
      </c>
      <c r="AE83" s="506">
        <v>0</v>
      </c>
      <c r="AF83" s="506">
        <v>0</v>
      </c>
      <c r="AG83" s="506">
        <v>0</v>
      </c>
      <c r="AH83" s="506">
        <v>4.2870815963341399E-2</v>
      </c>
      <c r="AI83" s="506">
        <v>229.943953430525</v>
      </c>
      <c r="AJ83" s="506">
        <v>0.36</v>
      </c>
      <c r="AK83" s="506">
        <v>104.544</v>
      </c>
      <c r="AL83" s="506">
        <v>25</v>
      </c>
      <c r="AM83" s="506">
        <v>1306.7</v>
      </c>
      <c r="AN83" s="506">
        <v>44.769599999999997</v>
      </c>
      <c r="AO83" s="506">
        <v>0</v>
      </c>
      <c r="AP83" s="506">
        <v>0</v>
      </c>
      <c r="AQ83" s="506">
        <v>0.1</v>
      </c>
      <c r="AR83" s="506">
        <v>0.36</v>
      </c>
      <c r="AS83" s="506">
        <v>104.544</v>
      </c>
      <c r="AT83" s="506">
        <v>25</v>
      </c>
      <c r="AU83" s="506">
        <v>1306.7</v>
      </c>
      <c r="AV83" s="506">
        <v>0</v>
      </c>
      <c r="AW83" s="506">
        <v>0.36</v>
      </c>
      <c r="AX83" s="506">
        <v>0</v>
      </c>
      <c r="AY83" s="506">
        <v>0.1</v>
      </c>
      <c r="AZ83" s="506">
        <v>0.72</v>
      </c>
      <c r="BA83" s="506">
        <v>209.08799999999999</v>
      </c>
      <c r="BB83" s="506">
        <v>25</v>
      </c>
      <c r="BC83" s="506">
        <v>2613.5</v>
      </c>
      <c r="BD83" s="506">
        <v>0</v>
      </c>
      <c r="BE83" s="506">
        <v>0.72</v>
      </c>
      <c r="BF83" s="506">
        <v>0</v>
      </c>
      <c r="BG83" s="506">
        <v>0.1</v>
      </c>
      <c r="BH83" s="506">
        <v>11.72016</v>
      </c>
      <c r="BI83" s="506">
        <v>2.23848</v>
      </c>
    </row>
    <row r="84" spans="1:61" ht="12.95" customHeight="1">
      <c r="A84" s="254" t="s">
        <v>1596</v>
      </c>
      <c r="B84" s="254" t="s">
        <v>93</v>
      </c>
      <c r="C84" s="204">
        <v>7</v>
      </c>
      <c r="D84" s="254" t="s">
        <v>1347</v>
      </c>
      <c r="E84" s="502">
        <v>1</v>
      </c>
      <c r="F84" s="501">
        <v>-17.607386536849699</v>
      </c>
      <c r="G84" s="506">
        <v>100</v>
      </c>
      <c r="H84" s="506">
        <v>26.8704</v>
      </c>
      <c r="I84" s="506">
        <v>0</v>
      </c>
      <c r="J84" s="506">
        <v>0</v>
      </c>
      <c r="K84" s="506">
        <v>0</v>
      </c>
      <c r="L84" s="506">
        <v>0</v>
      </c>
      <c r="M84" s="506">
        <v>26.8704</v>
      </c>
      <c r="N84" s="506">
        <v>-15.891701466289399</v>
      </c>
      <c r="O84" s="506">
        <v>-43.956905913309001</v>
      </c>
      <c r="P84" s="506">
        <v>28.0652044470196</v>
      </c>
      <c r="Q84" s="506">
        <v>8.0510053040294002E-2</v>
      </c>
      <c r="R84" s="506">
        <v>319.19669906477998</v>
      </c>
      <c r="S84" s="506">
        <v>430.39509670001098</v>
      </c>
      <c r="T84" s="506">
        <v>1.8861770993958998E-2</v>
      </c>
      <c r="U84" s="506">
        <v>3.46270306859418E-2</v>
      </c>
      <c r="V84" s="506">
        <v>1.88714608276065E-6</v>
      </c>
      <c r="W84" s="506">
        <v>28.0652044470196</v>
      </c>
      <c r="X84" s="506">
        <v>8.0510053040294002E-2</v>
      </c>
      <c r="Y84" s="506">
        <v>319.19669906477998</v>
      </c>
      <c r="Z84" s="506">
        <v>430.39509670001098</v>
      </c>
      <c r="AA84" s="506">
        <v>1.8861770993958998E-2</v>
      </c>
      <c r="AB84" s="506">
        <v>3.46270306859418E-2</v>
      </c>
      <c r="AC84" s="506">
        <v>1.88714608276065E-6</v>
      </c>
      <c r="AD84" s="506">
        <v>0</v>
      </c>
      <c r="AE84" s="506">
        <v>0</v>
      </c>
      <c r="AF84" s="506">
        <v>0</v>
      </c>
      <c r="AG84" s="506">
        <v>0</v>
      </c>
      <c r="AH84" s="506">
        <v>2.0127513260073501E-2</v>
      </c>
      <c r="AI84" s="506">
        <v>79.799174766194994</v>
      </c>
      <c r="AJ84" s="506">
        <v>0.36</v>
      </c>
      <c r="AK84" s="506">
        <v>104.544</v>
      </c>
      <c r="AL84" s="506">
        <v>25</v>
      </c>
      <c r="AM84" s="506">
        <v>1306.7</v>
      </c>
      <c r="AN84" s="506">
        <v>26.8704</v>
      </c>
      <c r="AO84" s="506">
        <v>0</v>
      </c>
      <c r="AP84" s="506">
        <v>0</v>
      </c>
      <c r="AQ84" s="506">
        <v>0.1</v>
      </c>
      <c r="AR84" s="506">
        <v>0.36</v>
      </c>
      <c r="AS84" s="506">
        <v>104.544</v>
      </c>
      <c r="AT84" s="506">
        <v>25</v>
      </c>
      <c r="AU84" s="506">
        <v>1306.7</v>
      </c>
      <c r="AV84" s="506">
        <v>0</v>
      </c>
      <c r="AW84" s="506">
        <v>0.36</v>
      </c>
      <c r="AX84" s="506">
        <v>0</v>
      </c>
      <c r="AY84" s="506">
        <v>0.1</v>
      </c>
      <c r="AZ84" s="506">
        <v>0.72</v>
      </c>
      <c r="BA84" s="506">
        <v>209.08799999999999</v>
      </c>
      <c r="BB84" s="506">
        <v>25</v>
      </c>
      <c r="BC84" s="506">
        <v>2613.5</v>
      </c>
      <c r="BD84" s="506">
        <v>0</v>
      </c>
      <c r="BE84" s="506">
        <v>0.72</v>
      </c>
      <c r="BF84" s="506">
        <v>0</v>
      </c>
      <c r="BG84" s="506">
        <v>0.1</v>
      </c>
      <c r="BH84" s="506">
        <v>6.3503999999999996</v>
      </c>
      <c r="BI84" s="506">
        <v>1.34352</v>
      </c>
    </row>
    <row r="85" spans="1:61" ht="12.95" customHeight="1">
      <c r="A85" s="254" t="s">
        <v>1597</v>
      </c>
      <c r="B85" s="254" t="s">
        <v>93</v>
      </c>
      <c r="C85" s="204">
        <v>8</v>
      </c>
      <c r="D85" s="254" t="s">
        <v>1348</v>
      </c>
      <c r="E85" s="502">
        <v>1</v>
      </c>
      <c r="F85" s="501">
        <v>-19.267718102021799</v>
      </c>
      <c r="G85" s="506">
        <v>100</v>
      </c>
      <c r="H85" s="506">
        <v>36.907200000000003</v>
      </c>
      <c r="I85" s="506">
        <v>0</v>
      </c>
      <c r="J85" s="506">
        <v>0</v>
      </c>
      <c r="K85" s="506">
        <v>0</v>
      </c>
      <c r="L85" s="506">
        <v>0</v>
      </c>
      <c r="M85" s="506">
        <v>36.907200000000003</v>
      </c>
      <c r="N85" s="506">
        <v>-38.654961193584597</v>
      </c>
      <c r="O85" s="506">
        <v>-56.8829374589723</v>
      </c>
      <c r="P85" s="506">
        <v>18.227976265387898</v>
      </c>
      <c r="Q85" s="506">
        <v>0.109139500661944</v>
      </c>
      <c r="R85" s="506">
        <v>268.685260259492</v>
      </c>
      <c r="S85" s="506">
        <v>452.88362959961</v>
      </c>
      <c r="T85" s="506">
        <v>1.75895774556785E-2</v>
      </c>
      <c r="U85" s="506">
        <v>4.6252044780296903E-2</v>
      </c>
      <c r="V85" s="506">
        <v>1.4342410227906399E-6</v>
      </c>
      <c r="W85" s="506">
        <v>18.227976265387898</v>
      </c>
      <c r="X85" s="506">
        <v>0.109139500661944</v>
      </c>
      <c r="Y85" s="506">
        <v>268.685260259492</v>
      </c>
      <c r="Z85" s="506">
        <v>452.88362959961</v>
      </c>
      <c r="AA85" s="506">
        <v>1.75895774556785E-2</v>
      </c>
      <c r="AB85" s="506">
        <v>4.6252044780296903E-2</v>
      </c>
      <c r="AC85" s="506">
        <v>1.4342410227906399E-6</v>
      </c>
      <c r="AD85" s="506">
        <v>0</v>
      </c>
      <c r="AE85" s="506">
        <v>0</v>
      </c>
      <c r="AF85" s="506">
        <v>0</v>
      </c>
      <c r="AG85" s="506">
        <v>0</v>
      </c>
      <c r="AH85" s="506">
        <v>2.7284875165486101E-2</v>
      </c>
      <c r="AI85" s="506">
        <v>67.1713150648729</v>
      </c>
      <c r="AJ85" s="506">
        <v>0.39456000000000002</v>
      </c>
      <c r="AK85" s="506">
        <v>114.91200000000001</v>
      </c>
      <c r="AL85" s="506">
        <v>25</v>
      </c>
      <c r="AM85" s="506">
        <v>1436.3</v>
      </c>
      <c r="AN85" s="506">
        <v>36.907200000000003</v>
      </c>
      <c r="AO85" s="506">
        <v>0</v>
      </c>
      <c r="AP85" s="506">
        <v>0</v>
      </c>
      <c r="AQ85" s="506">
        <v>0.1</v>
      </c>
      <c r="AR85" s="506">
        <v>0.39456000000000002</v>
      </c>
      <c r="AS85" s="506">
        <v>114.91200000000001</v>
      </c>
      <c r="AT85" s="506">
        <v>25</v>
      </c>
      <c r="AU85" s="506">
        <v>1436.3</v>
      </c>
      <c r="AV85" s="506">
        <v>0</v>
      </c>
      <c r="AW85" s="506">
        <v>0.39456000000000002</v>
      </c>
      <c r="AX85" s="506">
        <v>0</v>
      </c>
      <c r="AY85" s="506">
        <v>0.1</v>
      </c>
      <c r="AZ85" s="506">
        <v>0.78912000000000004</v>
      </c>
      <c r="BA85" s="506">
        <v>229.82400000000001</v>
      </c>
      <c r="BB85" s="506">
        <v>25</v>
      </c>
      <c r="BC85" s="506">
        <v>2872.7</v>
      </c>
      <c r="BD85" s="506">
        <v>0</v>
      </c>
      <c r="BE85" s="506">
        <v>0.78912000000000004</v>
      </c>
      <c r="BF85" s="506">
        <v>0</v>
      </c>
      <c r="BG85" s="506">
        <v>0.1</v>
      </c>
      <c r="BH85" s="506">
        <v>9.36144</v>
      </c>
      <c r="BI85" s="506">
        <v>1.8453599999999999</v>
      </c>
    </row>
    <row r="86" spans="1:61" ht="12.95" customHeight="1">
      <c r="A86" s="254" t="s">
        <v>1598</v>
      </c>
      <c r="B86" s="254" t="s">
        <v>93</v>
      </c>
      <c r="C86" s="204">
        <v>10</v>
      </c>
      <c r="D86" s="254" t="s">
        <v>1588</v>
      </c>
      <c r="E86" s="502">
        <v>2.7777777777777799</v>
      </c>
      <c r="F86" s="501">
        <v>-6.3650807588875304</v>
      </c>
      <c r="G86" s="506">
        <v>50</v>
      </c>
      <c r="H86" s="506">
        <v>17.4631111111111</v>
      </c>
      <c r="I86" s="506">
        <v>0</v>
      </c>
      <c r="J86" s="506">
        <v>1.3888888888888899</v>
      </c>
      <c r="K86" s="506">
        <v>0</v>
      </c>
      <c r="L86" s="506">
        <v>19.399999999999999</v>
      </c>
      <c r="M86" s="506">
        <v>38.252000000000002</v>
      </c>
      <c r="N86" s="506">
        <v>26.9072636789924</v>
      </c>
      <c r="O86" s="506">
        <v>-27.994608418062398</v>
      </c>
      <c r="P86" s="506">
        <v>54.901872097054799</v>
      </c>
      <c r="Q86" s="506">
        <v>0.33291456971936101</v>
      </c>
      <c r="R86" s="506">
        <v>1031.1597839314099</v>
      </c>
      <c r="S86" s="506">
        <v>440.259391427629</v>
      </c>
      <c r="T86" s="506">
        <v>4.1527652073554397E-2</v>
      </c>
      <c r="U86" s="506">
        <v>0.14955107115593499</v>
      </c>
      <c r="V86" s="506">
        <v>5.2501891836103901E-6</v>
      </c>
      <c r="W86" s="506">
        <v>54.901872097054799</v>
      </c>
      <c r="X86" s="506">
        <v>0.33291456971936101</v>
      </c>
      <c r="Y86" s="506">
        <v>1031.1597839314099</v>
      </c>
      <c r="Z86" s="506">
        <v>440.259391427629</v>
      </c>
      <c r="AA86" s="506">
        <v>4.1527652073554397E-2</v>
      </c>
      <c r="AB86" s="506">
        <v>0.14955107115593499</v>
      </c>
      <c r="AC86" s="506">
        <v>5.2501891836103901E-6</v>
      </c>
      <c r="AD86" s="506">
        <v>0</v>
      </c>
      <c r="AE86" s="506">
        <v>0</v>
      </c>
      <c r="AF86" s="506">
        <v>0</v>
      </c>
      <c r="AG86" s="506">
        <v>0</v>
      </c>
      <c r="AH86" s="506">
        <v>8.3228642429840197E-2</v>
      </c>
      <c r="AI86" s="506">
        <v>257.789945982853</v>
      </c>
      <c r="AJ86" s="506">
        <v>1.00040028490028</v>
      </c>
      <c r="AK86" s="506">
        <v>107.531230769231</v>
      </c>
      <c r="AL86" s="506">
        <v>62.5</v>
      </c>
      <c r="AM86" s="506">
        <v>3733.7232905982901</v>
      </c>
      <c r="AN86" s="506">
        <v>17.4631111111111</v>
      </c>
      <c r="AO86" s="506">
        <v>0</v>
      </c>
      <c r="AP86" s="506">
        <v>1.3888888888888899</v>
      </c>
      <c r="AQ86" s="506">
        <v>0</v>
      </c>
      <c r="AR86" s="506">
        <v>19.399999999999999</v>
      </c>
      <c r="AS86" s="506">
        <v>2095.1999999999998</v>
      </c>
      <c r="AT86" s="506">
        <v>62.5</v>
      </c>
      <c r="AU86" s="506">
        <v>72749.722222222204</v>
      </c>
      <c r="AV86" s="506">
        <v>19.399999999999999</v>
      </c>
      <c r="AW86" s="506">
        <v>0</v>
      </c>
      <c r="AX86" s="506">
        <v>0</v>
      </c>
      <c r="AY86" s="506">
        <v>0.1</v>
      </c>
      <c r="AZ86" s="506">
        <v>20.4004002849003</v>
      </c>
      <c r="BA86" s="506">
        <v>2202.73123076923</v>
      </c>
      <c r="BB86" s="506">
        <v>62.5</v>
      </c>
      <c r="BC86" s="506">
        <v>76483.445512820501</v>
      </c>
      <c r="BD86" s="506">
        <v>20.37</v>
      </c>
      <c r="BE86" s="506">
        <v>3.0222222222222199E-2</v>
      </c>
      <c r="BF86" s="506">
        <v>1.7806267806267799E-4</v>
      </c>
      <c r="BG86" s="506">
        <v>0.1</v>
      </c>
      <c r="BH86" s="506">
        <v>10.7644888888889</v>
      </c>
      <c r="BI86" s="506">
        <v>1.9126000000000001</v>
      </c>
    </row>
    <row r="87" spans="1:61" ht="12.95" customHeight="1">
      <c r="A87" s="254" t="s">
        <v>1599</v>
      </c>
      <c r="B87" s="254" t="s">
        <v>93</v>
      </c>
      <c r="C87" s="204">
        <v>12</v>
      </c>
      <c r="D87" s="254" t="s">
        <v>1590</v>
      </c>
      <c r="E87" s="502">
        <v>2.7777777777777799</v>
      </c>
      <c r="F87" s="501">
        <v>13.270690743720399</v>
      </c>
      <c r="G87" s="506">
        <v>50</v>
      </c>
      <c r="H87" s="506">
        <v>99.913111111111107</v>
      </c>
      <c r="I87" s="506">
        <v>0</v>
      </c>
      <c r="J87" s="506">
        <v>1.3888888888888899</v>
      </c>
      <c r="K87" s="506">
        <v>0</v>
      </c>
      <c r="L87" s="506">
        <v>0</v>
      </c>
      <c r="M87" s="506">
        <v>101.30200000000001</v>
      </c>
      <c r="N87" s="506">
        <v>-14.317698237478201</v>
      </c>
      <c r="O87" s="506">
        <v>-139.18748562503501</v>
      </c>
      <c r="P87" s="506">
        <v>124.869787387556</v>
      </c>
      <c r="Q87" s="506">
        <v>0.42668929242909698</v>
      </c>
      <c r="R87" s="506">
        <v>2498.4999945588102</v>
      </c>
      <c r="S87" s="506">
        <v>1690.8066277036301</v>
      </c>
      <c r="T87" s="506">
        <v>5.6777469105119202E-2</v>
      </c>
      <c r="U87" s="506">
        <v>0.17133906520638301</v>
      </c>
      <c r="V87" s="506">
        <v>1.03062584740102E-5</v>
      </c>
      <c r="W87" s="506">
        <v>124.869787387556</v>
      </c>
      <c r="X87" s="506">
        <v>0.42668929242909698</v>
      </c>
      <c r="Y87" s="506">
        <v>2498.4999945588102</v>
      </c>
      <c r="Z87" s="506">
        <v>1690.8066277036301</v>
      </c>
      <c r="AA87" s="506">
        <v>5.6777469105119202E-2</v>
      </c>
      <c r="AB87" s="506">
        <v>0.17133906520638301</v>
      </c>
      <c r="AC87" s="506">
        <v>1.03062584740102E-5</v>
      </c>
      <c r="AD87" s="506">
        <v>0</v>
      </c>
      <c r="AE87" s="506">
        <v>0</v>
      </c>
      <c r="AF87" s="506">
        <v>0</v>
      </c>
      <c r="AG87" s="506">
        <v>0</v>
      </c>
      <c r="AH87" s="506">
        <v>0.10667232310727399</v>
      </c>
      <c r="AI87" s="506">
        <v>624.62499863970299</v>
      </c>
      <c r="AJ87" s="506">
        <v>1.00040028490028</v>
      </c>
      <c r="AK87" s="506">
        <v>107.531230769231</v>
      </c>
      <c r="AL87" s="506">
        <v>62.5</v>
      </c>
      <c r="AM87" s="506">
        <v>3733.44551282051</v>
      </c>
      <c r="AN87" s="506">
        <v>99.913111111111107</v>
      </c>
      <c r="AO87" s="506">
        <v>0</v>
      </c>
      <c r="AP87" s="506">
        <v>0</v>
      </c>
      <c r="AQ87" s="506">
        <v>0.1</v>
      </c>
      <c r="AR87" s="506">
        <v>1.00040028490028</v>
      </c>
      <c r="AS87" s="506">
        <v>107.531230769231</v>
      </c>
      <c r="AT87" s="506">
        <v>62.5</v>
      </c>
      <c r="AU87" s="506">
        <v>3733.44551282051</v>
      </c>
      <c r="AV87" s="506">
        <v>0</v>
      </c>
      <c r="AW87" s="506">
        <v>1.0002222222222199</v>
      </c>
      <c r="AX87" s="506">
        <v>1.7806267806267799E-4</v>
      </c>
      <c r="AY87" s="506">
        <v>0.1</v>
      </c>
      <c r="AZ87" s="506">
        <v>2.0008005698005702</v>
      </c>
      <c r="BA87" s="506">
        <v>215.062461538462</v>
      </c>
      <c r="BB87" s="506">
        <v>62.5</v>
      </c>
      <c r="BC87" s="506">
        <v>7467.1688034188001</v>
      </c>
      <c r="BD87" s="506">
        <v>0</v>
      </c>
      <c r="BE87" s="506">
        <v>2.0004444444444398</v>
      </c>
      <c r="BF87" s="506">
        <v>3.5612535612535598E-4</v>
      </c>
      <c r="BG87" s="506">
        <v>0.1</v>
      </c>
      <c r="BH87" s="506">
        <v>29.679488888888901</v>
      </c>
      <c r="BI87" s="506">
        <v>5.0651000000000002</v>
      </c>
    </row>
    <row r="88" spans="1:61" ht="12.95" customHeight="1">
      <c r="A88" s="254" t="s">
        <v>1600</v>
      </c>
      <c r="B88" s="254" t="s">
        <v>93</v>
      </c>
      <c r="C88" s="204">
        <v>11</v>
      </c>
      <c r="D88" s="254" t="s">
        <v>1589</v>
      </c>
      <c r="E88" s="502">
        <v>2.7777777777777799</v>
      </c>
      <c r="F88" s="501">
        <v>-20.670408076445501</v>
      </c>
      <c r="G88" s="506">
        <v>50</v>
      </c>
      <c r="H88" s="506">
        <v>46.563111111111098</v>
      </c>
      <c r="I88" s="506">
        <v>0</v>
      </c>
      <c r="J88" s="506">
        <v>1.3888888888888899</v>
      </c>
      <c r="K88" s="506">
        <v>0</v>
      </c>
      <c r="L88" s="506">
        <v>0</v>
      </c>
      <c r="M88" s="506">
        <v>47.951999999999998</v>
      </c>
      <c r="N88" s="506">
        <v>-5.0654863585315804</v>
      </c>
      <c r="O88" s="506">
        <v>-74.785593779096843</v>
      </c>
      <c r="P88" s="506">
        <v>69.7201074205651</v>
      </c>
      <c r="Q88" s="506">
        <v>0.15553634722051901</v>
      </c>
      <c r="R88" s="506">
        <v>708.42581431790097</v>
      </c>
      <c r="S88" s="506">
        <v>403.94217763198998</v>
      </c>
      <c r="T88" s="506">
        <v>2.97512984171419E-2</v>
      </c>
      <c r="U88" s="506">
        <v>6.4227117268532793E-2</v>
      </c>
      <c r="V88" s="506">
        <v>4.3054713897672102E-6</v>
      </c>
      <c r="W88" s="506">
        <v>69.7201074205651</v>
      </c>
      <c r="X88" s="506">
        <v>0.15553634722051901</v>
      </c>
      <c r="Y88" s="506">
        <v>708.42581431790097</v>
      </c>
      <c r="Z88" s="506">
        <v>403.94217763198998</v>
      </c>
      <c r="AA88" s="506">
        <v>2.97512984171419E-2</v>
      </c>
      <c r="AB88" s="506">
        <v>6.4227117268532793E-2</v>
      </c>
      <c r="AC88" s="506">
        <v>4.3054713897672102E-6</v>
      </c>
      <c r="AD88" s="506">
        <v>0</v>
      </c>
      <c r="AE88" s="506">
        <v>0</v>
      </c>
      <c r="AF88" s="506">
        <v>0</v>
      </c>
      <c r="AG88" s="506">
        <v>0</v>
      </c>
      <c r="AH88" s="506">
        <v>3.8884086805129801E-2</v>
      </c>
      <c r="AI88" s="506">
        <v>177.10645357947499</v>
      </c>
      <c r="AJ88" s="506">
        <v>1.00040028490028</v>
      </c>
      <c r="AK88" s="506">
        <v>3.8188307692307699</v>
      </c>
      <c r="AL88" s="506">
        <v>50.75</v>
      </c>
      <c r="AM88" s="506">
        <v>98.405790598290594</v>
      </c>
      <c r="AN88" s="506">
        <v>46.563111111111098</v>
      </c>
      <c r="AO88" s="506">
        <v>0</v>
      </c>
      <c r="AP88" s="506">
        <v>1.3888888888888899</v>
      </c>
      <c r="AQ88" s="506">
        <v>0</v>
      </c>
      <c r="AR88" s="506">
        <v>0</v>
      </c>
      <c r="AS88" s="506">
        <v>0</v>
      </c>
      <c r="AT88" s="506">
        <v>50.75</v>
      </c>
      <c r="AU88" s="506">
        <v>0</v>
      </c>
      <c r="AV88" s="506">
        <v>0</v>
      </c>
      <c r="AW88" s="506">
        <v>0</v>
      </c>
      <c r="AX88" s="506">
        <v>0</v>
      </c>
      <c r="AY88" s="506">
        <v>0</v>
      </c>
      <c r="AZ88" s="506">
        <v>1.00040028490028</v>
      </c>
      <c r="BA88" s="506">
        <v>3.8188307692307699</v>
      </c>
      <c r="BB88" s="506">
        <v>50.75</v>
      </c>
      <c r="BC88" s="506">
        <v>98.128012820512794</v>
      </c>
      <c r="BD88" s="506">
        <v>0</v>
      </c>
      <c r="BE88" s="506">
        <v>1.0002222222222199</v>
      </c>
      <c r="BF88" s="506">
        <v>1.7806267806267799E-4</v>
      </c>
      <c r="BG88" s="506">
        <v>0.1</v>
      </c>
      <c r="BH88" s="506">
        <v>5.0317888888888902</v>
      </c>
      <c r="BI88" s="506">
        <v>1.0299</v>
      </c>
    </row>
    <row r="89" spans="1:61" ht="12.95" customHeight="1">
      <c r="A89" s="254" t="s">
        <v>1601</v>
      </c>
      <c r="B89" s="254" t="s">
        <v>93</v>
      </c>
      <c r="C89" s="204">
        <v>13</v>
      </c>
      <c r="D89" s="254" t="s">
        <v>1591</v>
      </c>
      <c r="E89" s="502">
        <v>2.7777777777777799</v>
      </c>
      <c r="F89" s="501">
        <v>-27.4635345613247</v>
      </c>
      <c r="G89" s="506">
        <v>50</v>
      </c>
      <c r="H89" s="506">
        <v>51.4131111111111</v>
      </c>
      <c r="I89" s="506">
        <v>0</v>
      </c>
      <c r="J89" s="506">
        <v>1.3888888888888899</v>
      </c>
      <c r="K89" s="506">
        <v>0</v>
      </c>
      <c r="L89" s="506">
        <v>0</v>
      </c>
      <c r="M89" s="506">
        <v>52.802</v>
      </c>
      <c r="N89" s="506">
        <v>-50.734914668922102</v>
      </c>
      <c r="O89" s="506">
        <v>-77.075760470163203</v>
      </c>
      <c r="P89" s="506">
        <v>26.340845801241201</v>
      </c>
      <c r="Q89" s="506">
        <v>0.15375380685826301</v>
      </c>
      <c r="R89" s="506">
        <v>377.80924357894298</v>
      </c>
      <c r="S89" s="506">
        <v>435.492036469428</v>
      </c>
      <c r="T89" s="506">
        <v>1.88195108623961E-2</v>
      </c>
      <c r="U89" s="506">
        <v>6.3474708296298102E-2</v>
      </c>
      <c r="V89" s="506">
        <v>1.9207948820536102E-6</v>
      </c>
      <c r="W89" s="506">
        <v>26.340845801241201</v>
      </c>
      <c r="X89" s="506">
        <v>0.15375380685826301</v>
      </c>
      <c r="Y89" s="506">
        <v>377.80924357894298</v>
      </c>
      <c r="Z89" s="506">
        <v>435.492036469428</v>
      </c>
      <c r="AA89" s="506">
        <v>1.88195108623961E-2</v>
      </c>
      <c r="AB89" s="506">
        <v>6.3474708296298102E-2</v>
      </c>
      <c r="AC89" s="506">
        <v>1.9207948820536102E-6</v>
      </c>
      <c r="AD89" s="506">
        <v>0</v>
      </c>
      <c r="AE89" s="506">
        <v>0</v>
      </c>
      <c r="AF89" s="506">
        <v>0</v>
      </c>
      <c r="AG89" s="506">
        <v>0</v>
      </c>
      <c r="AH89" s="506">
        <v>3.84384517145656E-2</v>
      </c>
      <c r="AI89" s="506">
        <v>94.452310894735803</v>
      </c>
      <c r="AJ89" s="506">
        <v>1.00040028490028</v>
      </c>
      <c r="AK89" s="506">
        <v>107.531230769231</v>
      </c>
      <c r="AL89" s="506">
        <v>62.5</v>
      </c>
      <c r="AM89" s="506">
        <v>3733.44551282051</v>
      </c>
      <c r="AN89" s="506">
        <v>51.4131111111111</v>
      </c>
      <c r="AO89" s="506">
        <v>0</v>
      </c>
      <c r="AP89" s="506">
        <v>0</v>
      </c>
      <c r="AQ89" s="506">
        <v>0.1</v>
      </c>
      <c r="AR89" s="506">
        <v>1.00040028490028</v>
      </c>
      <c r="AS89" s="506">
        <v>107.531230769231</v>
      </c>
      <c r="AT89" s="506">
        <v>62.5</v>
      </c>
      <c r="AU89" s="506">
        <v>3733.44551282051</v>
      </c>
      <c r="AV89" s="506">
        <v>0</v>
      </c>
      <c r="AW89" s="506">
        <v>1.0002222222222199</v>
      </c>
      <c r="AX89" s="506">
        <v>1.7806267806267799E-4</v>
      </c>
      <c r="AY89" s="506">
        <v>0.1</v>
      </c>
      <c r="AZ89" s="506">
        <v>2.0008005698005702</v>
      </c>
      <c r="BA89" s="506">
        <v>215.062461538462</v>
      </c>
      <c r="BB89" s="506">
        <v>62.5</v>
      </c>
      <c r="BC89" s="506">
        <v>7467.1688034188001</v>
      </c>
      <c r="BD89" s="506">
        <v>0</v>
      </c>
      <c r="BE89" s="506">
        <v>2.0004444444444398</v>
      </c>
      <c r="BF89" s="506">
        <v>3.5612535612535598E-4</v>
      </c>
      <c r="BG89" s="506">
        <v>0.1</v>
      </c>
      <c r="BH89" s="506">
        <v>15.129488888888901</v>
      </c>
      <c r="BI89" s="506">
        <v>2.6400999999999999</v>
      </c>
    </row>
    <row r="90" spans="1:61" ht="12.95" customHeight="1">
      <c r="A90" s="254" t="s">
        <v>2167</v>
      </c>
      <c r="B90" s="254" t="s">
        <v>93</v>
      </c>
      <c r="C90" s="204">
        <v>9</v>
      </c>
      <c r="D90" s="254" t="s">
        <v>1587</v>
      </c>
      <c r="E90" s="502">
        <v>1</v>
      </c>
      <c r="F90" s="501">
        <v>190.38628772113401</v>
      </c>
      <c r="G90" s="506">
        <v>50</v>
      </c>
      <c r="H90" s="506">
        <v>0</v>
      </c>
      <c r="I90" s="506">
        <v>54.22</v>
      </c>
      <c r="J90" s="506">
        <v>0</v>
      </c>
      <c r="K90" s="506">
        <v>0</v>
      </c>
      <c r="L90" s="506">
        <v>0</v>
      </c>
      <c r="M90" s="506">
        <v>54.22</v>
      </c>
      <c r="N90" s="506">
        <v>140.28258407256001</v>
      </c>
      <c r="O90" s="506">
        <v>-4.2281813999999501E-2</v>
      </c>
      <c r="P90" s="506">
        <v>140.32486588655999</v>
      </c>
      <c r="Q90" s="506">
        <v>0.57891259129088801</v>
      </c>
      <c r="R90" s="506">
        <v>3784.52534610766</v>
      </c>
      <c r="S90" s="506">
        <v>45.061892303882402</v>
      </c>
      <c r="T90" s="506">
        <v>0.27091132700751602</v>
      </c>
      <c r="U90" s="506">
        <v>0.119929676711111</v>
      </c>
      <c r="V90" s="506">
        <v>1.03103737559533E-5</v>
      </c>
      <c r="W90" s="506">
        <v>182.678543080308</v>
      </c>
      <c r="X90" s="506">
        <v>0.866026053949564</v>
      </c>
      <c r="Y90" s="506">
        <v>5930.88107548486</v>
      </c>
      <c r="Z90" s="506">
        <v>81.138346031882406</v>
      </c>
      <c r="AA90" s="506">
        <v>0.32963596761071801</v>
      </c>
      <c r="AB90" s="506">
        <v>0.21328441131324199</v>
      </c>
      <c r="AC90" s="506">
        <v>2.65333201449891E-5</v>
      </c>
      <c r="AD90" s="506">
        <v>0</v>
      </c>
      <c r="AE90" s="506">
        <v>0</v>
      </c>
      <c r="AF90" s="506">
        <v>0</v>
      </c>
      <c r="AG90" s="506">
        <v>0</v>
      </c>
      <c r="AH90" s="506">
        <v>0.144728147822722</v>
      </c>
      <c r="AI90" s="506">
        <v>946.13133652691499</v>
      </c>
      <c r="AJ90" s="506">
        <v>1.00345454545455</v>
      </c>
      <c r="AK90" s="506">
        <v>178.536363636364</v>
      </c>
      <c r="AL90" s="506">
        <v>37.5</v>
      </c>
      <c r="AM90" s="506">
        <v>2231.6045454545501</v>
      </c>
      <c r="AN90" s="506">
        <v>0</v>
      </c>
      <c r="AO90" s="506">
        <v>54.22</v>
      </c>
      <c r="AP90" s="506">
        <v>0</v>
      </c>
      <c r="AQ90" s="506">
        <v>0.1</v>
      </c>
      <c r="AR90" s="506">
        <v>1.0503636363636399</v>
      </c>
      <c r="AS90" s="506">
        <v>192.60909090909101</v>
      </c>
      <c r="AT90" s="506">
        <v>37.5</v>
      </c>
      <c r="AU90" s="506">
        <v>2407.5136363636402</v>
      </c>
      <c r="AV90" s="506">
        <v>0</v>
      </c>
      <c r="AW90" s="506">
        <v>1.0503636363636399</v>
      </c>
      <c r="AX90" s="506">
        <v>0</v>
      </c>
      <c r="AY90" s="506">
        <v>0.1</v>
      </c>
      <c r="AZ90" s="506">
        <v>2.0538181818181802</v>
      </c>
      <c r="BA90" s="506">
        <v>371.14545454545498</v>
      </c>
      <c r="BB90" s="506">
        <v>37.5</v>
      </c>
      <c r="BC90" s="506">
        <v>4639.2181818181798</v>
      </c>
      <c r="BD90" s="506">
        <v>0</v>
      </c>
      <c r="BE90" s="506">
        <v>2.0538181818181802</v>
      </c>
      <c r="BF90" s="506">
        <v>0</v>
      </c>
      <c r="BG90" s="506">
        <v>0.1</v>
      </c>
      <c r="BH90" s="506">
        <v>11.611000000000001</v>
      </c>
      <c r="BI90" s="506">
        <v>2.7109999999999999</v>
      </c>
    </row>
    <row r="91" spans="1:61" ht="12.95" customHeight="1">
      <c r="A91" s="254" t="s">
        <v>1602</v>
      </c>
      <c r="B91" s="254" t="s">
        <v>93</v>
      </c>
      <c r="C91" s="204">
        <v>14</v>
      </c>
      <c r="D91" s="254" t="s">
        <v>1592</v>
      </c>
      <c r="E91" s="502">
        <v>1</v>
      </c>
      <c r="F91" s="501">
        <v>51.205342410645201</v>
      </c>
      <c r="G91" s="506">
        <v>50</v>
      </c>
      <c r="H91" s="506">
        <v>0</v>
      </c>
      <c r="I91" s="506">
        <v>0</v>
      </c>
      <c r="J91" s="506">
        <v>0</v>
      </c>
      <c r="K91" s="506">
        <v>0</v>
      </c>
      <c r="L91" s="506">
        <v>30</v>
      </c>
      <c r="M91" s="506">
        <v>30</v>
      </c>
      <c r="N91" s="506">
        <v>58.036473500293198</v>
      </c>
      <c r="O91" s="506">
        <v>-7.1446870830271802E-4</v>
      </c>
      <c r="P91" s="506">
        <v>58.037187969001501</v>
      </c>
      <c r="Q91" s="506">
        <v>0.42377541610267799</v>
      </c>
      <c r="R91" s="506">
        <v>640.87624040717697</v>
      </c>
      <c r="S91" s="506">
        <v>24.7023628030501</v>
      </c>
      <c r="T91" s="506">
        <v>0.15197028055467701</v>
      </c>
      <c r="U91" s="506">
        <v>9.3472211604141597E-2</v>
      </c>
      <c r="V91" s="506">
        <v>1.9931511997698999E-6</v>
      </c>
      <c r="W91" s="506">
        <v>58.037187969001501</v>
      </c>
      <c r="X91" s="506">
        <v>0.42377541610267799</v>
      </c>
      <c r="Y91" s="506">
        <v>640.87624040717697</v>
      </c>
      <c r="Z91" s="506">
        <v>24.7023628030501</v>
      </c>
      <c r="AA91" s="506">
        <v>0.15197028055467701</v>
      </c>
      <c r="AB91" s="506">
        <v>9.3472211604141597E-2</v>
      </c>
      <c r="AC91" s="506">
        <v>1.9931511997698999E-6</v>
      </c>
      <c r="AD91" s="506">
        <v>0</v>
      </c>
      <c r="AE91" s="506">
        <v>0</v>
      </c>
      <c r="AF91" s="506">
        <v>0</v>
      </c>
      <c r="AG91" s="506">
        <v>0</v>
      </c>
      <c r="AH91" s="506">
        <v>0.105943854025669</v>
      </c>
      <c r="AI91" s="506">
        <v>160.21906010179401</v>
      </c>
      <c r="AJ91" s="506">
        <v>1</v>
      </c>
      <c r="AK91" s="506">
        <v>300</v>
      </c>
      <c r="AL91" s="506">
        <v>12.5</v>
      </c>
      <c r="AM91" s="506">
        <v>3750</v>
      </c>
      <c r="AN91" s="506">
        <v>0</v>
      </c>
      <c r="AO91" s="506">
        <v>0</v>
      </c>
      <c r="AP91" s="506">
        <v>0</v>
      </c>
      <c r="AQ91" s="506">
        <v>0</v>
      </c>
      <c r="AR91" s="506">
        <v>30</v>
      </c>
      <c r="AS91" s="506">
        <v>9000</v>
      </c>
      <c r="AT91" s="506">
        <v>12.5</v>
      </c>
      <c r="AU91" s="506">
        <v>112499.9</v>
      </c>
      <c r="AV91" s="506">
        <v>30</v>
      </c>
      <c r="AW91" s="506">
        <v>0</v>
      </c>
      <c r="AX91" s="506">
        <v>0</v>
      </c>
      <c r="AY91" s="506">
        <v>0.1</v>
      </c>
      <c r="AZ91" s="506">
        <v>31</v>
      </c>
      <c r="BA91" s="506">
        <v>9300</v>
      </c>
      <c r="BB91" s="506">
        <v>12.5</v>
      </c>
      <c r="BC91" s="506">
        <v>116249.9</v>
      </c>
      <c r="BD91" s="506">
        <v>31</v>
      </c>
      <c r="BE91" s="506">
        <v>0</v>
      </c>
      <c r="BF91" s="506">
        <v>0</v>
      </c>
      <c r="BG91" s="506">
        <v>0.1</v>
      </c>
      <c r="BH91" s="506">
        <v>9</v>
      </c>
      <c r="BI91" s="506">
        <v>1.5</v>
      </c>
    </row>
    <row r="92" spans="1:61" ht="12.95" customHeight="1" thickBot="1">
      <c r="A92" s="254" t="s">
        <v>1603</v>
      </c>
      <c r="B92" s="254" t="s">
        <v>93</v>
      </c>
      <c r="C92" s="204">
        <v>15</v>
      </c>
      <c r="D92" s="254" t="s">
        <v>1593</v>
      </c>
      <c r="E92" s="502">
        <v>1</v>
      </c>
      <c r="F92" s="501">
        <v>-4.7459163149795298</v>
      </c>
      <c r="G92" s="506">
        <v>100</v>
      </c>
      <c r="H92" s="506">
        <v>120</v>
      </c>
      <c r="I92" s="506">
        <v>0</v>
      </c>
      <c r="J92" s="506">
        <v>0</v>
      </c>
      <c r="K92" s="506">
        <v>0</v>
      </c>
      <c r="L92" s="506">
        <v>0</v>
      </c>
      <c r="M92" s="506">
        <v>120</v>
      </c>
      <c r="N92" s="506">
        <v>-146.869432830986</v>
      </c>
      <c r="O92" s="506">
        <v>-188.398733754587</v>
      </c>
      <c r="P92" s="506">
        <v>41.529300923600204</v>
      </c>
      <c r="Q92" s="506">
        <v>0.22709149900914699</v>
      </c>
      <c r="R92" s="506">
        <v>773.60367866895695</v>
      </c>
      <c r="S92" s="506">
        <v>2394.3688546957301</v>
      </c>
      <c r="T92" s="506">
        <v>3.6759864503556103E-2</v>
      </c>
      <c r="U92" s="506">
        <v>0.111930623535909</v>
      </c>
      <c r="V92" s="506">
        <v>2.9687215885728598E-6</v>
      </c>
      <c r="W92" s="506">
        <v>41.529300923600204</v>
      </c>
      <c r="X92" s="506">
        <v>0.22709149900914699</v>
      </c>
      <c r="Y92" s="506">
        <v>773.60367866895695</v>
      </c>
      <c r="Z92" s="506">
        <v>2394.3688546957301</v>
      </c>
      <c r="AA92" s="506">
        <v>3.6759864503556103E-2</v>
      </c>
      <c r="AB92" s="506">
        <v>0.111930623535909</v>
      </c>
      <c r="AC92" s="506">
        <v>2.9687215885728598E-6</v>
      </c>
      <c r="AD92" s="506">
        <v>0</v>
      </c>
      <c r="AE92" s="506">
        <v>0</v>
      </c>
      <c r="AF92" s="506">
        <v>0</v>
      </c>
      <c r="AG92" s="506">
        <v>0</v>
      </c>
      <c r="AH92" s="506">
        <v>5.6772874752286803E-2</v>
      </c>
      <c r="AI92" s="506">
        <v>193.40091966723901</v>
      </c>
      <c r="AJ92" s="506">
        <v>1</v>
      </c>
      <c r="AK92" s="506">
        <v>1000</v>
      </c>
      <c r="AL92" s="506">
        <v>12.5</v>
      </c>
      <c r="AM92" s="506">
        <v>12500</v>
      </c>
      <c r="AN92" s="506">
        <v>120</v>
      </c>
      <c r="AO92" s="506">
        <v>0</v>
      </c>
      <c r="AP92" s="506">
        <v>0</v>
      </c>
      <c r="AQ92" s="506">
        <v>0</v>
      </c>
      <c r="AR92" s="506">
        <v>0</v>
      </c>
      <c r="AS92" s="506">
        <v>0</v>
      </c>
      <c r="AT92" s="506">
        <v>12.5</v>
      </c>
      <c r="AU92" s="506">
        <v>0</v>
      </c>
      <c r="AV92" s="506">
        <v>0</v>
      </c>
      <c r="AW92" s="506">
        <v>0</v>
      </c>
      <c r="AX92" s="506">
        <v>0</v>
      </c>
      <c r="AY92" s="506">
        <v>0</v>
      </c>
      <c r="AZ92" s="506">
        <v>1</v>
      </c>
      <c r="BA92" s="506">
        <v>1000</v>
      </c>
      <c r="BB92" s="506">
        <v>12.5</v>
      </c>
      <c r="BC92" s="506">
        <v>12499.9</v>
      </c>
      <c r="BD92" s="506">
        <v>0</v>
      </c>
      <c r="BE92" s="506">
        <v>1</v>
      </c>
      <c r="BF92" s="506">
        <v>0</v>
      </c>
      <c r="BG92" s="506">
        <v>0.1</v>
      </c>
      <c r="BH92" s="506">
        <v>120</v>
      </c>
      <c r="BI92" s="506">
        <v>6</v>
      </c>
    </row>
    <row r="93" spans="1:61" ht="12.95" customHeight="1" thickBot="1">
      <c r="A93" s="254" t="s">
        <v>1892</v>
      </c>
      <c r="B93" s="254" t="s">
        <v>93</v>
      </c>
      <c r="C93" s="204"/>
      <c r="D93" s="254"/>
      <c r="E93" s="502"/>
      <c r="F93" s="501"/>
      <c r="G93" s="90"/>
      <c r="H93" s="90"/>
      <c r="I93" s="90"/>
      <c r="J93" s="90"/>
      <c r="K93" s="90"/>
      <c r="L93" s="90"/>
      <c r="M93" s="90"/>
      <c r="N93" s="90"/>
      <c r="O93" s="90"/>
      <c r="P93" s="90"/>
      <c r="Q93" s="90"/>
      <c r="R93" s="90"/>
      <c r="S93" s="90"/>
      <c r="T93" s="90"/>
      <c r="U93" s="90"/>
      <c r="V93" s="90"/>
      <c r="W93" s="90"/>
      <c r="X93" s="90"/>
      <c r="Y93" s="90"/>
      <c r="Z93" s="90"/>
      <c r="AA93" s="90"/>
      <c r="AB93" s="90"/>
      <c r="AC93" s="90"/>
      <c r="AD93" s="90"/>
      <c r="AE93" s="90"/>
      <c r="AF93" s="90"/>
      <c r="AG93" s="90"/>
      <c r="AH93" s="90"/>
      <c r="AI93" s="90"/>
      <c r="AJ93" s="90"/>
      <c r="AK93" s="90"/>
      <c r="AL93" s="90"/>
      <c r="AM93" s="90"/>
      <c r="AN93" s="90"/>
      <c r="AO93" s="90"/>
      <c r="AP93" s="90"/>
      <c r="AQ93" s="90"/>
      <c r="AR93" s="90"/>
      <c r="AS93" s="90"/>
      <c r="AT93" s="90"/>
      <c r="AU93" s="90"/>
      <c r="AV93" s="90"/>
      <c r="AW93" s="90"/>
      <c r="AX93" s="90"/>
      <c r="AY93" s="90"/>
      <c r="AZ93" s="90"/>
      <c r="BA93" s="90"/>
      <c r="BB93" s="90"/>
      <c r="BC93" s="90"/>
      <c r="BD93" s="90"/>
      <c r="BE93" s="90"/>
      <c r="BF93" s="90"/>
      <c r="BG93" s="90"/>
      <c r="BH93" s="90"/>
      <c r="BI93" s="506"/>
    </row>
    <row r="94" spans="1:61" ht="12.95" customHeight="1">
      <c r="A94" s="254" t="s">
        <v>2071</v>
      </c>
      <c r="B94" s="254"/>
      <c r="C94" s="204"/>
      <c r="D94" s="254"/>
      <c r="E94" s="502"/>
      <c r="F94" s="501"/>
      <c r="G94" s="506"/>
      <c r="H94" s="506"/>
      <c r="I94" s="506"/>
      <c r="J94" s="506"/>
      <c r="K94" s="506"/>
      <c r="L94" s="506"/>
      <c r="M94" s="506"/>
      <c r="N94" s="506"/>
      <c r="O94" s="506"/>
      <c r="P94" s="506"/>
      <c r="Q94" s="506"/>
      <c r="R94" s="506"/>
      <c r="S94" s="506"/>
      <c r="T94" s="506"/>
      <c r="U94" s="506"/>
      <c r="V94" s="506"/>
      <c r="W94" s="506"/>
      <c r="X94" s="506"/>
      <c r="Y94" s="506"/>
      <c r="Z94" s="506"/>
      <c r="AA94" s="506"/>
      <c r="AB94" s="506"/>
      <c r="AC94" s="506"/>
      <c r="AD94" s="506"/>
      <c r="AE94" s="506"/>
      <c r="AF94" s="506"/>
      <c r="AG94" s="506"/>
      <c r="AH94" s="506"/>
      <c r="AI94" s="506"/>
      <c r="AJ94" s="506"/>
      <c r="AK94" s="506"/>
      <c r="AL94" s="506"/>
      <c r="AM94" s="506"/>
      <c r="AN94" s="506"/>
      <c r="AO94" s="506"/>
      <c r="AP94" s="506"/>
      <c r="AQ94" s="506"/>
      <c r="AR94" s="506"/>
      <c r="AS94" s="506"/>
      <c r="AT94" s="506"/>
      <c r="AU94" s="506"/>
      <c r="AV94" s="506"/>
      <c r="AW94" s="506"/>
      <c r="AX94" s="506"/>
      <c r="AY94" s="506"/>
      <c r="AZ94" s="506"/>
      <c r="BA94" s="506"/>
      <c r="BB94" s="506"/>
      <c r="BC94" s="506"/>
      <c r="BD94" s="506"/>
      <c r="BE94" s="506"/>
      <c r="BF94" s="506"/>
      <c r="BG94" s="506"/>
      <c r="BH94" s="506"/>
      <c r="BI94" s="506"/>
    </row>
    <row r="95" spans="1:61" ht="12.95" customHeight="1">
      <c r="A95" s="254" t="s">
        <v>1607</v>
      </c>
      <c r="B95" s="254" t="s">
        <v>92</v>
      </c>
      <c r="C95" s="204">
        <v>16</v>
      </c>
      <c r="D95" s="254" t="s">
        <v>1604</v>
      </c>
      <c r="E95" s="502">
        <v>1</v>
      </c>
      <c r="F95" s="501">
        <v>-37.1201126774437</v>
      </c>
      <c r="G95" s="506">
        <v>100</v>
      </c>
      <c r="H95" s="506">
        <v>12.96</v>
      </c>
      <c r="I95" s="506">
        <v>0.08</v>
      </c>
      <c r="J95" s="506">
        <v>0</v>
      </c>
      <c r="K95" s="506">
        <v>0</v>
      </c>
      <c r="L95" s="506">
        <v>0</v>
      </c>
      <c r="M95" s="506">
        <v>13.04</v>
      </c>
      <c r="N95" s="506">
        <v>-17.9476596006546</v>
      </c>
      <c r="O95" s="506">
        <v>-19.610994535433051</v>
      </c>
      <c r="P95" s="506">
        <v>1.66333493477854</v>
      </c>
      <c r="Q95" s="506">
        <v>8.8145653489082494E-3</v>
      </c>
      <c r="R95" s="506">
        <v>30.876656284327201</v>
      </c>
      <c r="S95" s="506">
        <v>221.64202626625701</v>
      </c>
      <c r="T95" s="506">
        <v>5.1668102100605098E-3</v>
      </c>
      <c r="U95" s="506">
        <v>3.1538707074155099E-3</v>
      </c>
      <c r="V95" s="506">
        <v>1.6217945107436299E-7</v>
      </c>
      <c r="W95" s="506">
        <v>1.66333493477854</v>
      </c>
      <c r="X95" s="506">
        <v>8.8145653489082494E-3</v>
      </c>
      <c r="Y95" s="506">
        <v>30.876656284327201</v>
      </c>
      <c r="Z95" s="506">
        <v>221.64202626625701</v>
      </c>
      <c r="AA95" s="506">
        <v>5.1668102100605098E-3</v>
      </c>
      <c r="AB95" s="506">
        <v>3.1538707074155099E-3</v>
      </c>
      <c r="AC95" s="506">
        <v>1.6217945107436299E-7</v>
      </c>
      <c r="AD95" s="506">
        <v>0</v>
      </c>
      <c r="AE95" s="506">
        <v>0</v>
      </c>
      <c r="AF95" s="506">
        <v>0</v>
      </c>
      <c r="AG95" s="506">
        <v>0</v>
      </c>
      <c r="AH95" s="506">
        <v>2.2036413372270602E-3</v>
      </c>
      <c r="AI95" s="506">
        <v>7.7191640710818001</v>
      </c>
      <c r="AJ95" s="506">
        <v>2.4081632653061201E-2</v>
      </c>
      <c r="AK95" s="506">
        <v>2.4244897959183699E-2</v>
      </c>
      <c r="AL95" s="506">
        <v>1.25</v>
      </c>
      <c r="AM95" s="506">
        <v>-9.3755102040816302E-2</v>
      </c>
      <c r="AN95" s="506">
        <v>12.96</v>
      </c>
      <c r="AO95" s="506">
        <v>0.08</v>
      </c>
      <c r="AP95" s="506">
        <v>0</v>
      </c>
      <c r="AQ95" s="506">
        <v>0.1</v>
      </c>
      <c r="AR95" s="506">
        <v>2.4081632653061201E-2</v>
      </c>
      <c r="AS95" s="506">
        <v>2.4244897959183699E-2</v>
      </c>
      <c r="AT95" s="506">
        <v>1.25</v>
      </c>
      <c r="AU95" s="506">
        <v>-9.3755102040816302E-2</v>
      </c>
      <c r="AV95" s="506">
        <v>0</v>
      </c>
      <c r="AW95" s="506">
        <v>2.4081632653061201E-2</v>
      </c>
      <c r="AX95" s="506">
        <v>0</v>
      </c>
      <c r="AY95" s="506">
        <v>0.1</v>
      </c>
      <c r="AZ95" s="506">
        <v>4.8163265306122499E-2</v>
      </c>
      <c r="BA95" s="506">
        <v>4.8489795918367301E-2</v>
      </c>
      <c r="BB95" s="506">
        <v>1.25</v>
      </c>
      <c r="BC95" s="506">
        <v>-8.7510204081632695E-2</v>
      </c>
      <c r="BD95" s="506">
        <v>0</v>
      </c>
      <c r="BE95" s="506">
        <v>4.8163265306122499E-2</v>
      </c>
      <c r="BF95" s="506">
        <v>0</v>
      </c>
      <c r="BG95" s="506">
        <v>0.1</v>
      </c>
      <c r="BH95" s="506">
        <v>2.6160000000000001</v>
      </c>
      <c r="BI95" s="506"/>
    </row>
    <row r="96" spans="1:61" ht="12.95" customHeight="1">
      <c r="A96" s="254" t="s">
        <v>1608</v>
      </c>
      <c r="B96" s="254" t="s">
        <v>92</v>
      </c>
      <c r="C96" s="204">
        <v>17</v>
      </c>
      <c r="D96" s="254" t="s">
        <v>1605</v>
      </c>
      <c r="E96" s="502">
        <v>1</v>
      </c>
      <c r="F96" s="501">
        <v>-30.8188075015217</v>
      </c>
      <c r="G96" s="506">
        <v>100</v>
      </c>
      <c r="H96" s="506">
        <v>12.24</v>
      </c>
      <c r="I96" s="506">
        <v>0</v>
      </c>
      <c r="J96" s="506">
        <v>0</v>
      </c>
      <c r="K96" s="506">
        <v>0</v>
      </c>
      <c r="L96" s="506">
        <v>0</v>
      </c>
      <c r="M96" s="506">
        <v>12.24</v>
      </c>
      <c r="N96" s="506">
        <v>-15.410357511727</v>
      </c>
      <c r="O96" s="506">
        <v>-21.301835035629601</v>
      </c>
      <c r="P96" s="506">
        <v>5.89147752390266</v>
      </c>
      <c r="Q96" s="506">
        <v>2.3058777368673601E-2</v>
      </c>
      <c r="R96" s="506">
        <v>150.25245303828899</v>
      </c>
      <c r="S96" s="506">
        <v>261.23722620467402</v>
      </c>
      <c r="T96" s="506">
        <v>7.0483936184660796E-3</v>
      </c>
      <c r="U96" s="506">
        <v>9.6806280462199794E-3</v>
      </c>
      <c r="V96" s="506">
        <v>3.0849127287066102E-7</v>
      </c>
      <c r="W96" s="506">
        <v>5.89147752390266</v>
      </c>
      <c r="X96" s="506">
        <v>2.3058777368673601E-2</v>
      </c>
      <c r="Y96" s="506">
        <v>150.25245303828899</v>
      </c>
      <c r="Z96" s="506">
        <v>261.23722620467402</v>
      </c>
      <c r="AA96" s="506">
        <v>7.0483936184660796E-3</v>
      </c>
      <c r="AB96" s="506">
        <v>9.6806280462199794E-3</v>
      </c>
      <c r="AC96" s="506">
        <v>3.0849127287066102E-7</v>
      </c>
      <c r="AD96" s="506">
        <v>0</v>
      </c>
      <c r="AE96" s="506">
        <v>0</v>
      </c>
      <c r="AF96" s="506">
        <v>0</v>
      </c>
      <c r="AG96" s="506">
        <v>0</v>
      </c>
      <c r="AH96" s="506">
        <v>5.7646943421683899E-3</v>
      </c>
      <c r="AI96" s="506">
        <v>37.563113259572098</v>
      </c>
      <c r="AJ96" s="506">
        <v>1.7999999999999999E-2</v>
      </c>
      <c r="AK96" s="506">
        <v>5.4</v>
      </c>
      <c r="AL96" s="506">
        <v>12.5</v>
      </c>
      <c r="AM96" s="506">
        <v>67.400000000000006</v>
      </c>
      <c r="AN96" s="506">
        <v>12.24</v>
      </c>
      <c r="AO96" s="506">
        <v>0</v>
      </c>
      <c r="AP96" s="506">
        <v>0</v>
      </c>
      <c r="AQ96" s="506">
        <v>0.1</v>
      </c>
      <c r="AR96" s="506">
        <v>1.7999999999999999E-2</v>
      </c>
      <c r="AS96" s="506">
        <v>5.4</v>
      </c>
      <c r="AT96" s="506">
        <v>12.5</v>
      </c>
      <c r="AU96" s="506">
        <v>67.400000000000006</v>
      </c>
      <c r="AV96" s="506">
        <v>0</v>
      </c>
      <c r="AW96" s="506">
        <v>1.7999999999999999E-2</v>
      </c>
      <c r="AX96" s="506">
        <v>0</v>
      </c>
      <c r="AY96" s="506">
        <v>0.1</v>
      </c>
      <c r="AZ96" s="506">
        <v>3.5999999999999997E-2</v>
      </c>
      <c r="BA96" s="506">
        <v>10.8</v>
      </c>
      <c r="BB96" s="506">
        <v>12.5</v>
      </c>
      <c r="BC96" s="506">
        <v>134.9</v>
      </c>
      <c r="BD96" s="506">
        <v>0</v>
      </c>
      <c r="BE96" s="506">
        <v>3.5999999999999997E-2</v>
      </c>
      <c r="BF96" s="506">
        <v>0</v>
      </c>
      <c r="BG96" s="506">
        <v>0.1</v>
      </c>
      <c r="BH96" s="506">
        <v>3.6720000000000002</v>
      </c>
      <c r="BI96" s="506">
        <v>0.61199999999999999</v>
      </c>
    </row>
    <row r="97" spans="1:61" ht="12.95" customHeight="1" thickBot="1">
      <c r="A97" s="254" t="s">
        <v>1609</v>
      </c>
      <c r="B97" s="254" t="s">
        <v>92</v>
      </c>
      <c r="C97" s="204">
        <v>18</v>
      </c>
      <c r="D97" s="254" t="s">
        <v>1606</v>
      </c>
      <c r="E97" s="502">
        <v>1</v>
      </c>
      <c r="F97" s="501">
        <v>-31.078913645441801</v>
      </c>
      <c r="G97" s="506">
        <v>100</v>
      </c>
      <c r="H97" s="506">
        <v>5.4</v>
      </c>
      <c r="I97" s="506">
        <v>0</v>
      </c>
      <c r="J97" s="506">
        <v>0</v>
      </c>
      <c r="K97" s="506">
        <v>0</v>
      </c>
      <c r="L97" s="506">
        <v>0</v>
      </c>
      <c r="M97" s="506">
        <v>5.4</v>
      </c>
      <c r="N97" s="506">
        <v>-3.9378570228936098</v>
      </c>
      <c r="O97" s="506">
        <v>-8.6970841076459706</v>
      </c>
      <c r="P97" s="506">
        <v>4.7592270847523404</v>
      </c>
      <c r="Q97" s="506">
        <v>2.20749625822265E-2</v>
      </c>
      <c r="R97" s="506">
        <v>89.022025422307607</v>
      </c>
      <c r="S97" s="506">
        <v>110.407405787351</v>
      </c>
      <c r="T97" s="506">
        <v>6.01556493203248E-3</v>
      </c>
      <c r="U97" s="506">
        <v>7.5492684641950596E-3</v>
      </c>
      <c r="V97" s="506">
        <v>4.0842509348452497E-7</v>
      </c>
      <c r="W97" s="506">
        <v>4.7592270847523404</v>
      </c>
      <c r="X97" s="506">
        <v>2.20749625822265E-2</v>
      </c>
      <c r="Y97" s="506">
        <v>89.022025422307607</v>
      </c>
      <c r="Z97" s="506">
        <v>110.407405787351</v>
      </c>
      <c r="AA97" s="506">
        <v>6.01556493203248E-3</v>
      </c>
      <c r="AB97" s="506">
        <v>7.5492684641950596E-3</v>
      </c>
      <c r="AC97" s="506">
        <v>4.0842509348452497E-7</v>
      </c>
      <c r="AD97" s="506">
        <v>0</v>
      </c>
      <c r="AE97" s="506">
        <v>0</v>
      </c>
      <c r="AF97" s="506">
        <v>0</v>
      </c>
      <c r="AG97" s="506">
        <v>0</v>
      </c>
      <c r="AH97" s="506">
        <v>5.5187406455566102E-3</v>
      </c>
      <c r="AI97" s="506">
        <v>22.255506355576902</v>
      </c>
      <c r="AJ97" s="506">
        <v>0.02</v>
      </c>
      <c r="AK97" s="506">
        <v>6</v>
      </c>
      <c r="AL97" s="506">
        <v>12.5</v>
      </c>
      <c r="AM97" s="506">
        <v>74.900000000000006</v>
      </c>
      <c r="AN97" s="506">
        <v>5.4</v>
      </c>
      <c r="AO97" s="506">
        <v>0</v>
      </c>
      <c r="AP97" s="506">
        <v>0</v>
      </c>
      <c r="AQ97" s="506">
        <v>0.1</v>
      </c>
      <c r="AR97" s="506">
        <v>0.02</v>
      </c>
      <c r="AS97" s="506">
        <v>6</v>
      </c>
      <c r="AT97" s="506">
        <v>12.5</v>
      </c>
      <c r="AU97" s="506">
        <v>74.900000000000006</v>
      </c>
      <c r="AV97" s="506">
        <v>0</v>
      </c>
      <c r="AW97" s="506">
        <v>0.02</v>
      </c>
      <c r="AX97" s="506">
        <v>0</v>
      </c>
      <c r="AY97" s="506">
        <v>0.1</v>
      </c>
      <c r="AZ97" s="506">
        <v>0.04</v>
      </c>
      <c r="BA97" s="506">
        <v>12</v>
      </c>
      <c r="BB97" s="506">
        <v>12.5</v>
      </c>
      <c r="BC97" s="506">
        <v>149.9</v>
      </c>
      <c r="BD97" s="506">
        <v>0</v>
      </c>
      <c r="BE97" s="506">
        <v>0.04</v>
      </c>
      <c r="BF97" s="506">
        <v>0</v>
      </c>
      <c r="BG97" s="506">
        <v>0.1</v>
      </c>
      <c r="BH97" s="506">
        <v>1.62</v>
      </c>
      <c r="BI97" s="506">
        <v>0.27</v>
      </c>
    </row>
    <row r="98" spans="1:61" ht="12.95" customHeight="1" thickBot="1">
      <c r="A98" s="254" t="s">
        <v>1801</v>
      </c>
      <c r="B98" s="254" t="s">
        <v>92</v>
      </c>
      <c r="C98" s="204"/>
      <c r="D98" s="254"/>
      <c r="E98" s="502"/>
      <c r="F98" s="501"/>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c r="AG98" s="90"/>
      <c r="AH98" s="90"/>
      <c r="AI98" s="90"/>
      <c r="AJ98" s="90"/>
      <c r="AK98" s="90"/>
      <c r="AL98" s="90"/>
      <c r="AM98" s="90"/>
      <c r="AN98" s="90"/>
      <c r="AO98" s="90"/>
      <c r="AP98" s="90"/>
      <c r="AQ98" s="90"/>
      <c r="AR98" s="90"/>
      <c r="AS98" s="90"/>
      <c r="AT98" s="90"/>
      <c r="AU98" s="90"/>
      <c r="AV98" s="90"/>
      <c r="AW98" s="90"/>
      <c r="AX98" s="90"/>
      <c r="AY98" s="90"/>
      <c r="AZ98" s="90"/>
      <c r="BA98" s="90"/>
      <c r="BB98" s="90"/>
      <c r="BC98" s="90"/>
      <c r="BD98" s="90"/>
      <c r="BE98" s="90"/>
      <c r="BF98" s="90"/>
      <c r="BG98" s="90"/>
      <c r="BH98" s="90"/>
      <c r="BI98" s="506"/>
    </row>
    <row r="99" spans="1:61" ht="12.95" customHeight="1">
      <c r="A99" s="254" t="s">
        <v>2071</v>
      </c>
      <c r="B99" s="254"/>
      <c r="C99" s="204"/>
      <c r="D99" s="254"/>
      <c r="E99" s="502"/>
      <c r="F99" s="501"/>
      <c r="G99" s="506"/>
      <c r="H99" s="506"/>
      <c r="I99" s="506"/>
      <c r="J99" s="506"/>
      <c r="K99" s="506"/>
      <c r="L99" s="506"/>
      <c r="M99" s="506"/>
      <c r="N99" s="506"/>
      <c r="O99" s="506"/>
      <c r="P99" s="506"/>
      <c r="Q99" s="506"/>
      <c r="R99" s="506"/>
      <c r="S99" s="506"/>
      <c r="T99" s="506"/>
      <c r="U99" s="506"/>
      <c r="V99" s="506"/>
      <c r="W99" s="506"/>
      <c r="X99" s="506"/>
      <c r="Y99" s="506"/>
      <c r="Z99" s="506"/>
      <c r="AA99" s="506"/>
      <c r="AB99" s="506"/>
      <c r="AC99" s="506"/>
      <c r="AD99" s="506"/>
      <c r="AE99" s="506"/>
      <c r="AF99" s="506"/>
      <c r="AG99" s="506"/>
      <c r="AH99" s="506"/>
      <c r="AI99" s="506"/>
      <c r="AJ99" s="506"/>
      <c r="AK99" s="506"/>
      <c r="AL99" s="506"/>
      <c r="AM99" s="506"/>
      <c r="AN99" s="506"/>
      <c r="AO99" s="506"/>
      <c r="AP99" s="506"/>
      <c r="AQ99" s="506"/>
      <c r="AR99" s="506"/>
      <c r="AS99" s="506"/>
      <c r="AT99" s="506"/>
      <c r="AU99" s="506"/>
      <c r="AV99" s="506"/>
      <c r="AW99" s="506"/>
      <c r="AX99" s="506"/>
      <c r="AY99" s="506"/>
      <c r="AZ99" s="506"/>
      <c r="BA99" s="506"/>
      <c r="BB99" s="506"/>
      <c r="BC99" s="506"/>
      <c r="BD99" s="506"/>
      <c r="BE99" s="506"/>
      <c r="BF99" s="506"/>
      <c r="BG99" s="506"/>
      <c r="BH99" s="506"/>
      <c r="BI99" s="506"/>
    </row>
    <row r="100" spans="1:61" ht="12.95" customHeight="1">
      <c r="A100" s="254" t="s">
        <v>1919</v>
      </c>
      <c r="B100" s="254" t="s">
        <v>92</v>
      </c>
      <c r="C100" s="204">
        <v>19</v>
      </c>
      <c r="D100" s="254" t="s">
        <v>1349</v>
      </c>
      <c r="E100" s="502">
        <v>1</v>
      </c>
      <c r="F100" s="501">
        <v>-13.6490406612445</v>
      </c>
      <c r="G100" s="506">
        <v>100</v>
      </c>
      <c r="H100" s="506">
        <v>0</v>
      </c>
      <c r="I100" s="506">
        <v>0</v>
      </c>
      <c r="J100" s="506">
        <v>0</v>
      </c>
      <c r="K100" s="506">
        <v>0</v>
      </c>
      <c r="L100" s="506">
        <v>10.3</v>
      </c>
      <c r="M100" s="506">
        <v>10.3</v>
      </c>
      <c r="N100" s="506">
        <v>8.13190075383155</v>
      </c>
      <c r="O100" s="506">
        <v>-1.4093937999999801E-2</v>
      </c>
      <c r="P100" s="506">
        <v>8.1459946918315502</v>
      </c>
      <c r="Q100" s="506">
        <v>5.5627314063751598E-2</v>
      </c>
      <c r="R100" s="506">
        <v>417.360020138501</v>
      </c>
      <c r="S100" s="506">
        <v>6.3786490423292896</v>
      </c>
      <c r="T100" s="506">
        <v>1.09196525373035E-2</v>
      </c>
      <c r="U100" s="506">
        <v>1.6921304139722999E-2</v>
      </c>
      <c r="V100" s="506">
        <v>3.1515206304099702E-6</v>
      </c>
      <c r="W100" s="506">
        <v>24.4379840754947</v>
      </c>
      <c r="X100" s="506">
        <v>0.16688194219125499</v>
      </c>
      <c r="Y100" s="506">
        <v>1252.0800604154999</v>
      </c>
      <c r="Z100" s="506">
        <v>19.135947126987901</v>
      </c>
      <c r="AA100" s="506">
        <v>3.2758957611910597E-2</v>
      </c>
      <c r="AB100" s="506">
        <v>5.0763912419169097E-2</v>
      </c>
      <c r="AC100" s="506">
        <v>9.4545618912299008E-6</v>
      </c>
      <c r="AD100" s="506">
        <v>0</v>
      </c>
      <c r="AE100" s="506">
        <v>0</v>
      </c>
      <c r="AF100" s="506">
        <v>0</v>
      </c>
      <c r="AG100" s="506">
        <v>0</v>
      </c>
      <c r="AH100" s="506">
        <v>1.39068285159379E-2</v>
      </c>
      <c r="AI100" s="506">
        <v>104.34000503462499</v>
      </c>
      <c r="AJ100" s="506">
        <v>9.4219554030874793E-3</v>
      </c>
      <c r="AK100" s="506">
        <v>2.82658662092624</v>
      </c>
      <c r="AL100" s="506">
        <v>25</v>
      </c>
      <c r="AM100" s="506">
        <v>35.332332761578002</v>
      </c>
      <c r="AN100" s="506">
        <v>0</v>
      </c>
      <c r="AO100" s="506">
        <v>0</v>
      </c>
      <c r="AP100" s="506">
        <v>0</v>
      </c>
      <c r="AQ100" s="506">
        <v>0</v>
      </c>
      <c r="AR100" s="506">
        <v>2.82658662092624E-2</v>
      </c>
      <c r="AS100" s="506">
        <v>8.4797598627787298</v>
      </c>
      <c r="AT100" s="506">
        <v>25</v>
      </c>
      <c r="AU100" s="506">
        <v>105.896998284734</v>
      </c>
      <c r="AV100" s="506">
        <v>0</v>
      </c>
      <c r="AW100" s="506">
        <v>2.82658662092624E-2</v>
      </c>
      <c r="AX100" s="506">
        <v>0</v>
      </c>
      <c r="AY100" s="506">
        <v>0.1</v>
      </c>
      <c r="AZ100" s="506">
        <v>3.7687821612349903E-2</v>
      </c>
      <c r="BA100" s="506">
        <v>11.306346483704999</v>
      </c>
      <c r="BB100" s="506">
        <v>25</v>
      </c>
      <c r="BC100" s="506">
        <v>141.22933104631201</v>
      </c>
      <c r="BD100" s="506">
        <v>0</v>
      </c>
      <c r="BE100" s="506">
        <v>3.7687821612349903E-2</v>
      </c>
      <c r="BF100" s="506">
        <v>0</v>
      </c>
      <c r="BG100" s="506">
        <v>0.1</v>
      </c>
      <c r="BH100" s="506">
        <v>3.09</v>
      </c>
      <c r="BI100" s="506">
        <v>0.51500000000000001</v>
      </c>
    </row>
    <row r="101" spans="1:61" ht="12.95" customHeight="1">
      <c r="A101" s="254" t="s">
        <v>1451</v>
      </c>
      <c r="B101" s="254" t="s">
        <v>92</v>
      </c>
      <c r="C101" s="204">
        <v>20</v>
      </c>
      <c r="D101" s="254" t="s">
        <v>1350</v>
      </c>
      <c r="E101" s="502">
        <v>1</v>
      </c>
      <c r="F101" s="501">
        <v>-13.631202218199499</v>
      </c>
      <c r="G101" s="506">
        <v>100</v>
      </c>
      <c r="H101" s="506">
        <v>0</v>
      </c>
      <c r="I101" s="506">
        <v>0</v>
      </c>
      <c r="J101" s="506">
        <v>0</v>
      </c>
      <c r="K101" s="506">
        <v>0</v>
      </c>
      <c r="L101" s="506">
        <v>10.31</v>
      </c>
      <c r="M101" s="506">
        <v>10.31</v>
      </c>
      <c r="N101" s="506">
        <v>8.1447975343592809</v>
      </c>
      <c r="O101" s="506">
        <v>-1.4093937999999801E-2</v>
      </c>
      <c r="P101" s="506">
        <v>8.1588914723592794</v>
      </c>
      <c r="Q101" s="506">
        <v>5.56841475767655E-2</v>
      </c>
      <c r="R101" s="506">
        <v>417.60335547515803</v>
      </c>
      <c r="S101" s="506">
        <v>6.3915557525256901</v>
      </c>
      <c r="T101" s="506">
        <v>1.09251410084296E-2</v>
      </c>
      <c r="U101" s="506">
        <v>1.69479207393761E-2</v>
      </c>
      <c r="V101" s="506">
        <v>3.1518243023829401E-6</v>
      </c>
      <c r="W101" s="506">
        <v>24.476674417077799</v>
      </c>
      <c r="X101" s="506">
        <v>0.16705244273029701</v>
      </c>
      <c r="Y101" s="506">
        <v>1252.81006642547</v>
      </c>
      <c r="Z101" s="506">
        <v>19.174667257577099</v>
      </c>
      <c r="AA101" s="506">
        <v>3.2775423025288901E-2</v>
      </c>
      <c r="AB101" s="506">
        <v>5.0843762218128398E-2</v>
      </c>
      <c r="AC101" s="506">
        <v>9.4554729071487996E-6</v>
      </c>
      <c r="AD101" s="506">
        <v>0</v>
      </c>
      <c r="AE101" s="506">
        <v>0</v>
      </c>
      <c r="AF101" s="506">
        <v>0</v>
      </c>
      <c r="AG101" s="506">
        <v>0</v>
      </c>
      <c r="AH101" s="506">
        <v>1.3921036894191399E-2</v>
      </c>
      <c r="AI101" s="506">
        <v>104.40083886878899</v>
      </c>
      <c r="AJ101" s="506">
        <v>9.4375804030874793E-3</v>
      </c>
      <c r="AK101" s="506">
        <v>2.8312741209262402</v>
      </c>
      <c r="AL101" s="506">
        <v>37.5</v>
      </c>
      <c r="AM101" s="506">
        <v>35.390926511578002</v>
      </c>
      <c r="AN101" s="506">
        <v>0</v>
      </c>
      <c r="AO101" s="506">
        <v>0</v>
      </c>
      <c r="AP101" s="506">
        <v>0</v>
      </c>
      <c r="AQ101" s="506">
        <v>0</v>
      </c>
      <c r="AR101" s="506">
        <v>2.8312741209262401E-2</v>
      </c>
      <c r="AS101" s="506">
        <v>8.4938223627787295</v>
      </c>
      <c r="AT101" s="506">
        <v>37.5</v>
      </c>
      <c r="AU101" s="506">
        <v>106.072779534734</v>
      </c>
      <c r="AV101" s="506">
        <v>0</v>
      </c>
      <c r="AW101" s="506">
        <v>2.8312741209262401E-2</v>
      </c>
      <c r="AX101" s="506">
        <v>0</v>
      </c>
      <c r="AY101" s="506">
        <v>0.1</v>
      </c>
      <c r="AZ101" s="506">
        <v>3.7750321612349903E-2</v>
      </c>
      <c r="BA101" s="506">
        <v>11.325096483705</v>
      </c>
      <c r="BB101" s="506">
        <v>37.5</v>
      </c>
      <c r="BC101" s="506">
        <v>141.46370604631201</v>
      </c>
      <c r="BD101" s="506">
        <v>0</v>
      </c>
      <c r="BE101" s="506">
        <v>3.7750321612349903E-2</v>
      </c>
      <c r="BF101" s="506">
        <v>0</v>
      </c>
      <c r="BG101" s="506">
        <v>0.1</v>
      </c>
      <c r="BH101" s="506">
        <v>3.093</v>
      </c>
      <c r="BI101" s="506">
        <v>0.51549999999999996</v>
      </c>
    </row>
    <row r="102" spans="1:61" ht="12.95" customHeight="1">
      <c r="A102" s="254" t="s">
        <v>1452</v>
      </c>
      <c r="B102" s="254" t="s">
        <v>92</v>
      </c>
      <c r="C102" s="204">
        <v>21</v>
      </c>
      <c r="D102" s="254" t="s">
        <v>1351</v>
      </c>
      <c r="E102" s="502">
        <v>1</v>
      </c>
      <c r="F102" s="501">
        <v>-27.032095856602101</v>
      </c>
      <c r="G102" s="506">
        <v>100</v>
      </c>
      <c r="H102" s="506">
        <v>0</v>
      </c>
      <c r="I102" s="506">
        <v>0</v>
      </c>
      <c r="J102" s="506">
        <v>0</v>
      </c>
      <c r="K102" s="506">
        <v>0</v>
      </c>
      <c r="L102" s="506">
        <v>2</v>
      </c>
      <c r="M102" s="506">
        <v>2</v>
      </c>
      <c r="N102" s="506">
        <v>5.1883338227203399</v>
      </c>
      <c r="O102" s="506">
        <v>-9.1514799999999605E-2</v>
      </c>
      <c r="P102" s="506">
        <v>5.2798486227203396</v>
      </c>
      <c r="Q102" s="506">
        <v>2.1386997812083999E-2</v>
      </c>
      <c r="R102" s="506">
        <v>167.54746394</v>
      </c>
      <c r="S102" s="506">
        <v>4.0764734000000002</v>
      </c>
      <c r="T102" s="506">
        <v>4.4105504625124199E-3</v>
      </c>
      <c r="U102" s="506">
        <v>7.32710928359532E-3</v>
      </c>
      <c r="V102" s="506">
        <v>1.2783953356887401E-6</v>
      </c>
      <c r="W102" s="506">
        <v>15.839545868161</v>
      </c>
      <c r="X102" s="506">
        <v>6.4160993436252006E-2</v>
      </c>
      <c r="Y102" s="506">
        <v>502.64239182</v>
      </c>
      <c r="Z102" s="506">
        <v>12.2294202</v>
      </c>
      <c r="AA102" s="506">
        <v>1.32316513875373E-2</v>
      </c>
      <c r="AB102" s="506">
        <v>2.1981327850785999E-2</v>
      </c>
      <c r="AC102" s="506">
        <v>3.8351860070662302E-6</v>
      </c>
      <c r="AD102" s="506">
        <v>0</v>
      </c>
      <c r="AE102" s="506">
        <v>0</v>
      </c>
      <c r="AF102" s="506">
        <v>0</v>
      </c>
      <c r="AG102" s="506">
        <v>0</v>
      </c>
      <c r="AH102" s="506">
        <v>5.3467494530209997E-3</v>
      </c>
      <c r="AI102" s="506">
        <v>41.886865985</v>
      </c>
      <c r="AJ102" s="506">
        <v>3.3333333333333301E-3</v>
      </c>
      <c r="AK102" s="506">
        <v>1</v>
      </c>
      <c r="AL102" s="506">
        <v>12.5</v>
      </c>
      <c r="AM102" s="506">
        <v>12.5</v>
      </c>
      <c r="AN102" s="506">
        <v>0</v>
      </c>
      <c r="AO102" s="506">
        <v>0</v>
      </c>
      <c r="AP102" s="506">
        <v>0</v>
      </c>
      <c r="AQ102" s="506">
        <v>0</v>
      </c>
      <c r="AR102" s="506">
        <v>0.01</v>
      </c>
      <c r="AS102" s="506">
        <v>3</v>
      </c>
      <c r="AT102" s="506">
        <v>12.5</v>
      </c>
      <c r="AU102" s="506">
        <v>37.4</v>
      </c>
      <c r="AV102" s="506">
        <v>0</v>
      </c>
      <c r="AW102" s="506">
        <v>0.01</v>
      </c>
      <c r="AX102" s="506">
        <v>0</v>
      </c>
      <c r="AY102" s="506">
        <v>0.1</v>
      </c>
      <c r="AZ102" s="506">
        <v>1.3333333333333299E-2</v>
      </c>
      <c r="BA102" s="506">
        <v>4</v>
      </c>
      <c r="BB102" s="506">
        <v>12.5</v>
      </c>
      <c r="BC102" s="506">
        <v>49.9</v>
      </c>
      <c r="BD102" s="506">
        <v>0</v>
      </c>
      <c r="BE102" s="506">
        <v>1.3333333333333299E-2</v>
      </c>
      <c r="BF102" s="506">
        <v>0</v>
      </c>
      <c r="BG102" s="506">
        <v>0.1</v>
      </c>
      <c r="BH102" s="506">
        <v>0.6</v>
      </c>
      <c r="BI102" s="506">
        <v>0.1</v>
      </c>
    </row>
    <row r="103" spans="1:61" ht="12.95" customHeight="1" thickBot="1">
      <c r="A103" s="254" t="s">
        <v>1453</v>
      </c>
      <c r="B103" s="254" t="s">
        <v>92</v>
      </c>
      <c r="C103" s="204">
        <v>22</v>
      </c>
      <c r="D103" s="254" t="s">
        <v>1352</v>
      </c>
      <c r="E103" s="502">
        <v>1</v>
      </c>
      <c r="F103" s="501">
        <v>-28.248938913380201</v>
      </c>
      <c r="G103" s="506">
        <v>100</v>
      </c>
      <c r="H103" s="506">
        <v>0</v>
      </c>
      <c r="I103" s="506">
        <v>0</v>
      </c>
      <c r="J103" s="506">
        <v>0</v>
      </c>
      <c r="K103" s="506">
        <v>0</v>
      </c>
      <c r="L103" s="506">
        <v>2.14</v>
      </c>
      <c r="M103" s="506">
        <v>2.14</v>
      </c>
      <c r="N103" s="506">
        <v>4.5888209461319098</v>
      </c>
      <c r="O103" s="506">
        <v>-2.96271451000004E-3</v>
      </c>
      <c r="P103" s="506">
        <v>4.5917836606419096</v>
      </c>
      <c r="Q103" s="506">
        <v>1.70051712654464E-2</v>
      </c>
      <c r="R103" s="506">
        <v>151.567042806149</v>
      </c>
      <c r="S103" s="506">
        <v>2.9740620366295798</v>
      </c>
      <c r="T103" s="506">
        <v>5.8241551847836703E-3</v>
      </c>
      <c r="U103" s="506">
        <v>3.27538832945173E-3</v>
      </c>
      <c r="V103" s="506">
        <v>6.1701443123429995E-8</v>
      </c>
      <c r="W103" s="506">
        <v>13.775350981925699</v>
      </c>
      <c r="X103" s="506">
        <v>5.1015513796339201E-2</v>
      </c>
      <c r="Y103" s="506">
        <v>454.70112841844701</v>
      </c>
      <c r="Z103" s="506">
        <v>8.9221861098887398</v>
      </c>
      <c r="AA103" s="506">
        <v>1.7472465554350999E-2</v>
      </c>
      <c r="AB103" s="506">
        <v>9.8261649883551894E-3</v>
      </c>
      <c r="AC103" s="506">
        <v>1.8510432937029E-7</v>
      </c>
      <c r="AD103" s="506">
        <v>0</v>
      </c>
      <c r="AE103" s="506">
        <v>0</v>
      </c>
      <c r="AF103" s="506">
        <v>0</v>
      </c>
      <c r="AG103" s="506">
        <v>0</v>
      </c>
      <c r="AH103" s="506">
        <v>4.2512928163616001E-3</v>
      </c>
      <c r="AI103" s="506">
        <v>37.891760701537301</v>
      </c>
      <c r="AJ103" s="506">
        <v>2.2333333333333298E-3</v>
      </c>
      <c r="AK103" s="506">
        <v>0.67</v>
      </c>
      <c r="AL103" s="506">
        <v>25</v>
      </c>
      <c r="AM103" s="506">
        <v>8.375</v>
      </c>
      <c r="AN103" s="506">
        <v>0</v>
      </c>
      <c r="AO103" s="506">
        <v>0</v>
      </c>
      <c r="AP103" s="506">
        <v>0</v>
      </c>
      <c r="AQ103" s="506">
        <v>0</v>
      </c>
      <c r="AR103" s="506">
        <v>6.7000000000000002E-3</v>
      </c>
      <c r="AS103" s="506">
        <v>2.0099999999999998</v>
      </c>
      <c r="AT103" s="506">
        <v>25</v>
      </c>
      <c r="AU103" s="506">
        <v>25.024999999999999</v>
      </c>
      <c r="AV103" s="506">
        <v>0</v>
      </c>
      <c r="AW103" s="506">
        <v>6.7000000000000002E-3</v>
      </c>
      <c r="AX103" s="506">
        <v>0</v>
      </c>
      <c r="AY103" s="506">
        <v>0.1</v>
      </c>
      <c r="AZ103" s="506">
        <v>8.9333333333333296E-3</v>
      </c>
      <c r="BA103" s="506">
        <v>2.68</v>
      </c>
      <c r="BB103" s="506">
        <v>25</v>
      </c>
      <c r="BC103" s="506">
        <v>33.4</v>
      </c>
      <c r="BD103" s="506">
        <v>0</v>
      </c>
      <c r="BE103" s="506">
        <v>8.9333333333333296E-3</v>
      </c>
      <c r="BF103" s="506">
        <v>0</v>
      </c>
      <c r="BG103" s="506">
        <v>0.1</v>
      </c>
      <c r="BH103" s="506">
        <v>0.64200000000000002</v>
      </c>
      <c r="BI103" s="506">
        <v>0.107</v>
      </c>
    </row>
    <row r="104" spans="1:61" ht="12.95" customHeight="1" thickBot="1">
      <c r="A104" s="254" t="s">
        <v>1610</v>
      </c>
      <c r="B104" s="254" t="s">
        <v>92</v>
      </c>
      <c r="C104" s="204"/>
      <c r="D104" s="254"/>
      <c r="E104" s="502"/>
      <c r="F104" s="501"/>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c r="AO104" s="90"/>
      <c r="AP104" s="90"/>
      <c r="AQ104" s="90"/>
      <c r="AR104" s="90"/>
      <c r="AS104" s="90"/>
      <c r="AT104" s="90"/>
      <c r="AU104" s="90"/>
      <c r="AV104" s="90"/>
      <c r="AW104" s="90"/>
      <c r="AX104" s="90"/>
      <c r="AY104" s="90"/>
      <c r="AZ104" s="90"/>
      <c r="BA104" s="90"/>
      <c r="BB104" s="90"/>
      <c r="BC104" s="90"/>
      <c r="BD104" s="90"/>
      <c r="BE104" s="90"/>
      <c r="BF104" s="90"/>
      <c r="BG104" s="90"/>
      <c r="BH104" s="90"/>
      <c r="BI104" s="506"/>
    </row>
    <row r="105" spans="1:61" ht="12.95" customHeight="1" thickTop="1" thickBot="1">
      <c r="A105" s="172" t="s">
        <v>2691</v>
      </c>
      <c r="B105" s="493"/>
      <c r="C105" s="491"/>
      <c r="D105" s="493"/>
      <c r="E105" s="555"/>
      <c r="F105" s="636" t="s">
        <v>2688</v>
      </c>
      <c r="G105" s="636"/>
      <c r="H105" s="636"/>
      <c r="I105" s="558"/>
      <c r="J105" s="558"/>
      <c r="K105" s="558"/>
      <c r="L105" s="558"/>
      <c r="M105" s="558"/>
      <c r="N105" s="558"/>
      <c r="O105" s="558"/>
      <c r="P105" s="558"/>
      <c r="Q105" s="558"/>
      <c r="R105" s="558"/>
      <c r="S105" s="558"/>
      <c r="T105" s="558"/>
      <c r="U105" s="558"/>
      <c r="V105" s="558"/>
      <c r="W105" s="558"/>
      <c r="X105" s="558"/>
      <c r="Y105" s="558"/>
      <c r="Z105" s="558"/>
      <c r="AA105" s="558"/>
      <c r="AB105" s="558"/>
      <c r="AC105" s="558"/>
      <c r="AD105" s="558"/>
      <c r="AE105" s="558"/>
      <c r="AF105" s="558"/>
      <c r="AG105" s="558"/>
      <c r="AH105" s="558"/>
      <c r="AI105" s="558"/>
      <c r="AJ105" s="558"/>
      <c r="AK105" s="558"/>
      <c r="AL105" s="558"/>
      <c r="AM105" s="558"/>
      <c r="AN105" s="558"/>
      <c r="AO105" s="558"/>
      <c r="AP105" s="558"/>
      <c r="AQ105" s="558"/>
      <c r="AR105" s="558"/>
      <c r="AS105" s="558"/>
      <c r="AT105" s="558"/>
      <c r="AU105" s="558"/>
      <c r="AV105" s="558"/>
      <c r="AW105" s="558"/>
      <c r="AX105" s="558"/>
      <c r="AY105" s="558"/>
      <c r="AZ105" s="558"/>
      <c r="BA105" s="558"/>
      <c r="BB105" s="558"/>
      <c r="BC105" s="558"/>
      <c r="BD105" s="558"/>
      <c r="BE105" s="558"/>
      <c r="BF105" s="558"/>
      <c r="BG105" s="558"/>
      <c r="BH105" s="558"/>
      <c r="BI105" s="558"/>
    </row>
    <row r="106" spans="1:61" ht="12.95" customHeight="1" thickTop="1">
      <c r="A106" s="254" t="s">
        <v>2071</v>
      </c>
      <c r="B106" s="254"/>
      <c r="C106" s="204"/>
      <c r="D106" s="254"/>
      <c r="E106" s="502"/>
      <c r="F106" s="501"/>
      <c r="G106" s="506"/>
      <c r="H106" s="506"/>
      <c r="I106" s="506"/>
      <c r="J106" s="506"/>
      <c r="K106" s="506"/>
      <c r="L106" s="506"/>
      <c r="M106" s="506"/>
      <c r="N106" s="506"/>
      <c r="O106" s="506"/>
      <c r="P106" s="506"/>
      <c r="Q106" s="506"/>
      <c r="R106" s="506"/>
      <c r="S106" s="506"/>
      <c r="T106" s="506"/>
      <c r="U106" s="506"/>
      <c r="V106" s="506"/>
      <c r="W106" s="506"/>
      <c r="X106" s="506"/>
      <c r="Y106" s="506"/>
      <c r="Z106" s="506"/>
      <c r="AA106" s="506"/>
      <c r="AB106" s="506"/>
      <c r="AC106" s="506"/>
      <c r="AD106" s="506"/>
      <c r="AE106" s="506"/>
      <c r="AF106" s="506"/>
      <c r="AG106" s="506"/>
      <c r="AH106" s="506"/>
      <c r="AI106" s="506"/>
      <c r="AJ106" s="506"/>
      <c r="AK106" s="506"/>
      <c r="AL106" s="506"/>
      <c r="AM106" s="506"/>
      <c r="AN106" s="506"/>
      <c r="AO106" s="506"/>
      <c r="AP106" s="506"/>
      <c r="AQ106" s="506"/>
      <c r="AR106" s="506"/>
      <c r="AS106" s="506"/>
      <c r="AT106" s="506"/>
      <c r="AU106" s="506"/>
      <c r="AV106" s="506"/>
      <c r="AW106" s="506"/>
      <c r="AX106" s="506"/>
      <c r="AY106" s="506"/>
      <c r="AZ106" s="506"/>
      <c r="BA106" s="506"/>
      <c r="BB106" s="506"/>
      <c r="BC106" s="506"/>
      <c r="BD106" s="506"/>
      <c r="BE106" s="506"/>
      <c r="BF106" s="506"/>
      <c r="BG106" s="506"/>
      <c r="BH106" s="506"/>
      <c r="BI106" s="506"/>
    </row>
    <row r="107" spans="1:61" ht="12.95" customHeight="1">
      <c r="A107" s="254" t="s">
        <v>1473</v>
      </c>
      <c r="B107" s="254" t="s">
        <v>92</v>
      </c>
      <c r="C107" s="204">
        <v>1</v>
      </c>
      <c r="D107" s="254" t="s">
        <v>1353</v>
      </c>
      <c r="E107" s="502">
        <v>1</v>
      </c>
      <c r="F107" s="501">
        <v>44.6393015209268</v>
      </c>
      <c r="G107" s="506">
        <v>100</v>
      </c>
      <c r="H107" s="506">
        <v>0</v>
      </c>
      <c r="I107" s="506">
        <v>0</v>
      </c>
      <c r="J107" s="506">
        <v>21.06</v>
      </c>
      <c r="K107" s="506">
        <v>439.32</v>
      </c>
      <c r="L107" s="506">
        <v>0</v>
      </c>
      <c r="M107" s="506">
        <v>460.38</v>
      </c>
      <c r="N107" s="506">
        <v>75.605932400719595</v>
      </c>
      <c r="O107" s="506">
        <v>-0.124742449322968</v>
      </c>
      <c r="P107" s="506">
        <v>75.730674850042604</v>
      </c>
      <c r="Q107" s="506">
        <v>0.22694502995295801</v>
      </c>
      <c r="R107" s="506">
        <v>1143.36926381237</v>
      </c>
      <c r="S107" s="506">
        <v>29.059244507333801</v>
      </c>
      <c r="T107" s="506">
        <v>0.99789764628780997</v>
      </c>
      <c r="U107" s="506">
        <v>0.120631220302717</v>
      </c>
      <c r="V107" s="506">
        <v>5.2632972645757498E-6</v>
      </c>
      <c r="W107" s="506">
        <v>9.7021444839081106</v>
      </c>
      <c r="X107" s="506">
        <v>5.88793523386043E-2</v>
      </c>
      <c r="Y107" s="506">
        <v>496.27142297820001</v>
      </c>
      <c r="Z107" s="506">
        <v>6.3395079190499999</v>
      </c>
      <c r="AA107" s="506">
        <v>0.96762692875607104</v>
      </c>
      <c r="AB107" s="506">
        <v>1.68391674094014E-2</v>
      </c>
      <c r="AC107" s="506">
        <v>3.14507499001675E-6</v>
      </c>
      <c r="AD107" s="506">
        <v>0</v>
      </c>
      <c r="AE107" s="506">
        <v>0</v>
      </c>
      <c r="AF107" s="506">
        <v>0</v>
      </c>
      <c r="AG107" s="506">
        <v>0</v>
      </c>
      <c r="AH107" s="506">
        <v>5.6736257488239503E-2</v>
      </c>
      <c r="AI107" s="506">
        <v>285.84231595309302</v>
      </c>
      <c r="AJ107" s="506">
        <v>0.19319913419913401</v>
      </c>
      <c r="AK107" s="506">
        <v>13.634740259740299</v>
      </c>
      <c r="AL107" s="506">
        <v>62.5</v>
      </c>
      <c r="AM107" s="506">
        <v>170.33425324675301</v>
      </c>
      <c r="AN107" s="506">
        <v>0</v>
      </c>
      <c r="AO107" s="506">
        <v>0</v>
      </c>
      <c r="AP107" s="506">
        <v>21.06</v>
      </c>
      <c r="AQ107" s="506">
        <v>0.1</v>
      </c>
      <c r="AR107" s="506">
        <v>1.0199134199134201E-2</v>
      </c>
      <c r="AS107" s="506">
        <v>3.0597402597402601</v>
      </c>
      <c r="AT107" s="506">
        <v>62.5</v>
      </c>
      <c r="AU107" s="506">
        <v>38.1467532467532</v>
      </c>
      <c r="AV107" s="506">
        <v>-2.7755575615628901E-17</v>
      </c>
      <c r="AW107" s="506">
        <v>1.0199134199134201E-2</v>
      </c>
      <c r="AX107" s="506">
        <v>0</v>
      </c>
      <c r="AY107" s="506">
        <v>0.1</v>
      </c>
      <c r="AZ107" s="506">
        <v>0.203398268398268</v>
      </c>
      <c r="BA107" s="506">
        <v>16.6944805194805</v>
      </c>
      <c r="BB107" s="506">
        <v>62.5</v>
      </c>
      <c r="BC107" s="506">
        <v>208.681006493506</v>
      </c>
      <c r="BD107" s="506">
        <v>0.18029999999999999</v>
      </c>
      <c r="BE107" s="506">
        <v>2.0398268398268402E-2</v>
      </c>
      <c r="BF107" s="506">
        <v>2.7000000000000001E-3</v>
      </c>
      <c r="BG107" s="506">
        <v>0</v>
      </c>
      <c r="BH107" s="506">
        <v>31.734000000000002</v>
      </c>
      <c r="BI107" s="506">
        <v>23.018999999999998</v>
      </c>
    </row>
    <row r="108" spans="1:61" ht="12.95" customHeight="1">
      <c r="A108" s="254" t="s">
        <v>1474</v>
      </c>
      <c r="B108" s="254" t="s">
        <v>92</v>
      </c>
      <c r="C108" s="204">
        <v>2</v>
      </c>
      <c r="D108" s="254" t="s">
        <v>1354</v>
      </c>
      <c r="E108" s="502">
        <v>1</v>
      </c>
      <c r="F108" s="501">
        <v>65.795228762702493</v>
      </c>
      <c r="G108" s="506">
        <v>100</v>
      </c>
      <c r="H108" s="506">
        <v>0</v>
      </c>
      <c r="I108" s="506">
        <v>0</v>
      </c>
      <c r="J108" s="506">
        <v>29.25</v>
      </c>
      <c r="K108" s="506">
        <v>604.79999999999995</v>
      </c>
      <c r="L108" s="506">
        <v>0</v>
      </c>
      <c r="M108" s="506">
        <v>634.04999999999995</v>
      </c>
      <c r="N108" s="506">
        <v>101.07572568362301</v>
      </c>
      <c r="O108" s="506">
        <v>-0.16236084115779001</v>
      </c>
      <c r="P108" s="506">
        <v>101.238086524781</v>
      </c>
      <c r="Q108" s="506">
        <v>0.29167013327644498</v>
      </c>
      <c r="R108" s="506">
        <v>1391.7977013571799</v>
      </c>
      <c r="S108" s="506">
        <v>37.669741476399899</v>
      </c>
      <c r="T108" s="506">
        <v>1.0096117504475799</v>
      </c>
      <c r="U108" s="506">
        <v>0.160709445157415</v>
      </c>
      <c r="V108" s="506">
        <v>6.0695457430027E-6</v>
      </c>
      <c r="W108" s="506">
        <v>9.7021444839081106</v>
      </c>
      <c r="X108" s="506">
        <v>5.88793523386043E-2</v>
      </c>
      <c r="Y108" s="506">
        <v>496.27142297820001</v>
      </c>
      <c r="Z108" s="506">
        <v>6.3395079190499999</v>
      </c>
      <c r="AA108" s="506">
        <v>0.96762692875607104</v>
      </c>
      <c r="AB108" s="506">
        <v>1.68391674094014E-2</v>
      </c>
      <c r="AC108" s="506">
        <v>3.14507499001675E-6</v>
      </c>
      <c r="AD108" s="506">
        <v>0</v>
      </c>
      <c r="AE108" s="506">
        <v>0</v>
      </c>
      <c r="AF108" s="506">
        <v>0</v>
      </c>
      <c r="AG108" s="506">
        <v>0</v>
      </c>
      <c r="AH108" s="506">
        <v>7.29175333191113E-2</v>
      </c>
      <c r="AI108" s="506">
        <v>347.94942533929498</v>
      </c>
      <c r="AJ108" s="506">
        <v>0.26319913419913399</v>
      </c>
      <c r="AK108" s="506">
        <v>17.3972402597403</v>
      </c>
      <c r="AL108" s="506">
        <v>62.5</v>
      </c>
      <c r="AM108" s="506">
        <v>217.36550324675301</v>
      </c>
      <c r="AN108" s="506">
        <v>0</v>
      </c>
      <c r="AO108" s="506">
        <v>0</v>
      </c>
      <c r="AP108" s="506">
        <v>29.25</v>
      </c>
      <c r="AQ108" s="506">
        <v>0.1</v>
      </c>
      <c r="AR108" s="506">
        <v>1.0199134199134201E-2</v>
      </c>
      <c r="AS108" s="506">
        <v>3.0597402597402601</v>
      </c>
      <c r="AT108" s="506">
        <v>62.5</v>
      </c>
      <c r="AU108" s="506">
        <v>38.1467532467532</v>
      </c>
      <c r="AV108" s="506">
        <v>0</v>
      </c>
      <c r="AW108" s="506">
        <v>1.0199134199134201E-2</v>
      </c>
      <c r="AX108" s="506">
        <v>0</v>
      </c>
      <c r="AY108" s="506">
        <v>0.1</v>
      </c>
      <c r="AZ108" s="506">
        <v>0.27339826839826797</v>
      </c>
      <c r="BA108" s="506">
        <v>20.456980519480499</v>
      </c>
      <c r="BB108" s="506">
        <v>62.5</v>
      </c>
      <c r="BC108" s="506">
        <v>255.712256493506</v>
      </c>
      <c r="BD108" s="506">
        <v>0.24925</v>
      </c>
      <c r="BE108" s="506">
        <v>2.0398268398268402E-2</v>
      </c>
      <c r="BF108" s="506">
        <v>3.7499999999999999E-3</v>
      </c>
      <c r="BG108" s="506">
        <v>0</v>
      </c>
      <c r="BH108" s="506">
        <v>42.465000000000003</v>
      </c>
      <c r="BI108" s="506">
        <v>31.702500000000001</v>
      </c>
    </row>
    <row r="109" spans="1:61" ht="12.95" customHeight="1" thickBot="1">
      <c r="A109" s="254" t="s">
        <v>1924</v>
      </c>
      <c r="B109" s="254" t="s">
        <v>92</v>
      </c>
      <c r="C109" s="204">
        <v>3</v>
      </c>
      <c r="D109" s="254" t="s">
        <v>1355</v>
      </c>
      <c r="E109" s="502">
        <v>1</v>
      </c>
      <c r="F109" s="501">
        <v>39.749736989222697</v>
      </c>
      <c r="G109" s="506">
        <v>100</v>
      </c>
      <c r="H109" s="506">
        <v>0</v>
      </c>
      <c r="I109" s="506">
        <v>0</v>
      </c>
      <c r="J109" s="506">
        <v>17.55</v>
      </c>
      <c r="K109" s="506">
        <v>705.7</v>
      </c>
      <c r="L109" s="506">
        <v>0</v>
      </c>
      <c r="M109" s="506">
        <v>723.25</v>
      </c>
      <c r="N109" s="506">
        <v>95.025931445718001</v>
      </c>
      <c r="O109" s="506">
        <v>-0.10850205653701001</v>
      </c>
      <c r="P109" s="506">
        <v>95.134433502255007</v>
      </c>
      <c r="Q109" s="506">
        <v>0.216255938668968</v>
      </c>
      <c r="R109" s="506">
        <v>942.33869777222003</v>
      </c>
      <c r="S109" s="506">
        <v>24.313371226771501</v>
      </c>
      <c r="T109" s="506">
        <v>0.99491552209685896</v>
      </c>
      <c r="U109" s="506">
        <v>0.12972293459380499</v>
      </c>
      <c r="V109" s="506">
        <v>3.1390003380982398E-6</v>
      </c>
      <c r="W109" s="506">
        <v>2.6431982849501301</v>
      </c>
      <c r="X109" s="506">
        <v>1.10271085621583E-2</v>
      </c>
      <c r="Y109" s="506">
        <v>138.54546808200001</v>
      </c>
      <c r="Z109" s="506">
        <v>0.32676563105</v>
      </c>
      <c r="AA109" s="506">
        <v>0.95783948865553803</v>
      </c>
      <c r="AB109" s="506">
        <v>1.2800449757128501E-3</v>
      </c>
      <c r="AC109" s="506">
        <v>4.4125059184410802E-7</v>
      </c>
      <c r="AD109" s="506">
        <v>0</v>
      </c>
      <c r="AE109" s="506">
        <v>0</v>
      </c>
      <c r="AF109" s="506">
        <v>0</v>
      </c>
      <c r="AG109" s="506">
        <v>0</v>
      </c>
      <c r="AH109" s="506">
        <v>5.4063984667242E-2</v>
      </c>
      <c r="AI109" s="506">
        <v>235.58467444305501</v>
      </c>
      <c r="AJ109" s="506">
        <v>0.30763095238095201</v>
      </c>
      <c r="AK109" s="506">
        <v>17.2892857142857</v>
      </c>
      <c r="AL109" s="506">
        <v>50</v>
      </c>
      <c r="AM109" s="506">
        <v>216.016071428571</v>
      </c>
      <c r="AN109" s="506">
        <v>0</v>
      </c>
      <c r="AO109" s="506">
        <v>0</v>
      </c>
      <c r="AP109" s="506">
        <v>17.55</v>
      </c>
      <c r="AQ109" s="506">
        <v>0.1</v>
      </c>
      <c r="AR109" s="506">
        <v>2.3809523809523799E-3</v>
      </c>
      <c r="AS109" s="506">
        <v>0.71428571428571397</v>
      </c>
      <c r="AT109" s="506">
        <v>50</v>
      </c>
      <c r="AU109" s="506">
        <v>8.8285714285714292</v>
      </c>
      <c r="AV109" s="506">
        <v>0</v>
      </c>
      <c r="AW109" s="506">
        <v>2.3809523809523799E-3</v>
      </c>
      <c r="AX109" s="506">
        <v>0</v>
      </c>
      <c r="AY109" s="506">
        <v>0.1</v>
      </c>
      <c r="AZ109" s="506">
        <v>0.31001190476190499</v>
      </c>
      <c r="BA109" s="506">
        <v>18.003571428571401</v>
      </c>
      <c r="BB109" s="506">
        <v>50</v>
      </c>
      <c r="BC109" s="506">
        <v>224.94464285714301</v>
      </c>
      <c r="BD109" s="506">
        <v>0.30299999999999999</v>
      </c>
      <c r="BE109" s="506">
        <v>4.7619047619047597E-3</v>
      </c>
      <c r="BF109" s="506">
        <v>2.2499999999999998E-3</v>
      </c>
      <c r="BG109" s="506">
        <v>0.1</v>
      </c>
      <c r="BH109" s="506">
        <v>41.85</v>
      </c>
      <c r="BI109" s="506">
        <v>36.162500000000001</v>
      </c>
    </row>
    <row r="110" spans="1:61" ht="12.95" customHeight="1" thickBot="1">
      <c r="A110" s="254" t="s">
        <v>1749</v>
      </c>
      <c r="B110" s="254" t="s">
        <v>92</v>
      </c>
      <c r="C110" s="204"/>
      <c r="D110" s="254"/>
      <c r="E110" s="502"/>
      <c r="F110" s="501"/>
      <c r="G110" s="90"/>
      <c r="H110" s="90"/>
      <c r="I110" s="90"/>
      <c r="J110" s="90"/>
      <c r="K110" s="90"/>
      <c r="L110" s="90"/>
      <c r="M110" s="90"/>
      <c r="N110" s="90"/>
      <c r="O110" s="90"/>
      <c r="P110" s="90"/>
      <c r="Q110" s="90"/>
      <c r="R110" s="90"/>
      <c r="S110" s="90"/>
      <c r="T110" s="90"/>
      <c r="U110" s="90"/>
      <c r="V110" s="90"/>
      <c r="W110" s="90"/>
      <c r="X110" s="90"/>
      <c r="Y110" s="90"/>
      <c r="Z110" s="90"/>
      <c r="AA110" s="90"/>
      <c r="AB110" s="90"/>
      <c r="AC110" s="90"/>
      <c r="AD110" s="90"/>
      <c r="AE110" s="90"/>
      <c r="AF110" s="90"/>
      <c r="AG110" s="90"/>
      <c r="AH110" s="90"/>
      <c r="AI110" s="90"/>
      <c r="AJ110" s="90"/>
      <c r="AK110" s="90"/>
      <c r="AL110" s="90"/>
      <c r="AM110" s="90"/>
      <c r="AN110" s="90"/>
      <c r="AO110" s="90"/>
      <c r="AP110" s="90"/>
      <c r="AQ110" s="90"/>
      <c r="AR110" s="90"/>
      <c r="AS110" s="90"/>
      <c r="AT110" s="90"/>
      <c r="AU110" s="90"/>
      <c r="AV110" s="90"/>
      <c r="AW110" s="90"/>
      <c r="AX110" s="90"/>
      <c r="AY110" s="90"/>
      <c r="AZ110" s="90"/>
      <c r="BA110" s="90"/>
      <c r="BB110" s="90"/>
      <c r="BC110" s="90"/>
      <c r="BD110" s="90"/>
      <c r="BE110" s="90"/>
      <c r="BF110" s="90"/>
      <c r="BG110" s="90"/>
      <c r="BH110" s="90"/>
      <c r="BI110" s="506"/>
    </row>
    <row r="111" spans="1:61" ht="12.95" customHeight="1">
      <c r="A111" s="254" t="s">
        <v>2071</v>
      </c>
      <c r="B111" s="254"/>
      <c r="C111" s="204"/>
      <c r="D111" s="254"/>
      <c r="E111" s="502"/>
      <c r="F111" s="501"/>
      <c r="G111" s="506"/>
      <c r="H111" s="506"/>
      <c r="I111" s="506"/>
      <c r="J111" s="506"/>
      <c r="K111" s="506"/>
      <c r="L111" s="506"/>
      <c r="M111" s="506"/>
      <c r="N111" s="506"/>
      <c r="O111" s="506"/>
      <c r="P111" s="506"/>
      <c r="Q111" s="506"/>
      <c r="R111" s="506"/>
      <c r="S111" s="506"/>
      <c r="T111" s="506"/>
      <c r="U111" s="506"/>
      <c r="V111" s="506"/>
      <c r="W111" s="506"/>
      <c r="X111" s="506"/>
      <c r="Y111" s="506"/>
      <c r="Z111" s="506"/>
      <c r="AA111" s="506"/>
      <c r="AB111" s="506"/>
      <c r="AC111" s="506"/>
      <c r="AD111" s="506"/>
      <c r="AE111" s="506"/>
      <c r="AF111" s="506"/>
      <c r="AG111" s="506"/>
      <c r="AH111" s="506"/>
      <c r="AI111" s="506"/>
      <c r="AJ111" s="506"/>
      <c r="AK111" s="506"/>
      <c r="AL111" s="506"/>
      <c r="AM111" s="506"/>
      <c r="AN111" s="506"/>
      <c r="AO111" s="506"/>
      <c r="AP111" s="506"/>
      <c r="AQ111" s="506"/>
      <c r="AR111" s="506"/>
      <c r="AS111" s="506"/>
      <c r="AT111" s="506"/>
      <c r="AU111" s="506"/>
      <c r="AV111" s="506"/>
      <c r="AW111" s="506"/>
      <c r="AX111" s="506"/>
      <c r="AY111" s="506"/>
      <c r="AZ111" s="506"/>
      <c r="BA111" s="506"/>
      <c r="BB111" s="506"/>
      <c r="BC111" s="506"/>
      <c r="BD111" s="506"/>
      <c r="BE111" s="506"/>
      <c r="BF111" s="506"/>
      <c r="BG111" s="506"/>
      <c r="BH111" s="506"/>
      <c r="BI111" s="506"/>
    </row>
    <row r="112" spans="1:61" ht="12.95" customHeight="1">
      <c r="A112" s="254" t="s">
        <v>1739</v>
      </c>
      <c r="B112" s="254" t="s">
        <v>92</v>
      </c>
      <c r="C112" s="204">
        <v>4</v>
      </c>
      <c r="D112" s="254" t="s">
        <v>1356</v>
      </c>
      <c r="E112" s="502">
        <v>1</v>
      </c>
      <c r="F112" s="501">
        <v>19.841892855037699</v>
      </c>
      <c r="G112" s="506">
        <v>100</v>
      </c>
      <c r="H112" s="506">
        <v>0</v>
      </c>
      <c r="I112" s="506">
        <v>0</v>
      </c>
      <c r="J112" s="506">
        <v>0</v>
      </c>
      <c r="K112" s="506">
        <v>0</v>
      </c>
      <c r="L112" s="506">
        <v>324</v>
      </c>
      <c r="M112" s="506">
        <v>324</v>
      </c>
      <c r="N112" s="506">
        <v>58.6823099403111</v>
      </c>
      <c r="O112" s="506">
        <v>-4.5407015303260898E-2</v>
      </c>
      <c r="P112" s="506">
        <v>58.727716955614397</v>
      </c>
      <c r="Q112" s="506">
        <v>0.16507760446574599</v>
      </c>
      <c r="R112" s="506">
        <v>731.53481808658898</v>
      </c>
      <c r="S112" s="506">
        <v>17.463775107958899</v>
      </c>
      <c r="T112" s="506">
        <v>1.66079604438901E-2</v>
      </c>
      <c r="U112" s="506">
        <v>5.5722637848448497E-2</v>
      </c>
      <c r="V112" s="506">
        <v>4.4888037824987301E-6</v>
      </c>
      <c r="W112" s="506">
        <v>0</v>
      </c>
      <c r="X112" s="506">
        <v>0</v>
      </c>
      <c r="Y112" s="506">
        <v>0</v>
      </c>
      <c r="Z112" s="506">
        <v>0</v>
      </c>
      <c r="AA112" s="506">
        <v>0</v>
      </c>
      <c r="AB112" s="506">
        <v>0</v>
      </c>
      <c r="AC112" s="506">
        <v>0</v>
      </c>
      <c r="AD112" s="506">
        <v>0</v>
      </c>
      <c r="AE112" s="506">
        <v>0</v>
      </c>
      <c r="AF112" s="506">
        <v>0</v>
      </c>
      <c r="AG112" s="506">
        <v>0</v>
      </c>
      <c r="AH112" s="506">
        <v>4.1269401116436601E-2</v>
      </c>
      <c r="AI112" s="506">
        <v>182.88370452164699</v>
      </c>
      <c r="AJ112" s="506">
        <v>0.39111111111111102</v>
      </c>
      <c r="AK112" s="506">
        <v>39.1111111111111</v>
      </c>
      <c r="AL112" s="506">
        <v>25</v>
      </c>
      <c r="AM112" s="506">
        <v>488.88888888888903</v>
      </c>
      <c r="AN112" s="506">
        <v>0</v>
      </c>
      <c r="AO112" s="506">
        <v>0</v>
      </c>
      <c r="AP112" s="506">
        <v>0</v>
      </c>
      <c r="AQ112" s="506">
        <v>0</v>
      </c>
      <c r="AR112" s="506">
        <v>0</v>
      </c>
      <c r="AS112" s="506">
        <v>0</v>
      </c>
      <c r="AT112" s="506">
        <v>25</v>
      </c>
      <c r="AU112" s="506">
        <v>0</v>
      </c>
      <c r="AV112" s="506">
        <v>0</v>
      </c>
      <c r="AW112" s="506">
        <v>0</v>
      </c>
      <c r="AX112" s="506">
        <v>0</v>
      </c>
      <c r="AY112" s="506">
        <v>0</v>
      </c>
      <c r="AZ112" s="506">
        <v>0.39111111111111102</v>
      </c>
      <c r="BA112" s="506">
        <v>39.1111111111111</v>
      </c>
      <c r="BB112" s="506">
        <v>25</v>
      </c>
      <c r="BC112" s="506">
        <v>488.78888888888901</v>
      </c>
      <c r="BD112" s="506">
        <v>0.39111111111111102</v>
      </c>
      <c r="BE112" s="506">
        <v>0</v>
      </c>
      <c r="BF112" s="506">
        <v>0</v>
      </c>
      <c r="BG112" s="506">
        <v>0.1</v>
      </c>
      <c r="BH112" s="506">
        <v>32.4</v>
      </c>
      <c r="BI112" s="506">
        <v>16.2</v>
      </c>
    </row>
    <row r="113" spans="1:61" ht="12.95" customHeight="1">
      <c r="A113" s="254" t="s">
        <v>1740</v>
      </c>
      <c r="B113" s="254" t="s">
        <v>92</v>
      </c>
      <c r="C113" s="204">
        <v>5</v>
      </c>
      <c r="D113" s="254" t="s">
        <v>1357</v>
      </c>
      <c r="E113" s="502">
        <v>1</v>
      </c>
      <c r="F113" s="501">
        <v>0.74401725550273201</v>
      </c>
      <c r="G113" s="506">
        <v>100</v>
      </c>
      <c r="H113" s="506">
        <v>0</v>
      </c>
      <c r="I113" s="506">
        <v>0</v>
      </c>
      <c r="J113" s="506">
        <v>0</v>
      </c>
      <c r="K113" s="506">
        <v>0</v>
      </c>
      <c r="L113" s="506">
        <v>214</v>
      </c>
      <c r="M113" s="506">
        <v>214</v>
      </c>
      <c r="N113" s="506">
        <v>38.748705011370198</v>
      </c>
      <c r="O113" s="506">
        <v>-2.9985040519655198E-2</v>
      </c>
      <c r="P113" s="506">
        <v>38.778690051889903</v>
      </c>
      <c r="Q113" s="506">
        <v>0.108975060071463</v>
      </c>
      <c r="R113" s="506">
        <v>482.676752322379</v>
      </c>
      <c r="S113" s="506">
        <v>11.6143544961453</v>
      </c>
      <c r="T113" s="506">
        <v>1.0964049769587699E-2</v>
      </c>
      <c r="U113" s="506">
        <v>3.6867899296750099E-2</v>
      </c>
      <c r="V113" s="506">
        <v>2.9587280699588199E-6</v>
      </c>
      <c r="W113" s="506">
        <v>0</v>
      </c>
      <c r="X113" s="506">
        <v>0</v>
      </c>
      <c r="Y113" s="506">
        <v>0</v>
      </c>
      <c r="Z113" s="506">
        <v>0</v>
      </c>
      <c r="AA113" s="506">
        <v>0</v>
      </c>
      <c r="AB113" s="506">
        <v>0</v>
      </c>
      <c r="AC113" s="506">
        <v>0</v>
      </c>
      <c r="AD113" s="506">
        <v>0</v>
      </c>
      <c r="AE113" s="506">
        <v>0</v>
      </c>
      <c r="AF113" s="506">
        <v>0</v>
      </c>
      <c r="AG113" s="506">
        <v>0</v>
      </c>
      <c r="AH113" s="506">
        <v>2.7243765017865799E-2</v>
      </c>
      <c r="AI113" s="506">
        <v>120.66918808059501</v>
      </c>
      <c r="AJ113" s="506">
        <v>0.25777777777777799</v>
      </c>
      <c r="AK113" s="506">
        <v>25.7777777777778</v>
      </c>
      <c r="AL113" s="506">
        <v>25</v>
      </c>
      <c r="AM113" s="506">
        <v>322.222222222222</v>
      </c>
      <c r="AN113" s="506">
        <v>0</v>
      </c>
      <c r="AO113" s="506">
        <v>0</v>
      </c>
      <c r="AP113" s="506">
        <v>0</v>
      </c>
      <c r="AQ113" s="506">
        <v>0</v>
      </c>
      <c r="AR113" s="506">
        <v>0</v>
      </c>
      <c r="AS113" s="506">
        <v>0</v>
      </c>
      <c r="AT113" s="506">
        <v>25</v>
      </c>
      <c r="AU113" s="506">
        <v>0</v>
      </c>
      <c r="AV113" s="506">
        <v>0</v>
      </c>
      <c r="AW113" s="506">
        <v>0</v>
      </c>
      <c r="AX113" s="506">
        <v>0</v>
      </c>
      <c r="AY113" s="506">
        <v>0</v>
      </c>
      <c r="AZ113" s="506">
        <v>0.25777777777777799</v>
      </c>
      <c r="BA113" s="506">
        <v>25.7777777777778</v>
      </c>
      <c r="BB113" s="506">
        <v>25</v>
      </c>
      <c r="BC113" s="506">
        <v>322.12222222222198</v>
      </c>
      <c r="BD113" s="506">
        <v>0.25777777777777799</v>
      </c>
      <c r="BE113" s="506">
        <v>0</v>
      </c>
      <c r="BF113" s="506">
        <v>0</v>
      </c>
      <c r="BG113" s="506">
        <v>0.1</v>
      </c>
      <c r="BH113" s="506">
        <v>21.4</v>
      </c>
      <c r="BI113" s="506">
        <v>10.7</v>
      </c>
    </row>
    <row r="114" spans="1:61" ht="12.95" customHeight="1">
      <c r="A114" s="254" t="s">
        <v>1741</v>
      </c>
      <c r="B114" s="254" t="s">
        <v>92</v>
      </c>
      <c r="C114" s="204">
        <v>6</v>
      </c>
      <c r="D114" s="254" t="s">
        <v>1358</v>
      </c>
      <c r="E114" s="502">
        <v>1</v>
      </c>
      <c r="F114" s="501">
        <v>-6.5859778435176999</v>
      </c>
      <c r="G114" s="506">
        <v>100</v>
      </c>
      <c r="H114" s="506">
        <v>0</v>
      </c>
      <c r="I114" s="506">
        <v>0</v>
      </c>
      <c r="J114" s="506">
        <v>0</v>
      </c>
      <c r="K114" s="506">
        <v>0</v>
      </c>
      <c r="L114" s="506">
        <v>171.8</v>
      </c>
      <c r="M114" s="506">
        <v>171.8</v>
      </c>
      <c r="N114" s="506">
        <v>31.100083545176599</v>
      </c>
      <c r="O114" s="506">
        <v>-2.4067835362575001E-2</v>
      </c>
      <c r="P114" s="506">
        <v>31.1241513805392</v>
      </c>
      <c r="Q114" s="506">
        <v>8.7444651264769205E-2</v>
      </c>
      <c r="R114" s="506">
        <v>387.14164190950902</v>
      </c>
      <c r="S114" s="506">
        <v>9.3805665935640405</v>
      </c>
      <c r="T114" s="506">
        <v>8.7981438184279101E-3</v>
      </c>
      <c r="U114" s="506">
        <v>2.9642711194874299E-2</v>
      </c>
      <c r="V114" s="506">
        <v>2.3709494327664401E-6</v>
      </c>
      <c r="W114" s="506">
        <v>0</v>
      </c>
      <c r="X114" s="506">
        <v>0</v>
      </c>
      <c r="Y114" s="506">
        <v>0</v>
      </c>
      <c r="Z114" s="506">
        <v>0</v>
      </c>
      <c r="AA114" s="506">
        <v>0</v>
      </c>
      <c r="AB114" s="506">
        <v>0</v>
      </c>
      <c r="AC114" s="506">
        <v>0</v>
      </c>
      <c r="AD114" s="506">
        <v>0</v>
      </c>
      <c r="AE114" s="506">
        <v>0</v>
      </c>
      <c r="AF114" s="506">
        <v>0</v>
      </c>
      <c r="AG114" s="506">
        <v>0</v>
      </c>
      <c r="AH114" s="506">
        <v>2.1861162816192301E-2</v>
      </c>
      <c r="AI114" s="506">
        <v>96.785410477377198</v>
      </c>
      <c r="AJ114" s="506">
        <v>0.20655555555555599</v>
      </c>
      <c r="AK114" s="506">
        <v>20.655555555555601</v>
      </c>
      <c r="AL114" s="506">
        <v>25</v>
      </c>
      <c r="AM114" s="506">
        <v>258.194444444444</v>
      </c>
      <c r="AN114" s="506">
        <v>0</v>
      </c>
      <c r="AO114" s="506">
        <v>0</v>
      </c>
      <c r="AP114" s="506">
        <v>0</v>
      </c>
      <c r="AQ114" s="506">
        <v>0</v>
      </c>
      <c r="AR114" s="506">
        <v>0</v>
      </c>
      <c r="AS114" s="506">
        <v>0</v>
      </c>
      <c r="AT114" s="506">
        <v>25</v>
      </c>
      <c r="AU114" s="506">
        <v>0</v>
      </c>
      <c r="AV114" s="506">
        <v>0</v>
      </c>
      <c r="AW114" s="506">
        <v>0</v>
      </c>
      <c r="AX114" s="506">
        <v>0</v>
      </c>
      <c r="AY114" s="506">
        <v>0</v>
      </c>
      <c r="AZ114" s="506">
        <v>0.20655555555555599</v>
      </c>
      <c r="BA114" s="506">
        <v>20.655555555555601</v>
      </c>
      <c r="BB114" s="506">
        <v>25</v>
      </c>
      <c r="BC114" s="506">
        <v>258.09444444444398</v>
      </c>
      <c r="BD114" s="506">
        <v>0.20655555555555599</v>
      </c>
      <c r="BE114" s="506">
        <v>0</v>
      </c>
      <c r="BF114" s="506">
        <v>0</v>
      </c>
      <c r="BG114" s="506">
        <v>0.1</v>
      </c>
      <c r="BH114" s="506">
        <v>17.18</v>
      </c>
      <c r="BI114" s="506">
        <v>8.59</v>
      </c>
    </row>
    <row r="115" spans="1:61" ht="12.95" customHeight="1" thickBot="1">
      <c r="A115" s="254" t="s">
        <v>1454</v>
      </c>
      <c r="B115" s="254" t="s">
        <v>92</v>
      </c>
      <c r="C115" s="204">
        <v>7</v>
      </c>
      <c r="D115" s="254" t="s">
        <v>1359</v>
      </c>
      <c r="E115" s="502">
        <v>1</v>
      </c>
      <c r="F115" s="501">
        <v>5.2724268494530602</v>
      </c>
      <c r="G115" s="506">
        <v>100</v>
      </c>
      <c r="H115" s="506">
        <v>0</v>
      </c>
      <c r="I115" s="506">
        <v>0</v>
      </c>
      <c r="J115" s="506">
        <v>0</v>
      </c>
      <c r="K115" s="506">
        <v>0</v>
      </c>
      <c r="L115" s="506">
        <v>194</v>
      </c>
      <c r="M115" s="506">
        <v>194</v>
      </c>
      <c r="N115" s="506">
        <v>43.171123085637902</v>
      </c>
      <c r="O115" s="506">
        <v>-5.4892338616555798E-2</v>
      </c>
      <c r="P115" s="506">
        <v>43.226015424254498</v>
      </c>
      <c r="Q115" s="506">
        <v>0.125309662789714</v>
      </c>
      <c r="R115" s="506">
        <v>531.07853889654598</v>
      </c>
      <c r="S115" s="506">
        <v>97.114592522511401</v>
      </c>
      <c r="T115" s="506">
        <v>1.33452270667225E-2</v>
      </c>
      <c r="U115" s="506">
        <v>5.2552649317337601E-2</v>
      </c>
      <c r="V115" s="506">
        <v>2.55796421920366E-6</v>
      </c>
      <c r="W115" s="506">
        <v>0</v>
      </c>
      <c r="X115" s="506">
        <v>0</v>
      </c>
      <c r="Y115" s="506">
        <v>0</v>
      </c>
      <c r="Z115" s="506">
        <v>0</v>
      </c>
      <c r="AA115" s="506">
        <v>0</v>
      </c>
      <c r="AB115" s="506">
        <v>0</v>
      </c>
      <c r="AC115" s="506">
        <v>0</v>
      </c>
      <c r="AD115" s="506">
        <v>0</v>
      </c>
      <c r="AE115" s="506">
        <v>0</v>
      </c>
      <c r="AF115" s="506">
        <v>0</v>
      </c>
      <c r="AG115" s="506">
        <v>0</v>
      </c>
      <c r="AH115" s="506">
        <v>3.1327415697428501E-2</v>
      </c>
      <c r="AI115" s="506">
        <v>132.76963472413701</v>
      </c>
      <c r="AJ115" s="506">
        <v>0.30777777777777798</v>
      </c>
      <c r="AK115" s="506">
        <v>90.7777777777778</v>
      </c>
      <c r="AL115" s="506">
        <v>25</v>
      </c>
      <c r="AM115" s="506">
        <v>1134.7222222222199</v>
      </c>
      <c r="AN115" s="506">
        <v>0</v>
      </c>
      <c r="AO115" s="506">
        <v>0</v>
      </c>
      <c r="AP115" s="506">
        <v>0</v>
      </c>
      <c r="AQ115" s="506">
        <v>0</v>
      </c>
      <c r="AR115" s="506">
        <v>0</v>
      </c>
      <c r="AS115" s="506">
        <v>0</v>
      </c>
      <c r="AT115" s="506">
        <v>25</v>
      </c>
      <c r="AU115" s="506">
        <v>0</v>
      </c>
      <c r="AV115" s="506">
        <v>0</v>
      </c>
      <c r="AW115" s="506">
        <v>0</v>
      </c>
      <c r="AX115" s="506">
        <v>0</v>
      </c>
      <c r="AY115" s="506">
        <v>0</v>
      </c>
      <c r="AZ115" s="506">
        <v>0.30777777777777798</v>
      </c>
      <c r="BA115" s="506">
        <v>90.7777777777778</v>
      </c>
      <c r="BB115" s="506">
        <v>25</v>
      </c>
      <c r="BC115" s="506">
        <v>1134.62222222222</v>
      </c>
      <c r="BD115" s="506">
        <v>0.30777777777777798</v>
      </c>
      <c r="BE115" s="506">
        <v>0</v>
      </c>
      <c r="BF115" s="506">
        <v>0</v>
      </c>
      <c r="BG115" s="506">
        <v>0.1</v>
      </c>
      <c r="BH115" s="506">
        <v>55.4</v>
      </c>
      <c r="BI115" s="506">
        <v>9.6999999999999993</v>
      </c>
    </row>
    <row r="116" spans="1:61" ht="12.95" customHeight="1" thickBot="1">
      <c r="A116" s="254" t="s">
        <v>2588</v>
      </c>
      <c r="B116" s="254" t="s">
        <v>92</v>
      </c>
      <c r="C116" s="204"/>
      <c r="D116" s="254"/>
      <c r="E116" s="502"/>
      <c r="F116" s="501"/>
      <c r="G116" s="90"/>
      <c r="H116" s="90"/>
      <c r="I116" s="90"/>
      <c r="J116" s="90"/>
      <c r="K116" s="90"/>
      <c r="L116" s="90"/>
      <c r="M116" s="90"/>
      <c r="N116" s="90"/>
      <c r="O116" s="90"/>
      <c r="P116" s="90"/>
      <c r="Q116" s="90"/>
      <c r="R116" s="90"/>
      <c r="S116" s="90"/>
      <c r="T116" s="90"/>
      <c r="U116" s="90"/>
      <c r="V116" s="90"/>
      <c r="W116" s="90"/>
      <c r="X116" s="90"/>
      <c r="Y116" s="90"/>
      <c r="Z116" s="90"/>
      <c r="AA116" s="90"/>
      <c r="AB116" s="90"/>
      <c r="AC116" s="90"/>
      <c r="AD116" s="90"/>
      <c r="AE116" s="90"/>
      <c r="AF116" s="90"/>
      <c r="AG116" s="90"/>
      <c r="AH116" s="90"/>
      <c r="AI116" s="90"/>
      <c r="AJ116" s="90"/>
      <c r="AK116" s="90"/>
      <c r="AL116" s="90"/>
      <c r="AM116" s="90"/>
      <c r="AN116" s="90"/>
      <c r="AO116" s="90"/>
      <c r="AP116" s="90"/>
      <c r="AQ116" s="90"/>
      <c r="AR116" s="90"/>
      <c r="AS116" s="90"/>
      <c r="AT116" s="90"/>
      <c r="AU116" s="90"/>
      <c r="AV116" s="90"/>
      <c r="AW116" s="90"/>
      <c r="AX116" s="90"/>
      <c r="AY116" s="90"/>
      <c r="AZ116" s="90"/>
      <c r="BA116" s="90"/>
      <c r="BB116" s="90"/>
      <c r="BC116" s="90"/>
      <c r="BD116" s="90"/>
      <c r="BE116" s="90"/>
      <c r="BF116" s="90"/>
      <c r="BG116" s="90"/>
      <c r="BH116" s="90"/>
      <c r="BI116" s="506"/>
    </row>
    <row r="117" spans="1:61" ht="12.95" customHeight="1" thickBot="1">
      <c r="A117" s="254" t="s">
        <v>1920</v>
      </c>
      <c r="B117" s="254" t="s">
        <v>92</v>
      </c>
      <c r="C117" s="204">
        <v>8</v>
      </c>
      <c r="D117" s="254" t="s">
        <v>1360</v>
      </c>
      <c r="E117" s="502">
        <v>1</v>
      </c>
      <c r="F117" s="501">
        <v>19.070365401819899</v>
      </c>
      <c r="G117" s="506">
        <v>100</v>
      </c>
      <c r="H117" s="506">
        <v>0</v>
      </c>
      <c r="I117" s="506">
        <v>0</v>
      </c>
      <c r="J117" s="506">
        <v>21.06</v>
      </c>
      <c r="K117" s="506">
        <v>430.32</v>
      </c>
      <c r="L117" s="506">
        <v>0</v>
      </c>
      <c r="M117" s="506">
        <v>451.38</v>
      </c>
      <c r="N117" s="506">
        <v>66.247758953857897</v>
      </c>
      <c r="O117" s="506">
        <v>-0.121471680904521</v>
      </c>
      <c r="P117" s="506">
        <v>66.369230634762403</v>
      </c>
      <c r="Q117" s="506">
        <v>0.169333220222987</v>
      </c>
      <c r="R117" s="506">
        <v>653.53928639335902</v>
      </c>
      <c r="S117" s="506">
        <v>23.1696488854836</v>
      </c>
      <c r="T117" s="506">
        <v>3.0386400625777899E-2</v>
      </c>
      <c r="U117" s="506">
        <v>0.10436275543427501</v>
      </c>
      <c r="V117" s="506">
        <v>2.1532315312510099E-6</v>
      </c>
      <c r="W117" s="506">
        <v>0</v>
      </c>
      <c r="X117" s="506">
        <v>0</v>
      </c>
      <c r="Y117" s="506">
        <v>0</v>
      </c>
      <c r="Z117" s="506">
        <v>0</v>
      </c>
      <c r="AA117" s="506">
        <v>0</v>
      </c>
      <c r="AB117" s="506">
        <v>0</v>
      </c>
      <c r="AC117" s="506">
        <v>0</v>
      </c>
      <c r="AD117" s="506">
        <v>0</v>
      </c>
      <c r="AE117" s="506">
        <v>0</v>
      </c>
      <c r="AF117" s="506">
        <v>0</v>
      </c>
      <c r="AG117" s="506">
        <v>0</v>
      </c>
      <c r="AH117" s="506">
        <v>4.2333305055746798E-2</v>
      </c>
      <c r="AI117" s="506">
        <v>163.38482159834001</v>
      </c>
      <c r="AJ117" s="506">
        <v>0.183</v>
      </c>
      <c r="AK117" s="506">
        <v>10.574999999999999</v>
      </c>
      <c r="AL117" s="506">
        <v>37.5</v>
      </c>
      <c r="AM117" s="506">
        <v>132.08750000000001</v>
      </c>
      <c r="AN117" s="506">
        <v>0</v>
      </c>
      <c r="AO117" s="506">
        <v>0</v>
      </c>
      <c r="AP117" s="506">
        <v>21.06</v>
      </c>
      <c r="AQ117" s="506">
        <v>0.1</v>
      </c>
      <c r="AR117" s="506">
        <v>-2.7755575615628901E-17</v>
      </c>
      <c r="AS117" s="506">
        <v>-1.38777878078145E-15</v>
      </c>
      <c r="AT117" s="506">
        <v>37.5</v>
      </c>
      <c r="AU117" s="506">
        <v>-1.7347234759768099E-14</v>
      </c>
      <c r="AV117" s="506">
        <v>-2.7755575615628901E-17</v>
      </c>
      <c r="AW117" s="506">
        <v>0</v>
      </c>
      <c r="AX117" s="506">
        <v>0</v>
      </c>
      <c r="AY117" s="506">
        <v>0</v>
      </c>
      <c r="AZ117" s="506">
        <v>0.183</v>
      </c>
      <c r="BA117" s="506">
        <v>10.574999999999999</v>
      </c>
      <c r="BB117" s="506">
        <v>37.5</v>
      </c>
      <c r="BC117" s="506">
        <v>132.08750000000001</v>
      </c>
      <c r="BD117" s="506">
        <v>0.18029999999999999</v>
      </c>
      <c r="BE117" s="506">
        <v>0</v>
      </c>
      <c r="BF117" s="506">
        <v>2.7000000000000001E-3</v>
      </c>
      <c r="BG117" s="506">
        <v>0.1</v>
      </c>
      <c r="BH117" s="506">
        <v>29.033999999999999</v>
      </c>
      <c r="BI117" s="506">
        <v>22.568999999999999</v>
      </c>
    </row>
    <row r="118" spans="1:61" ht="12.95" customHeight="1" thickBot="1">
      <c r="A118" s="254" t="s">
        <v>1748</v>
      </c>
      <c r="B118" s="254" t="s">
        <v>92</v>
      </c>
      <c r="C118" s="204"/>
      <c r="D118" s="254"/>
      <c r="E118" s="502"/>
      <c r="F118" s="501"/>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c r="AG118" s="90"/>
      <c r="AH118" s="90"/>
      <c r="AI118" s="90"/>
      <c r="AJ118" s="90"/>
      <c r="AK118" s="90"/>
      <c r="AL118" s="90"/>
      <c r="AM118" s="90"/>
      <c r="AN118" s="90"/>
      <c r="AO118" s="90"/>
      <c r="AP118" s="90"/>
      <c r="AQ118" s="90"/>
      <c r="AR118" s="90"/>
      <c r="AS118" s="90"/>
      <c r="AT118" s="90"/>
      <c r="AU118" s="90"/>
      <c r="AV118" s="90"/>
      <c r="AW118" s="90"/>
      <c r="AX118" s="90"/>
      <c r="AY118" s="90"/>
      <c r="AZ118" s="90"/>
      <c r="BA118" s="90"/>
      <c r="BB118" s="90"/>
      <c r="BC118" s="90"/>
      <c r="BD118" s="90"/>
      <c r="BE118" s="90"/>
      <c r="BF118" s="90"/>
      <c r="BG118" s="90"/>
      <c r="BH118" s="90"/>
      <c r="BI118" s="506"/>
    </row>
    <row r="119" spans="1:61" ht="12.95" customHeight="1" thickBot="1">
      <c r="A119" s="254" t="s">
        <v>1922</v>
      </c>
      <c r="B119" s="254" t="s">
        <v>92</v>
      </c>
      <c r="C119" s="204">
        <v>9</v>
      </c>
      <c r="D119" s="254" t="s">
        <v>1361</v>
      </c>
      <c r="E119" s="502">
        <v>1</v>
      </c>
      <c r="F119" s="501">
        <v>-16.975952300543501</v>
      </c>
      <c r="G119" s="506">
        <v>100</v>
      </c>
      <c r="H119" s="506">
        <v>52.8</v>
      </c>
      <c r="I119" s="506">
        <v>0</v>
      </c>
      <c r="J119" s="506">
        <v>0</v>
      </c>
      <c r="K119" s="506">
        <v>0</v>
      </c>
      <c r="L119" s="506">
        <v>0</v>
      </c>
      <c r="M119" s="506">
        <v>52.8</v>
      </c>
      <c r="N119" s="506">
        <v>-58.259893532131599</v>
      </c>
      <c r="O119" s="506">
        <v>-81.262812045728495</v>
      </c>
      <c r="P119" s="506">
        <v>23.002918513597098</v>
      </c>
      <c r="Q119" s="506">
        <v>0.119485171071394</v>
      </c>
      <c r="R119" s="506">
        <v>394.08021435877799</v>
      </c>
      <c r="S119" s="506">
        <v>930.69989090473302</v>
      </c>
      <c r="T119" s="506">
        <v>3.9981613271880899E-2</v>
      </c>
      <c r="U119" s="506">
        <v>4.8344699917079702E-2</v>
      </c>
      <c r="V119" s="506">
        <v>1.9333391161281101E-6</v>
      </c>
      <c r="W119" s="506">
        <v>0</v>
      </c>
      <c r="X119" s="506">
        <v>0</v>
      </c>
      <c r="Y119" s="506">
        <v>0</v>
      </c>
      <c r="Z119" s="506">
        <v>0</v>
      </c>
      <c r="AA119" s="506">
        <v>0</v>
      </c>
      <c r="AB119" s="506">
        <v>0</v>
      </c>
      <c r="AC119" s="506">
        <v>0</v>
      </c>
      <c r="AD119" s="506">
        <v>0</v>
      </c>
      <c r="AE119" s="506">
        <v>0</v>
      </c>
      <c r="AF119" s="506">
        <v>0</v>
      </c>
      <c r="AG119" s="506">
        <v>0</v>
      </c>
      <c r="AH119" s="506">
        <v>2.98712927678484E-2</v>
      </c>
      <c r="AI119" s="506">
        <v>98.520053589694598</v>
      </c>
      <c r="AJ119" s="506">
        <v>0.12</v>
      </c>
      <c r="AK119" s="506">
        <v>24</v>
      </c>
      <c r="AL119" s="506">
        <v>12.5</v>
      </c>
      <c r="AM119" s="506">
        <v>299.89999999999998</v>
      </c>
      <c r="AN119" s="506">
        <v>52.8</v>
      </c>
      <c r="AO119" s="506">
        <v>0</v>
      </c>
      <c r="AP119" s="506">
        <v>0</v>
      </c>
      <c r="AQ119" s="506">
        <v>0.1</v>
      </c>
      <c r="AR119" s="506">
        <v>0</v>
      </c>
      <c r="AS119" s="506">
        <v>0</v>
      </c>
      <c r="AT119" s="506">
        <v>12.5</v>
      </c>
      <c r="AU119" s="506">
        <v>0</v>
      </c>
      <c r="AV119" s="506">
        <v>0</v>
      </c>
      <c r="AW119" s="506">
        <v>0</v>
      </c>
      <c r="AX119" s="506">
        <v>0</v>
      </c>
      <c r="AY119" s="506">
        <v>0</v>
      </c>
      <c r="AZ119" s="506">
        <v>0.12</v>
      </c>
      <c r="BA119" s="506">
        <v>24</v>
      </c>
      <c r="BB119" s="506">
        <v>12.5</v>
      </c>
      <c r="BC119" s="506">
        <v>300</v>
      </c>
      <c r="BD119" s="506">
        <v>0</v>
      </c>
      <c r="BE119" s="506">
        <v>0</v>
      </c>
      <c r="BF119" s="506">
        <v>0</v>
      </c>
      <c r="BG119" s="506">
        <v>0</v>
      </c>
      <c r="BH119" s="506">
        <v>10.56</v>
      </c>
      <c r="BI119" s="506">
        <v>2.64</v>
      </c>
    </row>
    <row r="120" spans="1:61" ht="12.95" customHeight="1" thickBot="1">
      <c r="A120" s="254" t="s">
        <v>1747</v>
      </c>
      <c r="B120" s="254" t="s">
        <v>92</v>
      </c>
      <c r="C120" s="204"/>
      <c r="D120" s="254"/>
      <c r="E120" s="502"/>
      <c r="F120" s="501"/>
      <c r="G120" s="90"/>
      <c r="H120" s="90"/>
      <c r="I120" s="90"/>
      <c r="J120" s="90"/>
      <c r="K120" s="90"/>
      <c r="L120" s="90"/>
      <c r="M120" s="90"/>
      <c r="N120" s="90"/>
      <c r="O120" s="90"/>
      <c r="P120" s="90"/>
      <c r="Q120" s="90"/>
      <c r="R120" s="90"/>
      <c r="S120" s="90"/>
      <c r="T120" s="90"/>
      <c r="U120" s="90"/>
      <c r="V120" s="90"/>
      <c r="W120" s="90"/>
      <c r="X120" s="90"/>
      <c r="Y120" s="90"/>
      <c r="Z120" s="90"/>
      <c r="AA120" s="90"/>
      <c r="AB120" s="90"/>
      <c r="AC120" s="90"/>
      <c r="AD120" s="90"/>
      <c r="AE120" s="90"/>
      <c r="AF120" s="90"/>
      <c r="AG120" s="90"/>
      <c r="AH120" s="90"/>
      <c r="AI120" s="90"/>
      <c r="AJ120" s="90"/>
      <c r="AK120" s="90"/>
      <c r="AL120" s="90"/>
      <c r="AM120" s="90"/>
      <c r="AN120" s="90"/>
      <c r="AO120" s="90"/>
      <c r="AP120" s="90"/>
      <c r="AQ120" s="90"/>
      <c r="AR120" s="90"/>
      <c r="AS120" s="90"/>
      <c r="AT120" s="90"/>
      <c r="AU120" s="90"/>
      <c r="AV120" s="90"/>
      <c r="AW120" s="90"/>
      <c r="AX120" s="90"/>
      <c r="AY120" s="90"/>
      <c r="AZ120" s="90"/>
      <c r="BA120" s="90"/>
      <c r="BB120" s="90"/>
      <c r="BC120" s="90"/>
      <c r="BD120" s="90"/>
      <c r="BE120" s="90"/>
      <c r="BF120" s="90"/>
      <c r="BG120" s="90"/>
      <c r="BH120" s="90"/>
      <c r="BI120" s="506"/>
    </row>
    <row r="121" spans="1:61" ht="12.95" customHeight="1" thickBot="1">
      <c r="A121" s="254" t="s">
        <v>2307</v>
      </c>
      <c r="B121" s="254" t="s">
        <v>92</v>
      </c>
      <c r="C121" s="204"/>
      <c r="D121" s="254"/>
      <c r="E121" s="502"/>
      <c r="F121" s="501"/>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c r="AH121" s="90"/>
      <c r="AI121" s="90"/>
      <c r="AJ121" s="90"/>
      <c r="AK121" s="90"/>
      <c r="AL121" s="90"/>
      <c r="AM121" s="90"/>
      <c r="AN121" s="90"/>
      <c r="AO121" s="90"/>
      <c r="AP121" s="90"/>
      <c r="AQ121" s="90"/>
      <c r="AR121" s="90"/>
      <c r="AS121" s="90"/>
      <c r="AT121" s="90"/>
      <c r="AU121" s="90"/>
      <c r="AV121" s="90"/>
      <c r="AW121" s="90"/>
      <c r="AX121" s="90"/>
      <c r="AY121" s="90"/>
      <c r="AZ121" s="90"/>
      <c r="BA121" s="90"/>
      <c r="BB121" s="90"/>
      <c r="BC121" s="90"/>
      <c r="BD121" s="90"/>
      <c r="BE121" s="90"/>
      <c r="BF121" s="90"/>
      <c r="BG121" s="90"/>
      <c r="BH121" s="90"/>
      <c r="BI121" s="506"/>
    </row>
    <row r="122" spans="1:61" ht="12.95" customHeight="1">
      <c r="A122" s="254" t="s">
        <v>2071</v>
      </c>
      <c r="B122" s="254"/>
      <c r="C122" s="204"/>
      <c r="D122" s="254"/>
      <c r="E122" s="502"/>
      <c r="F122" s="501"/>
      <c r="G122" s="506"/>
      <c r="H122" s="506"/>
      <c r="I122" s="506"/>
      <c r="J122" s="506"/>
      <c r="K122" s="506"/>
      <c r="L122" s="506"/>
      <c r="M122" s="506"/>
      <c r="N122" s="506"/>
      <c r="O122" s="506"/>
      <c r="P122" s="506"/>
      <c r="Q122" s="506"/>
      <c r="R122" s="506"/>
      <c r="S122" s="506"/>
      <c r="T122" s="506"/>
      <c r="U122" s="506"/>
      <c r="V122" s="506"/>
      <c r="W122" s="506"/>
      <c r="X122" s="506"/>
      <c r="Y122" s="506"/>
      <c r="Z122" s="506"/>
      <c r="AA122" s="506"/>
      <c r="AB122" s="506"/>
      <c r="AC122" s="506"/>
      <c r="AD122" s="506"/>
      <c r="AE122" s="506"/>
      <c r="AF122" s="506"/>
      <c r="AG122" s="506"/>
      <c r="AH122" s="506"/>
      <c r="AI122" s="506"/>
      <c r="AJ122" s="506"/>
      <c r="AK122" s="506"/>
      <c r="AL122" s="506"/>
      <c r="AM122" s="506"/>
      <c r="AN122" s="506"/>
      <c r="AO122" s="506"/>
      <c r="AP122" s="506"/>
      <c r="AQ122" s="506"/>
      <c r="AR122" s="506"/>
      <c r="AS122" s="506"/>
      <c r="AT122" s="506"/>
      <c r="AU122" s="506"/>
      <c r="AV122" s="506"/>
      <c r="AW122" s="506"/>
      <c r="AX122" s="506"/>
      <c r="AY122" s="506"/>
      <c r="AZ122" s="506"/>
      <c r="BA122" s="506"/>
      <c r="BB122" s="506"/>
      <c r="BC122" s="506"/>
      <c r="BD122" s="506"/>
      <c r="BE122" s="506"/>
      <c r="BF122" s="506"/>
      <c r="BG122" s="506"/>
      <c r="BH122" s="506"/>
      <c r="BI122" s="506"/>
    </row>
    <row r="123" spans="1:61" ht="12.95" customHeight="1">
      <c r="A123" s="254" t="s">
        <v>2580</v>
      </c>
      <c r="B123" s="254" t="s">
        <v>93</v>
      </c>
      <c r="C123" s="204">
        <v>10</v>
      </c>
      <c r="D123" s="254" t="s">
        <v>1362</v>
      </c>
      <c r="E123" s="502">
        <v>1</v>
      </c>
      <c r="F123" s="501">
        <v>53.099443245036902</v>
      </c>
      <c r="G123" s="506">
        <v>70</v>
      </c>
      <c r="H123" s="506">
        <v>49.5</v>
      </c>
      <c r="I123" s="506">
        <v>0</v>
      </c>
      <c r="J123" s="506">
        <v>0</v>
      </c>
      <c r="K123" s="506">
        <v>0</v>
      </c>
      <c r="L123" s="506">
        <v>18</v>
      </c>
      <c r="M123" s="506">
        <v>67.5</v>
      </c>
      <c r="N123" s="506">
        <v>-16.988885877130699</v>
      </c>
      <c r="O123" s="506">
        <v>-81.765882910983194</v>
      </c>
      <c r="P123" s="506">
        <v>64.776997033852595</v>
      </c>
      <c r="Q123" s="506">
        <v>0.39239006590419101</v>
      </c>
      <c r="R123" s="506">
        <v>1198.3674631199999</v>
      </c>
      <c r="S123" s="506">
        <v>1278.3435988686999</v>
      </c>
      <c r="T123" s="506">
        <v>6.4618412095656497E-2</v>
      </c>
      <c r="U123" s="506">
        <v>0.17726848616118401</v>
      </c>
      <c r="V123" s="506">
        <v>6.1743967564118403E-6</v>
      </c>
      <c r="W123" s="506">
        <v>44.167496151632001</v>
      </c>
      <c r="X123" s="506">
        <v>0.27570963955633598</v>
      </c>
      <c r="Y123" s="506">
        <v>832.488387062828</v>
      </c>
      <c r="Z123" s="506">
        <v>49.010085097435798</v>
      </c>
      <c r="AA123" s="506">
        <v>3.0042195517528E-2</v>
      </c>
      <c r="AB123" s="506">
        <v>0.124354263253458</v>
      </c>
      <c r="AC123" s="506">
        <v>4.3895158286535904E-6</v>
      </c>
      <c r="AD123" s="506">
        <v>0</v>
      </c>
      <c r="AE123" s="506">
        <v>0</v>
      </c>
      <c r="AF123" s="506">
        <v>0</v>
      </c>
      <c r="AG123" s="506">
        <v>0</v>
      </c>
      <c r="AH123" s="506">
        <v>9.8097516476047794E-2</v>
      </c>
      <c r="AI123" s="506">
        <v>299.59186577999901</v>
      </c>
      <c r="AJ123" s="506">
        <v>1</v>
      </c>
      <c r="AK123" s="506">
        <v>290</v>
      </c>
      <c r="AL123" s="506">
        <v>25</v>
      </c>
      <c r="AM123" s="506">
        <v>3625</v>
      </c>
      <c r="AN123" s="506">
        <v>49.5</v>
      </c>
      <c r="AO123" s="506">
        <v>0</v>
      </c>
      <c r="AP123" s="506">
        <v>0</v>
      </c>
      <c r="AQ123" s="506">
        <v>0</v>
      </c>
      <c r="AR123" s="506">
        <v>18</v>
      </c>
      <c r="AS123" s="506">
        <v>5400</v>
      </c>
      <c r="AT123" s="506">
        <v>25</v>
      </c>
      <c r="AU123" s="506">
        <v>67499.899999999994</v>
      </c>
      <c r="AV123" s="506">
        <v>18</v>
      </c>
      <c r="AW123" s="506">
        <v>0</v>
      </c>
      <c r="AX123" s="506">
        <v>0</v>
      </c>
      <c r="AY123" s="506">
        <v>0.1</v>
      </c>
      <c r="AZ123" s="506">
        <v>19</v>
      </c>
      <c r="BA123" s="506">
        <v>5690</v>
      </c>
      <c r="BB123" s="506">
        <v>25</v>
      </c>
      <c r="BC123" s="506">
        <v>71124.899999999994</v>
      </c>
      <c r="BD123" s="506">
        <v>18.899999999999999</v>
      </c>
      <c r="BE123" s="506">
        <v>0.1</v>
      </c>
      <c r="BF123" s="506">
        <v>0</v>
      </c>
      <c r="BG123" s="506">
        <v>0.1</v>
      </c>
      <c r="BH123" s="506">
        <v>15.3</v>
      </c>
      <c r="BI123" s="506">
        <v>3.375</v>
      </c>
    </row>
    <row r="124" spans="1:61" ht="12.95" customHeight="1">
      <c r="A124" s="254" t="s">
        <v>1750</v>
      </c>
      <c r="B124" s="254" t="s">
        <v>93</v>
      </c>
      <c r="C124" s="204">
        <v>11</v>
      </c>
      <c r="D124" s="254" t="s">
        <v>1363</v>
      </c>
      <c r="E124" s="502">
        <v>1</v>
      </c>
      <c r="F124" s="501">
        <v>103.707101756913</v>
      </c>
      <c r="G124" s="506">
        <v>70</v>
      </c>
      <c r="H124" s="506">
        <v>126</v>
      </c>
      <c r="I124" s="506">
        <v>0</v>
      </c>
      <c r="J124" s="506">
        <v>0</v>
      </c>
      <c r="K124" s="506">
        <v>0</v>
      </c>
      <c r="L124" s="506">
        <v>0</v>
      </c>
      <c r="M124" s="506">
        <v>126</v>
      </c>
      <c r="N124" s="506">
        <v>-55.2388505418972</v>
      </c>
      <c r="O124" s="506">
        <v>-184.934531865906</v>
      </c>
      <c r="P124" s="506">
        <v>129.695681324009</v>
      </c>
      <c r="Q124" s="506">
        <v>0.47939754058332801</v>
      </c>
      <c r="R124" s="506">
        <v>2559.81714308356</v>
      </c>
      <c r="S124" s="506">
        <v>2438.6451583000398</v>
      </c>
      <c r="T124" s="506">
        <v>7.8767726867211493E-2</v>
      </c>
      <c r="U124" s="506">
        <v>0.19748415074407399</v>
      </c>
      <c r="V124" s="506">
        <v>1.08655950670921E-5</v>
      </c>
      <c r="W124" s="506">
        <v>109.086180441788</v>
      </c>
      <c r="X124" s="506">
        <v>0.36271711423547198</v>
      </c>
      <c r="Y124" s="506">
        <v>2193.9380670263999</v>
      </c>
      <c r="Z124" s="506">
        <v>1209.3116445287801</v>
      </c>
      <c r="AA124" s="506">
        <v>4.4191510289082997E-2</v>
      </c>
      <c r="AB124" s="506">
        <v>0.14456992783634801</v>
      </c>
      <c r="AC124" s="506">
        <v>9.0807141393338393E-6</v>
      </c>
      <c r="AD124" s="506">
        <v>0</v>
      </c>
      <c r="AE124" s="506">
        <v>0</v>
      </c>
      <c r="AF124" s="506">
        <v>0</v>
      </c>
      <c r="AG124" s="506">
        <v>0</v>
      </c>
      <c r="AH124" s="506">
        <v>0.119849385145832</v>
      </c>
      <c r="AI124" s="506">
        <v>639.95428577089103</v>
      </c>
      <c r="AJ124" s="506">
        <v>1</v>
      </c>
      <c r="AK124" s="506">
        <v>290</v>
      </c>
      <c r="AL124" s="506">
        <v>25</v>
      </c>
      <c r="AM124" s="506">
        <v>3625</v>
      </c>
      <c r="AN124" s="506">
        <v>126</v>
      </c>
      <c r="AO124" s="506">
        <v>0</v>
      </c>
      <c r="AP124" s="506">
        <v>0</v>
      </c>
      <c r="AQ124" s="506">
        <v>0</v>
      </c>
      <c r="AR124" s="506">
        <v>0</v>
      </c>
      <c r="AS124" s="506">
        <v>0</v>
      </c>
      <c r="AT124" s="506">
        <v>25</v>
      </c>
      <c r="AU124" s="506">
        <v>0</v>
      </c>
      <c r="AV124" s="506">
        <v>0</v>
      </c>
      <c r="AW124" s="506">
        <v>0</v>
      </c>
      <c r="AX124" s="506">
        <v>0</v>
      </c>
      <c r="AY124" s="506">
        <v>0</v>
      </c>
      <c r="AZ124" s="506">
        <v>1</v>
      </c>
      <c r="BA124" s="506">
        <v>290</v>
      </c>
      <c r="BB124" s="506">
        <v>25</v>
      </c>
      <c r="BC124" s="506">
        <v>3624.9</v>
      </c>
      <c r="BD124" s="506">
        <v>0</v>
      </c>
      <c r="BE124" s="506">
        <v>1</v>
      </c>
      <c r="BF124" s="506">
        <v>0</v>
      </c>
      <c r="BG124" s="506">
        <v>0.1</v>
      </c>
      <c r="BH124" s="506">
        <v>32.85</v>
      </c>
      <c r="BI124" s="506">
        <v>6.3</v>
      </c>
    </row>
    <row r="125" spans="1:61" ht="12.95" customHeight="1">
      <c r="A125" s="254" t="s">
        <v>1751</v>
      </c>
      <c r="B125" s="254" t="s">
        <v>93</v>
      </c>
      <c r="C125" s="204">
        <v>12</v>
      </c>
      <c r="D125" s="254" t="s">
        <v>1364</v>
      </c>
      <c r="E125" s="502">
        <v>1</v>
      </c>
      <c r="F125" s="501">
        <v>16.230042942052499</v>
      </c>
      <c r="G125" s="506">
        <v>70</v>
      </c>
      <c r="H125" s="506">
        <v>76.5</v>
      </c>
      <c r="I125" s="506">
        <v>0</v>
      </c>
      <c r="J125" s="506">
        <v>0</v>
      </c>
      <c r="K125" s="506">
        <v>0</v>
      </c>
      <c r="L125" s="506">
        <v>0</v>
      </c>
      <c r="M125" s="506">
        <v>76.5</v>
      </c>
      <c r="N125" s="506">
        <v>-46.6543240562767</v>
      </c>
      <c r="O125" s="506">
        <v>-125.18019922534501</v>
      </c>
      <c r="P125" s="506">
        <v>78.5258751690683</v>
      </c>
      <c r="Q125" s="506">
        <v>0.22781233368877099</v>
      </c>
      <c r="R125" s="506">
        <v>898.92357378787199</v>
      </c>
      <c r="S125" s="506">
        <v>1244.6472149346</v>
      </c>
      <c r="T125" s="506">
        <v>5.3691898393830498E-2</v>
      </c>
      <c r="U125" s="506">
        <v>9.8101931007924206E-2</v>
      </c>
      <c r="V125" s="506">
        <v>5.2978544734645604E-6</v>
      </c>
      <c r="W125" s="506">
        <v>57.916374286847798</v>
      </c>
      <c r="X125" s="506">
        <v>0.11113190734091601</v>
      </c>
      <c r="Y125" s="506">
        <v>533.04449773070405</v>
      </c>
      <c r="Z125" s="506">
        <v>15.313701163337599</v>
      </c>
      <c r="AA125" s="506">
        <v>1.9115681815702001E-2</v>
      </c>
      <c r="AB125" s="506">
        <v>4.5187708100198197E-2</v>
      </c>
      <c r="AC125" s="506">
        <v>3.51297354570631E-6</v>
      </c>
      <c r="AD125" s="506">
        <v>0</v>
      </c>
      <c r="AE125" s="506">
        <v>0</v>
      </c>
      <c r="AF125" s="506">
        <v>0</v>
      </c>
      <c r="AG125" s="506">
        <v>0</v>
      </c>
      <c r="AH125" s="506">
        <v>5.6953083422192803E-2</v>
      </c>
      <c r="AI125" s="506">
        <v>224.730893446968</v>
      </c>
      <c r="AJ125" s="506">
        <v>1</v>
      </c>
      <c r="AK125" s="506">
        <v>290</v>
      </c>
      <c r="AL125" s="506">
        <v>25</v>
      </c>
      <c r="AM125" s="506">
        <v>3625</v>
      </c>
      <c r="AN125" s="506">
        <v>76.5</v>
      </c>
      <c r="AO125" s="506">
        <v>0</v>
      </c>
      <c r="AP125" s="506">
        <v>0</v>
      </c>
      <c r="AQ125" s="506">
        <v>0</v>
      </c>
      <c r="AR125" s="506">
        <v>0</v>
      </c>
      <c r="AS125" s="506">
        <v>0</v>
      </c>
      <c r="AT125" s="506">
        <v>25</v>
      </c>
      <c r="AU125" s="506">
        <v>0</v>
      </c>
      <c r="AV125" s="506">
        <v>0</v>
      </c>
      <c r="AW125" s="506">
        <v>0</v>
      </c>
      <c r="AX125" s="506">
        <v>0</v>
      </c>
      <c r="AY125" s="506">
        <v>0</v>
      </c>
      <c r="AZ125" s="506">
        <v>1</v>
      </c>
      <c r="BA125" s="506">
        <v>290</v>
      </c>
      <c r="BB125" s="506">
        <v>25</v>
      </c>
      <c r="BC125" s="506">
        <v>3624.9</v>
      </c>
      <c r="BD125" s="506">
        <v>0</v>
      </c>
      <c r="BE125" s="506">
        <v>1</v>
      </c>
      <c r="BF125" s="506">
        <v>0</v>
      </c>
      <c r="BG125" s="506">
        <v>0.1</v>
      </c>
      <c r="BH125" s="506">
        <v>18</v>
      </c>
      <c r="BI125" s="506">
        <v>3.8250000000000002</v>
      </c>
    </row>
    <row r="126" spans="1:61" ht="12.95" customHeight="1">
      <c r="A126" s="254" t="s">
        <v>1927</v>
      </c>
      <c r="B126" s="254" t="s">
        <v>93</v>
      </c>
      <c r="C126" s="204">
        <v>13</v>
      </c>
      <c r="D126" s="254" t="s">
        <v>1365</v>
      </c>
      <c r="E126" s="502">
        <v>1</v>
      </c>
      <c r="F126" s="501">
        <v>8.7189502948604893</v>
      </c>
      <c r="G126" s="506">
        <v>70</v>
      </c>
      <c r="H126" s="506">
        <v>2</v>
      </c>
      <c r="I126" s="506">
        <v>0</v>
      </c>
      <c r="J126" s="506">
        <v>0</v>
      </c>
      <c r="K126" s="506">
        <v>0</v>
      </c>
      <c r="L126" s="506">
        <v>0</v>
      </c>
      <c r="M126" s="506">
        <v>99</v>
      </c>
      <c r="N126" s="506">
        <v>-104.954670939873</v>
      </c>
      <c r="O126" s="506">
        <v>-153.32750372332501</v>
      </c>
      <c r="P126" s="506">
        <v>48.372832783451599</v>
      </c>
      <c r="Q126" s="506">
        <v>0.28871728963816901</v>
      </c>
      <c r="R126" s="506">
        <v>721.47270499250396</v>
      </c>
      <c r="S126" s="506">
        <v>1299.3984318719199</v>
      </c>
      <c r="T126" s="506">
        <v>4.8676309093821701E-2</v>
      </c>
      <c r="U126" s="506">
        <v>0.122826446266193</v>
      </c>
      <c r="V126" s="506">
        <v>3.8283463631517298E-6</v>
      </c>
      <c r="W126" s="506">
        <v>27.763331901231101</v>
      </c>
      <c r="X126" s="506">
        <v>0.17203686329031301</v>
      </c>
      <c r="Y126" s="506">
        <v>355.59362893533603</v>
      </c>
      <c r="Z126" s="506">
        <v>70.064918100654396</v>
      </c>
      <c r="AA126" s="506">
        <v>1.41000925156932E-2</v>
      </c>
      <c r="AB126" s="506">
        <v>6.9912223358467099E-2</v>
      </c>
      <c r="AC126" s="506">
        <v>2.0434654353934901E-6</v>
      </c>
      <c r="AD126" s="506">
        <v>0</v>
      </c>
      <c r="AE126" s="506">
        <v>0</v>
      </c>
      <c r="AF126" s="506">
        <v>0</v>
      </c>
      <c r="AG126" s="506">
        <v>0</v>
      </c>
      <c r="AH126" s="506">
        <v>7.2179322409542307E-2</v>
      </c>
      <c r="AI126" s="506">
        <v>180.36817624812599</v>
      </c>
      <c r="AJ126" s="506">
        <v>1</v>
      </c>
      <c r="AK126" s="506">
        <v>290</v>
      </c>
      <c r="AL126" s="506">
        <v>25</v>
      </c>
      <c r="AM126" s="506">
        <v>3625</v>
      </c>
      <c r="AN126" s="506">
        <v>2</v>
      </c>
      <c r="AO126" s="506">
        <v>0</v>
      </c>
      <c r="AP126" s="506">
        <v>0</v>
      </c>
      <c r="AQ126" s="506">
        <v>0</v>
      </c>
      <c r="AR126" s="506">
        <v>0</v>
      </c>
      <c r="AS126" s="506">
        <v>0</v>
      </c>
      <c r="AT126" s="506">
        <v>25</v>
      </c>
      <c r="AU126" s="506">
        <v>0</v>
      </c>
      <c r="AV126" s="506">
        <v>0</v>
      </c>
      <c r="AW126" s="506">
        <v>0</v>
      </c>
      <c r="AX126" s="506">
        <v>0</v>
      </c>
      <c r="AY126" s="506">
        <v>0</v>
      </c>
      <c r="AZ126" s="506">
        <v>1</v>
      </c>
      <c r="BA126" s="506">
        <v>290</v>
      </c>
      <c r="BB126" s="506">
        <v>25</v>
      </c>
      <c r="BC126" s="506">
        <v>3624.9</v>
      </c>
      <c r="BD126" s="506">
        <v>0</v>
      </c>
      <c r="BE126" s="506">
        <v>1</v>
      </c>
      <c r="BF126" s="506">
        <v>0</v>
      </c>
      <c r="BG126" s="506">
        <v>0.1</v>
      </c>
      <c r="BH126" s="506">
        <v>24.75</v>
      </c>
      <c r="BI126" s="506">
        <v>4.95</v>
      </c>
    </row>
    <row r="127" spans="1:61" ht="12.95" customHeight="1" thickBot="1">
      <c r="A127" s="254" t="s">
        <v>2581</v>
      </c>
      <c r="B127" s="254" t="s">
        <v>93</v>
      </c>
      <c r="C127" s="204">
        <v>14</v>
      </c>
      <c r="D127" s="254" t="s">
        <v>1366</v>
      </c>
      <c r="E127" s="502">
        <v>1</v>
      </c>
      <c r="F127" s="501">
        <v>52.179543183858001</v>
      </c>
      <c r="G127" s="506">
        <v>70</v>
      </c>
      <c r="H127" s="506">
        <v>18.533000000000001</v>
      </c>
      <c r="I127" s="506">
        <v>0</v>
      </c>
      <c r="J127" s="506">
        <v>0</v>
      </c>
      <c r="K127" s="506">
        <v>0</v>
      </c>
      <c r="L127" s="506">
        <v>19.46</v>
      </c>
      <c r="M127" s="506">
        <v>37.993000000000002</v>
      </c>
      <c r="N127" s="506">
        <v>29.4923796931539</v>
      </c>
      <c r="O127" s="506">
        <v>-28.5538316741134</v>
      </c>
      <c r="P127" s="506">
        <v>58.046211367267198</v>
      </c>
      <c r="Q127" s="506">
        <v>0.35141107230302998</v>
      </c>
      <c r="R127" s="506">
        <v>1102.28010783785</v>
      </c>
      <c r="S127" s="506">
        <v>514.91796850390097</v>
      </c>
      <c r="T127" s="506">
        <v>4.2749727847286402E-2</v>
      </c>
      <c r="U127" s="506">
        <v>0.15587181429467101</v>
      </c>
      <c r="V127" s="506">
        <v>5.6773755283863997E-6</v>
      </c>
      <c r="W127" s="506">
        <v>47.7499708394866</v>
      </c>
      <c r="X127" s="506">
        <v>0.298072754764794</v>
      </c>
      <c r="Y127" s="506">
        <v>900.01244512459095</v>
      </c>
      <c r="Z127" s="506">
        <v>52.985347555338898</v>
      </c>
      <c r="AA127" s="506">
        <v>3.2478951376172002E-2</v>
      </c>
      <c r="AB127" s="506">
        <v>0.134440775717349</v>
      </c>
      <c r="AC127" s="506">
        <v>4.7455543347554904E-6</v>
      </c>
      <c r="AD127" s="506">
        <v>0</v>
      </c>
      <c r="AE127" s="506">
        <v>0</v>
      </c>
      <c r="AF127" s="506">
        <v>0</v>
      </c>
      <c r="AG127" s="506">
        <v>0</v>
      </c>
      <c r="AH127" s="506">
        <v>8.7852768075757606E-2</v>
      </c>
      <c r="AI127" s="506">
        <v>275.57002695946198</v>
      </c>
      <c r="AJ127" s="506">
        <v>1</v>
      </c>
      <c r="AK127" s="506">
        <v>300</v>
      </c>
      <c r="AL127" s="506">
        <v>37.5</v>
      </c>
      <c r="AM127" s="506">
        <v>3750</v>
      </c>
      <c r="AN127" s="506">
        <v>18.533000000000001</v>
      </c>
      <c r="AO127" s="506">
        <v>0</v>
      </c>
      <c r="AP127" s="506">
        <v>0</v>
      </c>
      <c r="AQ127" s="506">
        <v>0</v>
      </c>
      <c r="AR127" s="506">
        <v>19.46</v>
      </c>
      <c r="AS127" s="506">
        <v>5838</v>
      </c>
      <c r="AT127" s="506">
        <v>37.5</v>
      </c>
      <c r="AU127" s="506">
        <v>72974.899999999994</v>
      </c>
      <c r="AV127" s="506">
        <v>19.46</v>
      </c>
      <c r="AW127" s="506">
        <v>0</v>
      </c>
      <c r="AX127" s="506">
        <v>0</v>
      </c>
      <c r="AY127" s="506">
        <v>0.1</v>
      </c>
      <c r="AZ127" s="506">
        <v>20.46</v>
      </c>
      <c r="BA127" s="506">
        <v>6138</v>
      </c>
      <c r="BB127" s="506">
        <v>37.5</v>
      </c>
      <c r="BC127" s="506">
        <v>76724.899999999994</v>
      </c>
      <c r="BD127" s="506">
        <v>20.433</v>
      </c>
      <c r="BE127" s="506">
        <v>2.7E-2</v>
      </c>
      <c r="BF127" s="506">
        <v>0</v>
      </c>
      <c r="BG127" s="506">
        <v>0.1</v>
      </c>
      <c r="BH127" s="506">
        <v>11.3979</v>
      </c>
      <c r="BI127" s="506">
        <v>1.8996500000000001</v>
      </c>
    </row>
    <row r="128" spans="1:61" ht="12.95" customHeight="1" thickBot="1">
      <c r="A128" s="254" t="s">
        <v>1889</v>
      </c>
      <c r="B128" s="254" t="s">
        <v>93</v>
      </c>
      <c r="C128" s="204"/>
      <c r="D128" s="254"/>
      <c r="E128" s="502"/>
      <c r="F128" s="501"/>
      <c r="G128" s="90"/>
      <c r="H128" s="90"/>
      <c r="I128" s="90"/>
      <c r="J128" s="90"/>
      <c r="K128" s="90"/>
      <c r="L128" s="90"/>
      <c r="M128" s="90"/>
      <c r="N128" s="90"/>
      <c r="O128" s="90"/>
      <c r="P128" s="90"/>
      <c r="Q128" s="90"/>
      <c r="R128" s="90"/>
      <c r="S128" s="90"/>
      <c r="T128" s="90"/>
      <c r="U128" s="90"/>
      <c r="V128" s="90"/>
      <c r="W128" s="90"/>
      <c r="X128" s="90"/>
      <c r="Y128" s="90"/>
      <c r="Z128" s="90"/>
      <c r="AA128" s="90"/>
      <c r="AB128" s="90"/>
      <c r="AC128" s="90"/>
      <c r="AD128" s="90"/>
      <c r="AE128" s="90"/>
      <c r="AF128" s="90"/>
      <c r="AG128" s="90"/>
      <c r="AH128" s="90"/>
      <c r="AI128" s="90"/>
      <c r="AJ128" s="90"/>
      <c r="AK128" s="90"/>
      <c r="AL128" s="90"/>
      <c r="AM128" s="90"/>
      <c r="AN128" s="90"/>
      <c r="AO128" s="90"/>
      <c r="AP128" s="90"/>
      <c r="AQ128" s="90"/>
      <c r="AR128" s="90"/>
      <c r="AS128" s="90"/>
      <c r="AT128" s="90"/>
      <c r="AU128" s="90"/>
      <c r="AV128" s="90"/>
      <c r="AW128" s="90"/>
      <c r="AX128" s="90"/>
      <c r="AY128" s="90"/>
      <c r="AZ128" s="90"/>
      <c r="BA128" s="90"/>
      <c r="BB128" s="90"/>
      <c r="BC128" s="90"/>
      <c r="BD128" s="90"/>
      <c r="BE128" s="90"/>
      <c r="BF128" s="90"/>
      <c r="BG128" s="90"/>
      <c r="BH128" s="90"/>
      <c r="BI128" s="506"/>
    </row>
    <row r="129" spans="1:61" ht="12.95" customHeight="1">
      <c r="A129" s="254" t="s">
        <v>2071</v>
      </c>
      <c r="B129" s="254"/>
      <c r="C129" s="204"/>
      <c r="D129" s="254"/>
      <c r="E129" s="502"/>
      <c r="F129" s="501"/>
      <c r="G129" s="506"/>
      <c r="H129" s="506"/>
      <c r="I129" s="506"/>
      <c r="J129" s="506"/>
      <c r="K129" s="506"/>
      <c r="L129" s="506"/>
      <c r="M129" s="506"/>
      <c r="N129" s="506"/>
      <c r="O129" s="506"/>
      <c r="P129" s="506"/>
      <c r="Q129" s="506"/>
      <c r="R129" s="506"/>
      <c r="S129" s="506"/>
      <c r="T129" s="506"/>
      <c r="U129" s="506"/>
      <c r="V129" s="506"/>
      <c r="W129" s="506"/>
      <c r="X129" s="506"/>
      <c r="Y129" s="506"/>
      <c r="Z129" s="506"/>
      <c r="AA129" s="506"/>
      <c r="AB129" s="506"/>
      <c r="AC129" s="506"/>
      <c r="AD129" s="506"/>
      <c r="AE129" s="506"/>
      <c r="AF129" s="506"/>
      <c r="AG129" s="506"/>
      <c r="AH129" s="506"/>
      <c r="AI129" s="506"/>
      <c r="AJ129" s="506"/>
      <c r="AK129" s="506"/>
      <c r="AL129" s="506"/>
      <c r="AM129" s="506"/>
      <c r="AN129" s="506"/>
      <c r="AO129" s="506"/>
      <c r="AP129" s="506"/>
      <c r="AQ129" s="506"/>
      <c r="AR129" s="506"/>
      <c r="AS129" s="506"/>
      <c r="AT129" s="506"/>
      <c r="AU129" s="506"/>
      <c r="AV129" s="506"/>
      <c r="AW129" s="506"/>
      <c r="AX129" s="506"/>
      <c r="AY129" s="506"/>
      <c r="AZ129" s="506"/>
      <c r="BA129" s="506"/>
      <c r="BB129" s="506"/>
      <c r="BC129" s="506"/>
      <c r="BD129" s="506"/>
      <c r="BE129" s="506"/>
      <c r="BF129" s="506"/>
      <c r="BG129" s="506"/>
      <c r="BH129" s="506"/>
      <c r="BI129" s="506"/>
    </row>
    <row r="130" spans="1:61" ht="12.95" customHeight="1">
      <c r="A130" s="254" t="s">
        <v>1893</v>
      </c>
      <c r="B130" s="254" t="s">
        <v>92</v>
      </c>
      <c r="C130" s="204"/>
      <c r="D130" s="254" t="s">
        <v>1894</v>
      </c>
      <c r="E130" s="502"/>
      <c r="F130" s="501">
        <v>-23.765937657355298</v>
      </c>
      <c r="G130" s="506">
        <v>50</v>
      </c>
      <c r="H130" s="506">
        <v>25.84</v>
      </c>
      <c r="I130" s="506">
        <v>0.2</v>
      </c>
      <c r="J130" s="506">
        <v>0</v>
      </c>
      <c r="K130" s="506">
        <v>0</v>
      </c>
      <c r="L130" s="506">
        <v>0</v>
      </c>
      <c r="M130" s="506">
        <v>26.04</v>
      </c>
      <c r="N130" s="506">
        <v>-32.0062024368967</v>
      </c>
      <c r="O130" s="506">
        <v>-44.970540630773598</v>
      </c>
      <c r="P130" s="506">
        <v>12.964338193876999</v>
      </c>
      <c r="Q130" s="506">
        <v>5.0729884862550298E-2</v>
      </c>
      <c r="R130" s="506">
        <v>334.13334301362198</v>
      </c>
      <c r="S130" s="506">
        <v>551.99659536912804</v>
      </c>
      <c r="T130" s="506">
        <v>1.54450309422005E-2</v>
      </c>
      <c r="U130" s="506">
        <v>2.09218158379187E-2</v>
      </c>
      <c r="V130" s="506">
        <v>6.7410661920332603E-7</v>
      </c>
      <c r="W130" s="506">
        <v>12.964338193876999</v>
      </c>
      <c r="X130" s="506">
        <v>5.0729884862550298E-2</v>
      </c>
      <c r="Y130" s="506">
        <v>334.13334301362198</v>
      </c>
      <c r="Z130" s="506">
        <v>551.99659536912804</v>
      </c>
      <c r="AA130" s="506">
        <v>1.54450309422005E-2</v>
      </c>
      <c r="AB130" s="506">
        <v>2.09218158379187E-2</v>
      </c>
      <c r="AC130" s="506">
        <v>6.7410661920332603E-7</v>
      </c>
      <c r="AD130" s="506">
        <v>0</v>
      </c>
      <c r="AE130" s="506">
        <v>0</v>
      </c>
      <c r="AF130" s="506">
        <v>0</v>
      </c>
      <c r="AG130" s="506">
        <v>0</v>
      </c>
      <c r="AH130" s="506">
        <v>1.2682471215637601E-2</v>
      </c>
      <c r="AI130" s="506">
        <v>83.533335753405595</v>
      </c>
      <c r="AJ130" s="506">
        <v>3.8204081632653097E-2</v>
      </c>
      <c r="AK130" s="506">
        <v>11.461224489795899</v>
      </c>
      <c r="AL130" s="506">
        <v>37.5</v>
      </c>
      <c r="AM130" s="506">
        <v>143.265306122449</v>
      </c>
      <c r="AN130" s="506">
        <v>25.84</v>
      </c>
      <c r="AO130" s="506">
        <v>0.2</v>
      </c>
      <c r="AP130" s="506">
        <v>0</v>
      </c>
      <c r="AQ130" s="506">
        <v>0</v>
      </c>
      <c r="AR130" s="506">
        <v>0</v>
      </c>
      <c r="AS130" s="506">
        <v>0</v>
      </c>
      <c r="AT130" s="506">
        <v>37.5</v>
      </c>
      <c r="AU130" s="506">
        <v>0</v>
      </c>
      <c r="AV130" s="506">
        <v>0</v>
      </c>
      <c r="AW130" s="506">
        <v>0</v>
      </c>
      <c r="AX130" s="506">
        <v>0</v>
      </c>
      <c r="AY130" s="506">
        <v>0</v>
      </c>
      <c r="AZ130" s="506">
        <v>3.8204081632653097E-2</v>
      </c>
      <c r="BA130" s="506">
        <v>11.461224489795899</v>
      </c>
      <c r="BB130" s="506">
        <v>37.5</v>
      </c>
      <c r="BC130" s="506">
        <v>143.16530612244901</v>
      </c>
      <c r="BD130" s="506">
        <v>0</v>
      </c>
      <c r="BE130" s="506">
        <v>3.8204081632653097E-2</v>
      </c>
      <c r="BF130" s="506">
        <v>0</v>
      </c>
      <c r="BG130" s="506">
        <v>0.1</v>
      </c>
      <c r="BH130" s="506">
        <v>7.8120000000000003</v>
      </c>
      <c r="BI130" s="506">
        <v>1.302</v>
      </c>
    </row>
    <row r="131" spans="1:61" ht="12.95" customHeight="1">
      <c r="A131" s="254" t="s">
        <v>1895</v>
      </c>
      <c r="B131" s="254" t="s">
        <v>92</v>
      </c>
      <c r="C131" s="204"/>
      <c r="D131" s="254" t="s">
        <v>1896</v>
      </c>
      <c r="E131" s="502"/>
      <c r="F131" s="501">
        <v>-24.287480126922802</v>
      </c>
      <c r="G131" s="506">
        <v>50</v>
      </c>
      <c r="H131" s="506">
        <v>20.686</v>
      </c>
      <c r="I131" s="506">
        <v>0.2</v>
      </c>
      <c r="J131" s="506">
        <v>0</v>
      </c>
      <c r="K131" s="506">
        <v>0</v>
      </c>
      <c r="L131" s="506">
        <v>0</v>
      </c>
      <c r="M131" s="506">
        <v>20.885999999999999</v>
      </c>
      <c r="N131" s="506">
        <v>-22.239959527812001</v>
      </c>
      <c r="O131" s="506">
        <v>-33.660382961517797</v>
      </c>
      <c r="P131" s="506">
        <v>11.4204234337058</v>
      </c>
      <c r="Q131" s="506">
        <v>6.3812950240075605E-2</v>
      </c>
      <c r="R131" s="506">
        <v>217.323592871073</v>
      </c>
      <c r="S131" s="506">
        <v>273.88423555631698</v>
      </c>
      <c r="T131" s="506">
        <v>1.23024495700774E-2</v>
      </c>
      <c r="U131" s="506">
        <v>1.3109178346661299E-2</v>
      </c>
      <c r="V131" s="506">
        <v>2.6277367662015799E-6</v>
      </c>
      <c r="W131" s="506">
        <v>11.4204234337058</v>
      </c>
      <c r="X131" s="506">
        <v>6.3812950240075605E-2</v>
      </c>
      <c r="Y131" s="506">
        <v>217.323592871073</v>
      </c>
      <c r="Z131" s="506">
        <v>273.88423555631698</v>
      </c>
      <c r="AA131" s="506">
        <v>1.23024495700774E-2</v>
      </c>
      <c r="AB131" s="506">
        <v>1.3109178346661299E-2</v>
      </c>
      <c r="AC131" s="506">
        <v>2.6277367662015799E-6</v>
      </c>
      <c r="AD131" s="506">
        <v>0</v>
      </c>
      <c r="AE131" s="506">
        <v>0</v>
      </c>
      <c r="AF131" s="506">
        <v>0</v>
      </c>
      <c r="AG131" s="506">
        <v>0</v>
      </c>
      <c r="AH131" s="506">
        <v>1.5953237560018901E-2</v>
      </c>
      <c r="AI131" s="506">
        <v>54.330898217768301</v>
      </c>
      <c r="AJ131" s="506">
        <v>3.4204081632653101E-2</v>
      </c>
      <c r="AK131" s="506">
        <v>10.2612244897959</v>
      </c>
      <c r="AL131" s="506">
        <v>37.5</v>
      </c>
      <c r="AM131" s="506">
        <v>128.265306122449</v>
      </c>
      <c r="AN131" s="506">
        <v>20.686</v>
      </c>
      <c r="AO131" s="506">
        <v>0.2</v>
      </c>
      <c r="AP131" s="506">
        <v>0</v>
      </c>
      <c r="AQ131" s="506">
        <v>0</v>
      </c>
      <c r="AR131" s="506">
        <v>0</v>
      </c>
      <c r="AS131" s="506">
        <v>0</v>
      </c>
      <c r="AT131" s="506">
        <v>37.5</v>
      </c>
      <c r="AU131" s="506">
        <v>0</v>
      </c>
      <c r="AV131" s="506">
        <v>0</v>
      </c>
      <c r="AW131" s="506">
        <v>0</v>
      </c>
      <c r="AX131" s="506">
        <v>0</v>
      </c>
      <c r="AY131" s="506">
        <v>0</v>
      </c>
      <c r="AZ131" s="506">
        <v>3.4204081632653101E-2</v>
      </c>
      <c r="BA131" s="506">
        <v>10.2612244897959</v>
      </c>
      <c r="BB131" s="506">
        <v>37.5</v>
      </c>
      <c r="BC131" s="506">
        <v>128.16530612244901</v>
      </c>
      <c r="BD131" s="506">
        <v>0</v>
      </c>
      <c r="BE131" s="506">
        <v>3.4204081632653101E-2</v>
      </c>
      <c r="BF131" s="506">
        <v>0</v>
      </c>
      <c r="BG131" s="506">
        <v>0.1</v>
      </c>
      <c r="BH131" s="506">
        <v>6.2657999999999996</v>
      </c>
      <c r="BI131" s="506">
        <v>1.0443</v>
      </c>
    </row>
    <row r="132" spans="1:61" ht="12.95" customHeight="1" thickBot="1">
      <c r="A132" s="254" t="s">
        <v>1897</v>
      </c>
      <c r="B132" s="254" t="s">
        <v>92</v>
      </c>
      <c r="C132" s="204"/>
      <c r="D132" s="254" t="s">
        <v>1898</v>
      </c>
      <c r="E132" s="502"/>
      <c r="F132" s="501">
        <v>-37.097762567292698</v>
      </c>
      <c r="G132" s="506">
        <v>50</v>
      </c>
      <c r="H132" s="506">
        <v>21.6</v>
      </c>
      <c r="I132" s="506">
        <v>0.26</v>
      </c>
      <c r="J132" s="506">
        <v>0</v>
      </c>
      <c r="K132" s="506">
        <v>0</v>
      </c>
      <c r="L132" s="506">
        <v>0</v>
      </c>
      <c r="M132" s="506">
        <v>21.86</v>
      </c>
      <c r="N132" s="506">
        <v>-29.627888318899899</v>
      </c>
      <c r="O132" s="506">
        <v>-32.68499089238842</v>
      </c>
      <c r="P132" s="506">
        <v>3.0571025734885899</v>
      </c>
      <c r="Q132" s="506">
        <v>1.6124010223716099E-2</v>
      </c>
      <c r="R132" s="506">
        <v>60.7105236808531</v>
      </c>
      <c r="S132" s="506">
        <v>369.82648845602802</v>
      </c>
      <c r="T132" s="506">
        <v>8.9446282100908506E-3</v>
      </c>
      <c r="U132" s="506">
        <v>5.6747327334537899E-3</v>
      </c>
      <c r="V132" s="506">
        <v>2.7517583574250298E-7</v>
      </c>
      <c r="W132" s="506">
        <v>3.0571025734885899</v>
      </c>
      <c r="X132" s="506">
        <v>1.6124010223716099E-2</v>
      </c>
      <c r="Y132" s="506">
        <v>60.7105236808531</v>
      </c>
      <c r="Z132" s="506">
        <v>369.82648845602802</v>
      </c>
      <c r="AA132" s="506">
        <v>8.9446282100908506E-3</v>
      </c>
      <c r="AB132" s="506">
        <v>5.6747327334537899E-3</v>
      </c>
      <c r="AC132" s="506">
        <v>2.7517583574250298E-7</v>
      </c>
      <c r="AD132" s="506">
        <v>0</v>
      </c>
      <c r="AE132" s="506">
        <v>0</v>
      </c>
      <c r="AF132" s="506">
        <v>0</v>
      </c>
      <c r="AG132" s="506">
        <v>0</v>
      </c>
      <c r="AH132" s="506">
        <v>4.0310025559290204E-3</v>
      </c>
      <c r="AI132" s="506">
        <v>15.1776309202133</v>
      </c>
      <c r="AJ132" s="506">
        <v>4.0264081632653097E-2</v>
      </c>
      <c r="AK132" s="506">
        <v>8.0792244897959193</v>
      </c>
      <c r="AL132" s="506">
        <v>50</v>
      </c>
      <c r="AM132" s="506">
        <v>100.990306122449</v>
      </c>
      <c r="AN132" s="506">
        <v>21.6</v>
      </c>
      <c r="AO132" s="506">
        <v>0.26</v>
      </c>
      <c r="AP132" s="506">
        <v>0</v>
      </c>
      <c r="AQ132" s="506">
        <v>0</v>
      </c>
      <c r="AR132" s="506">
        <v>0</v>
      </c>
      <c r="AS132" s="506">
        <v>0</v>
      </c>
      <c r="AT132" s="506">
        <v>50</v>
      </c>
      <c r="AU132" s="506">
        <v>0</v>
      </c>
      <c r="AV132" s="506">
        <v>0</v>
      </c>
      <c r="AW132" s="506">
        <v>0</v>
      </c>
      <c r="AX132" s="506">
        <v>0</v>
      </c>
      <c r="AY132" s="506">
        <v>0</v>
      </c>
      <c r="AZ132" s="506">
        <v>4.0264081632653097E-2</v>
      </c>
      <c r="BA132" s="506">
        <v>8.0792244897959193</v>
      </c>
      <c r="BB132" s="506">
        <v>50</v>
      </c>
      <c r="BC132" s="506">
        <v>100.890306122449</v>
      </c>
      <c r="BD132" s="506">
        <v>0</v>
      </c>
      <c r="BE132" s="506">
        <v>4.0264081632653097E-2</v>
      </c>
      <c r="BF132" s="506">
        <v>0</v>
      </c>
      <c r="BG132" s="506">
        <v>0.1</v>
      </c>
      <c r="BH132" s="506">
        <v>4.3979999999999997</v>
      </c>
      <c r="BI132" s="506">
        <v>1.093</v>
      </c>
    </row>
    <row r="133" spans="1:61" ht="12.95" customHeight="1" thickBot="1">
      <c r="A133" s="254" t="s">
        <v>1899</v>
      </c>
      <c r="B133" s="254" t="s">
        <v>92</v>
      </c>
      <c r="C133" s="204"/>
      <c r="D133" s="254"/>
      <c r="E133" s="502"/>
      <c r="F133" s="501"/>
      <c r="G133" s="90"/>
      <c r="H133" s="90"/>
      <c r="I133" s="90"/>
      <c r="J133" s="90"/>
      <c r="K133" s="90"/>
      <c r="L133" s="90"/>
      <c r="M133" s="90"/>
      <c r="N133" s="90"/>
      <c r="O133" s="90"/>
      <c r="P133" s="90"/>
      <c r="Q133" s="90"/>
      <c r="R133" s="90"/>
      <c r="S133" s="90"/>
      <c r="T133" s="90"/>
      <c r="U133" s="90"/>
      <c r="V133" s="90"/>
      <c r="W133" s="90"/>
      <c r="X133" s="90"/>
      <c r="Y133" s="90"/>
      <c r="Z133" s="90"/>
      <c r="AA133" s="90"/>
      <c r="AB133" s="90"/>
      <c r="AC133" s="90"/>
      <c r="AD133" s="90"/>
      <c r="AE133" s="90"/>
      <c r="AF133" s="90"/>
      <c r="AG133" s="90"/>
      <c r="AH133" s="90"/>
      <c r="AI133" s="90"/>
      <c r="AJ133" s="90"/>
      <c r="AK133" s="90"/>
      <c r="AL133" s="90"/>
      <c r="AM133" s="90"/>
      <c r="AN133" s="90"/>
      <c r="AO133" s="90"/>
      <c r="AP133" s="90"/>
      <c r="AQ133" s="90"/>
      <c r="AR133" s="90"/>
      <c r="AS133" s="90"/>
      <c r="AT133" s="90"/>
      <c r="AU133" s="90"/>
      <c r="AV133" s="90"/>
      <c r="AW133" s="90"/>
      <c r="AX133" s="90"/>
      <c r="AY133" s="90"/>
      <c r="AZ133" s="90"/>
      <c r="BA133" s="90"/>
      <c r="BB133" s="90"/>
      <c r="BC133" s="90"/>
      <c r="BD133" s="90"/>
      <c r="BE133" s="90"/>
      <c r="BF133" s="90"/>
      <c r="BG133" s="90"/>
      <c r="BH133" s="90"/>
      <c r="BI133" s="506"/>
    </row>
    <row r="134" spans="1:61" ht="12.95" customHeight="1">
      <c r="A134" s="254" t="s">
        <v>2071</v>
      </c>
      <c r="B134" s="254"/>
      <c r="C134" s="204"/>
      <c r="D134" s="254"/>
      <c r="E134" s="502"/>
      <c r="F134" s="501"/>
      <c r="G134" s="506"/>
      <c r="H134" s="506"/>
      <c r="I134" s="506"/>
      <c r="J134" s="506"/>
      <c r="K134" s="506"/>
      <c r="L134" s="506"/>
      <c r="M134" s="506"/>
      <c r="N134" s="506"/>
      <c r="O134" s="506"/>
      <c r="P134" s="506"/>
      <c r="Q134" s="506"/>
      <c r="R134" s="506"/>
      <c r="S134" s="506"/>
      <c r="T134" s="506"/>
      <c r="U134" s="506"/>
      <c r="V134" s="506"/>
      <c r="W134" s="506"/>
      <c r="X134" s="506"/>
      <c r="Y134" s="506"/>
      <c r="Z134" s="506"/>
      <c r="AA134" s="506"/>
      <c r="AB134" s="506"/>
      <c r="AC134" s="506"/>
      <c r="AD134" s="506"/>
      <c r="AE134" s="506"/>
      <c r="AF134" s="506"/>
      <c r="AG134" s="506"/>
      <c r="AH134" s="506"/>
      <c r="AI134" s="506"/>
      <c r="AJ134" s="506"/>
      <c r="AK134" s="506"/>
      <c r="AL134" s="506"/>
      <c r="AM134" s="506"/>
      <c r="AN134" s="506"/>
      <c r="AO134" s="506"/>
      <c r="AP134" s="506"/>
      <c r="AQ134" s="506"/>
      <c r="AR134" s="506"/>
      <c r="AS134" s="506"/>
      <c r="AT134" s="506"/>
      <c r="AU134" s="506"/>
      <c r="AV134" s="506"/>
      <c r="AW134" s="506"/>
      <c r="AX134" s="506"/>
      <c r="AY134" s="506"/>
      <c r="AZ134" s="506"/>
      <c r="BA134" s="506"/>
      <c r="BB134" s="506"/>
      <c r="BC134" s="506"/>
      <c r="BD134" s="506"/>
      <c r="BE134" s="506"/>
      <c r="BF134" s="506"/>
      <c r="BG134" s="506"/>
      <c r="BH134" s="506"/>
      <c r="BI134" s="506"/>
    </row>
    <row r="135" spans="1:61" ht="12.95" customHeight="1">
      <c r="A135" s="254" t="s">
        <v>1921</v>
      </c>
      <c r="B135" s="254" t="s">
        <v>92</v>
      </c>
      <c r="C135" s="204">
        <v>1</v>
      </c>
      <c r="D135" s="254" t="s">
        <v>1367</v>
      </c>
      <c r="E135" s="502">
        <v>1</v>
      </c>
      <c r="F135" s="501">
        <v>18.6316653521882</v>
      </c>
      <c r="G135" s="506">
        <v>100</v>
      </c>
      <c r="H135" s="506">
        <v>0</v>
      </c>
      <c r="I135" s="506">
        <v>0</v>
      </c>
      <c r="J135" s="506">
        <v>21.06</v>
      </c>
      <c r="K135" s="506">
        <v>428.22</v>
      </c>
      <c r="L135" s="506">
        <v>0</v>
      </c>
      <c r="M135" s="506">
        <v>449.28</v>
      </c>
      <c r="N135" s="506">
        <v>65.917881854811498</v>
      </c>
      <c r="O135" s="506">
        <v>-0.110648511322968</v>
      </c>
      <c r="P135" s="506">
        <v>66.028530366134504</v>
      </c>
      <c r="Q135" s="506">
        <v>0.16806567761435401</v>
      </c>
      <c r="R135" s="506">
        <v>647.09784083417298</v>
      </c>
      <c r="S135" s="506">
        <v>22.719736588283801</v>
      </c>
      <c r="T135" s="506">
        <v>3.0270717531738999E-2</v>
      </c>
      <c r="U135" s="506">
        <v>0.103792052893315</v>
      </c>
      <c r="V135" s="506">
        <v>2.11822227455901E-6</v>
      </c>
      <c r="W135" s="506">
        <v>0.43804320252159201</v>
      </c>
      <c r="X135" s="506">
        <v>1.62969763967187E-3</v>
      </c>
      <c r="Y135" s="506">
        <v>8.2818585760966403</v>
      </c>
      <c r="Z135" s="506">
        <v>0.57845866782823696</v>
      </c>
      <c r="AA135" s="506">
        <v>1.4873540662141801E-4</v>
      </c>
      <c r="AB135" s="506">
        <v>7.3376040980484205E-4</v>
      </c>
      <c r="AC135" s="506">
        <v>4.5011901461152303E-8</v>
      </c>
      <c r="AD135" s="506">
        <v>0</v>
      </c>
      <c r="AE135" s="506">
        <v>0</v>
      </c>
      <c r="AF135" s="506">
        <v>0</v>
      </c>
      <c r="AG135" s="506">
        <v>0</v>
      </c>
      <c r="AH135" s="506">
        <v>4.2016419403588398E-2</v>
      </c>
      <c r="AI135" s="506">
        <v>161.77446020854299</v>
      </c>
      <c r="AJ135" s="506">
        <v>0.183</v>
      </c>
      <c r="AK135" s="506">
        <v>10.574999999999999</v>
      </c>
      <c r="AL135" s="506">
        <v>37.5</v>
      </c>
      <c r="AM135" s="506">
        <v>132.08750000000001</v>
      </c>
      <c r="AN135" s="506">
        <v>0</v>
      </c>
      <c r="AO135" s="506">
        <v>0</v>
      </c>
      <c r="AP135" s="506">
        <v>21.06</v>
      </c>
      <c r="AQ135" s="506">
        <v>0.1</v>
      </c>
      <c r="AR135" s="506">
        <v>2.9999999999999701E-3</v>
      </c>
      <c r="AS135" s="506">
        <v>0.89999999999999902</v>
      </c>
      <c r="AT135" s="506">
        <v>37.5</v>
      </c>
      <c r="AU135" s="506">
        <v>11.15</v>
      </c>
      <c r="AV135" s="506">
        <v>2.9999999999999701E-3</v>
      </c>
      <c r="AW135" s="506">
        <v>0</v>
      </c>
      <c r="AX135" s="506">
        <v>0</v>
      </c>
      <c r="AY135" s="506">
        <v>0.1</v>
      </c>
      <c r="AZ135" s="506">
        <v>0.186</v>
      </c>
      <c r="BA135" s="506">
        <v>11.475</v>
      </c>
      <c r="BB135" s="506">
        <v>37.5</v>
      </c>
      <c r="BC135" s="506">
        <v>143.33750000000001</v>
      </c>
      <c r="BD135" s="506">
        <v>0.18329999999999999</v>
      </c>
      <c r="BE135" s="506">
        <v>0</v>
      </c>
      <c r="BF135" s="506">
        <v>2.7000000000000001E-3</v>
      </c>
      <c r="BG135" s="506">
        <v>0.1</v>
      </c>
      <c r="BH135" s="506">
        <v>28.404</v>
      </c>
      <c r="BI135" s="506">
        <v>22.463999999999999</v>
      </c>
    </row>
    <row r="136" spans="1:61" ht="12.95" customHeight="1">
      <c r="A136" s="254" t="s">
        <v>1455</v>
      </c>
      <c r="B136" s="254" t="s">
        <v>92</v>
      </c>
      <c r="C136" s="204">
        <v>2</v>
      </c>
      <c r="D136" s="254" t="s">
        <v>1368</v>
      </c>
      <c r="E136" s="502">
        <v>1</v>
      </c>
      <c r="F136" s="501">
        <v>13.7052309659479</v>
      </c>
      <c r="G136" s="506">
        <v>100</v>
      </c>
      <c r="H136" s="506">
        <v>0</v>
      </c>
      <c r="I136" s="506">
        <v>0</v>
      </c>
      <c r="J136" s="506">
        <v>0</v>
      </c>
      <c r="K136" s="506">
        <v>519.5</v>
      </c>
      <c r="L136" s="506">
        <v>0</v>
      </c>
      <c r="M136" s="506">
        <v>519.5</v>
      </c>
      <c r="N136" s="506">
        <v>63.488633100176301</v>
      </c>
      <c r="O136" s="506">
        <v>-3.83864485136843E-2</v>
      </c>
      <c r="P136" s="506">
        <v>63.527019548689999</v>
      </c>
      <c r="Q136" s="506">
        <v>0.14716680350569999</v>
      </c>
      <c r="R136" s="506">
        <v>595.04654945475397</v>
      </c>
      <c r="S136" s="506">
        <v>16.8108145540115</v>
      </c>
      <c r="T136" s="506">
        <v>1.74760850696772E-2</v>
      </c>
      <c r="U136" s="506">
        <v>6.7138175297806801E-2</v>
      </c>
      <c r="V136" s="506">
        <v>3.0406979521272999E-6</v>
      </c>
      <c r="W136" s="506">
        <v>0</v>
      </c>
      <c r="X136" s="506">
        <v>0</v>
      </c>
      <c r="Y136" s="506">
        <v>0</v>
      </c>
      <c r="Z136" s="506">
        <v>0</v>
      </c>
      <c r="AA136" s="506">
        <v>0</v>
      </c>
      <c r="AB136" s="506">
        <v>0</v>
      </c>
      <c r="AC136" s="506">
        <v>0</v>
      </c>
      <c r="AD136" s="506">
        <v>0</v>
      </c>
      <c r="AE136" s="506">
        <v>0</v>
      </c>
      <c r="AF136" s="506">
        <v>0</v>
      </c>
      <c r="AG136" s="506">
        <v>0</v>
      </c>
      <c r="AH136" s="506">
        <v>3.6791700876424999E-2</v>
      </c>
      <c r="AI136" s="506">
        <v>148.761637363689</v>
      </c>
      <c r="AJ136" s="506">
        <v>0.40100000000000002</v>
      </c>
      <c r="AK136" s="506">
        <v>32.6</v>
      </c>
      <c r="AL136" s="506">
        <v>37.5</v>
      </c>
      <c r="AM136" s="506">
        <v>407.5</v>
      </c>
      <c r="AN136" s="506">
        <v>0</v>
      </c>
      <c r="AO136" s="506">
        <v>0</v>
      </c>
      <c r="AP136" s="506">
        <v>0</v>
      </c>
      <c r="AQ136" s="506">
        <v>0</v>
      </c>
      <c r="AR136" s="506">
        <v>0</v>
      </c>
      <c r="AS136" s="506">
        <v>0</v>
      </c>
      <c r="AT136" s="506">
        <v>37.5</v>
      </c>
      <c r="AU136" s="506">
        <v>0</v>
      </c>
      <c r="AV136" s="506">
        <v>0</v>
      </c>
      <c r="AW136" s="506">
        <v>0</v>
      </c>
      <c r="AX136" s="506">
        <v>0</v>
      </c>
      <c r="AY136" s="506">
        <v>0</v>
      </c>
      <c r="AZ136" s="506">
        <v>0.40100000000000002</v>
      </c>
      <c r="BA136" s="506">
        <v>32.6</v>
      </c>
      <c r="BB136" s="506">
        <v>37.5</v>
      </c>
      <c r="BC136" s="506">
        <v>407.4</v>
      </c>
      <c r="BD136" s="506">
        <v>0.40100000000000002</v>
      </c>
      <c r="BE136" s="506">
        <v>0</v>
      </c>
      <c r="BF136" s="506">
        <v>0</v>
      </c>
      <c r="BG136" s="506">
        <v>0.1</v>
      </c>
      <c r="BH136" s="506">
        <v>33.950000000000003</v>
      </c>
      <c r="BI136" s="506">
        <v>25.975000000000001</v>
      </c>
    </row>
    <row r="137" spans="1:61" ht="12.95" customHeight="1">
      <c r="A137" s="254" t="s">
        <v>1753</v>
      </c>
      <c r="B137" s="254" t="s">
        <v>92</v>
      </c>
      <c r="C137" s="204">
        <v>3</v>
      </c>
      <c r="D137" s="254" t="s">
        <v>1369</v>
      </c>
      <c r="E137" s="502">
        <v>1</v>
      </c>
      <c r="F137" s="501">
        <v>-18.638775073188199</v>
      </c>
      <c r="G137" s="506">
        <v>50</v>
      </c>
      <c r="H137" s="506">
        <v>0</v>
      </c>
      <c r="I137" s="506">
        <v>0</v>
      </c>
      <c r="J137" s="506">
        <v>0</v>
      </c>
      <c r="K137" s="506">
        <v>102</v>
      </c>
      <c r="L137" s="506">
        <v>0</v>
      </c>
      <c r="M137" s="506">
        <v>102</v>
      </c>
      <c r="N137" s="506">
        <v>18.4780349621612</v>
      </c>
      <c r="O137" s="506">
        <v>-1.4297055913213501E-2</v>
      </c>
      <c r="P137" s="506">
        <v>18.4923320180744</v>
      </c>
      <c r="Q137" s="506">
        <v>5.1990504985183698E-2</v>
      </c>
      <c r="R137" s="506">
        <v>230.48455305281399</v>
      </c>
      <c r="S137" s="506">
        <v>5.4679905621724103</v>
      </c>
      <c r="T137" s="506">
        <v>5.2304590860928002E-3</v>
      </c>
      <c r="U137" s="506">
        <v>1.7518521553471E-2</v>
      </c>
      <c r="V137" s="506">
        <v>1.4154291014209801E-6</v>
      </c>
      <c r="W137" s="506">
        <v>18.4923320180744</v>
      </c>
      <c r="X137" s="506">
        <v>5.1990504985183698E-2</v>
      </c>
      <c r="Y137" s="506">
        <v>230.48455305281399</v>
      </c>
      <c r="Z137" s="506">
        <v>5.4679905621724103</v>
      </c>
      <c r="AA137" s="506">
        <v>5.2304590860928002E-3</v>
      </c>
      <c r="AB137" s="506">
        <v>1.7518521553471E-2</v>
      </c>
      <c r="AC137" s="506">
        <v>1.4154291014209801E-6</v>
      </c>
      <c r="AD137" s="506">
        <v>0</v>
      </c>
      <c r="AE137" s="506">
        <v>0</v>
      </c>
      <c r="AF137" s="506">
        <v>0</v>
      </c>
      <c r="AG137" s="506">
        <v>0</v>
      </c>
      <c r="AH137" s="506">
        <v>1.29976262462959E-2</v>
      </c>
      <c r="AI137" s="506">
        <v>57.621138263203598</v>
      </c>
      <c r="AJ137" s="506">
        <v>0.123333333333333</v>
      </c>
      <c r="AK137" s="506">
        <v>12.3333333333333</v>
      </c>
      <c r="AL137" s="506">
        <v>25</v>
      </c>
      <c r="AM137" s="506">
        <v>154.166666666667</v>
      </c>
      <c r="AN137" s="506">
        <v>0</v>
      </c>
      <c r="AO137" s="506">
        <v>0</v>
      </c>
      <c r="AP137" s="506">
        <v>0</v>
      </c>
      <c r="AQ137" s="506">
        <v>0</v>
      </c>
      <c r="AR137" s="506">
        <v>0.123333333333333</v>
      </c>
      <c r="AS137" s="506">
        <v>12.3333333333333</v>
      </c>
      <c r="AT137" s="506">
        <v>25</v>
      </c>
      <c r="AU137" s="506">
        <v>154.066666666667</v>
      </c>
      <c r="AV137" s="506">
        <v>0.123333333333333</v>
      </c>
      <c r="AW137" s="506">
        <v>0</v>
      </c>
      <c r="AX137" s="506">
        <v>0</v>
      </c>
      <c r="AY137" s="506">
        <v>0.1</v>
      </c>
      <c r="AZ137" s="506">
        <v>0.24666666666666701</v>
      </c>
      <c r="BA137" s="506">
        <v>24.6666666666667</v>
      </c>
      <c r="BB137" s="506">
        <v>25</v>
      </c>
      <c r="BC137" s="506">
        <v>308.23333333333301</v>
      </c>
      <c r="BD137" s="506">
        <v>0.24666666666666701</v>
      </c>
      <c r="BE137" s="506">
        <v>0</v>
      </c>
      <c r="BF137" s="506">
        <v>0</v>
      </c>
      <c r="BG137" s="506">
        <v>0.1</v>
      </c>
      <c r="BH137" s="506">
        <v>10.199999999999999</v>
      </c>
      <c r="BI137" s="506">
        <v>5.0999999999999996</v>
      </c>
    </row>
    <row r="138" spans="1:61" ht="12.95" customHeight="1" thickBot="1">
      <c r="A138" s="254" t="s">
        <v>1754</v>
      </c>
      <c r="B138" s="254" t="s">
        <v>92</v>
      </c>
      <c r="C138" s="204">
        <v>4</v>
      </c>
      <c r="D138" s="254" t="s">
        <v>1370</v>
      </c>
      <c r="E138" s="502">
        <v>1</v>
      </c>
      <c r="F138" s="501">
        <v>1.0570786846087401</v>
      </c>
      <c r="G138" s="506">
        <v>100</v>
      </c>
      <c r="H138" s="506">
        <v>0</v>
      </c>
      <c r="I138" s="506">
        <v>0</v>
      </c>
      <c r="J138" s="506">
        <v>0</v>
      </c>
      <c r="K138" s="506">
        <v>211.8</v>
      </c>
      <c r="L138" s="506">
        <v>0</v>
      </c>
      <c r="M138" s="506">
        <v>211.8</v>
      </c>
      <c r="N138" s="506">
        <v>39.842718374706003</v>
      </c>
      <c r="O138" s="506">
        <v>-6.1925852375613898E-2</v>
      </c>
      <c r="P138" s="506">
        <v>39.904644227081597</v>
      </c>
      <c r="Q138" s="506">
        <v>0.109199277051286</v>
      </c>
      <c r="R138" s="506">
        <v>485.70166045958803</v>
      </c>
      <c r="S138" s="506">
        <v>14.011510160592801</v>
      </c>
      <c r="T138" s="506">
        <v>1.13556348625842E-2</v>
      </c>
      <c r="U138" s="506">
        <v>3.7395069426740903E-2</v>
      </c>
      <c r="V138" s="506">
        <v>3.0284203415846502E-6</v>
      </c>
      <c r="W138" s="506">
        <v>0</v>
      </c>
      <c r="X138" s="506">
        <v>0</v>
      </c>
      <c r="Y138" s="506">
        <v>0</v>
      </c>
      <c r="Z138" s="506">
        <v>0</v>
      </c>
      <c r="AA138" s="506">
        <v>0</v>
      </c>
      <c r="AB138" s="506">
        <v>0</v>
      </c>
      <c r="AC138" s="506">
        <v>0</v>
      </c>
      <c r="AD138" s="506">
        <v>0</v>
      </c>
      <c r="AE138" s="506">
        <v>0</v>
      </c>
      <c r="AF138" s="506">
        <v>0</v>
      </c>
      <c r="AG138" s="506">
        <v>0</v>
      </c>
      <c r="AH138" s="506">
        <v>2.72998192628215E-2</v>
      </c>
      <c r="AI138" s="506">
        <v>121.42541511489701</v>
      </c>
      <c r="AJ138" s="506">
        <v>0.25590000000000002</v>
      </c>
      <c r="AK138" s="506">
        <v>25.59</v>
      </c>
      <c r="AL138" s="506">
        <v>25</v>
      </c>
      <c r="AM138" s="506">
        <v>319.875</v>
      </c>
      <c r="AN138" s="506">
        <v>0</v>
      </c>
      <c r="AO138" s="506">
        <v>0</v>
      </c>
      <c r="AP138" s="506">
        <v>0</v>
      </c>
      <c r="AQ138" s="506">
        <v>0</v>
      </c>
      <c r="AR138" s="506">
        <v>0</v>
      </c>
      <c r="AS138" s="506">
        <v>0</v>
      </c>
      <c r="AT138" s="506">
        <v>25</v>
      </c>
      <c r="AU138" s="506">
        <v>0</v>
      </c>
      <c r="AV138" s="506">
        <v>0</v>
      </c>
      <c r="AW138" s="506">
        <v>0</v>
      </c>
      <c r="AX138" s="506">
        <v>0</v>
      </c>
      <c r="AY138" s="506">
        <v>0</v>
      </c>
      <c r="AZ138" s="506">
        <v>0.25590000000000002</v>
      </c>
      <c r="BA138" s="506">
        <v>25.59</v>
      </c>
      <c r="BB138" s="506">
        <v>25</v>
      </c>
      <c r="BC138" s="506">
        <v>319.77499999999998</v>
      </c>
      <c r="BD138" s="506">
        <v>0.25590000000000002</v>
      </c>
      <c r="BE138" s="506">
        <v>0</v>
      </c>
      <c r="BF138" s="506">
        <v>0</v>
      </c>
      <c r="BG138" s="506">
        <v>0.1</v>
      </c>
      <c r="BH138" s="506">
        <v>21.18</v>
      </c>
      <c r="BI138" s="506">
        <v>10.59</v>
      </c>
    </row>
    <row r="139" spans="1:61" ht="12.95" customHeight="1" thickBot="1">
      <c r="A139" s="254" t="s">
        <v>1755</v>
      </c>
      <c r="B139" s="254" t="s">
        <v>92</v>
      </c>
      <c r="C139" s="204"/>
      <c r="D139" s="254"/>
      <c r="E139" s="502"/>
      <c r="F139" s="501"/>
      <c r="G139" s="90"/>
      <c r="H139" s="90"/>
      <c r="I139" s="90"/>
      <c r="J139" s="90"/>
      <c r="K139" s="90"/>
      <c r="L139" s="90"/>
      <c r="M139" s="90"/>
      <c r="N139" s="90"/>
      <c r="O139" s="90"/>
      <c r="P139" s="90"/>
      <c r="Q139" s="90"/>
      <c r="R139" s="90"/>
      <c r="S139" s="90"/>
      <c r="T139" s="90"/>
      <c r="U139" s="90"/>
      <c r="V139" s="90"/>
      <c r="W139" s="90"/>
      <c r="X139" s="90"/>
      <c r="Y139" s="90"/>
      <c r="Z139" s="90"/>
      <c r="AA139" s="90"/>
      <c r="AB139" s="90"/>
      <c r="AC139" s="90"/>
      <c r="AD139" s="90"/>
      <c r="AE139" s="90"/>
      <c r="AF139" s="90"/>
      <c r="AG139" s="90"/>
      <c r="AH139" s="90"/>
      <c r="AI139" s="90"/>
      <c r="AJ139" s="90"/>
      <c r="AK139" s="90"/>
      <c r="AL139" s="90"/>
      <c r="AM139" s="90"/>
      <c r="AN139" s="90"/>
      <c r="AO139" s="90"/>
      <c r="AP139" s="90"/>
      <c r="AQ139" s="90"/>
      <c r="AR139" s="90"/>
      <c r="AS139" s="90"/>
      <c r="AT139" s="90"/>
      <c r="AU139" s="90"/>
      <c r="AV139" s="90"/>
      <c r="AW139" s="90"/>
      <c r="AX139" s="90"/>
      <c r="AY139" s="90"/>
      <c r="AZ139" s="90"/>
      <c r="BA139" s="90"/>
      <c r="BB139" s="90"/>
      <c r="BC139" s="90"/>
      <c r="BD139" s="90"/>
      <c r="BE139" s="90"/>
      <c r="BF139" s="90"/>
      <c r="BG139" s="90"/>
      <c r="BH139" s="90"/>
      <c r="BI139" s="506"/>
    </row>
    <row r="140" spans="1:61" ht="12.95" customHeight="1">
      <c r="A140" s="254" t="s">
        <v>1923</v>
      </c>
      <c r="B140" s="254" t="s">
        <v>92</v>
      </c>
      <c r="C140" s="204">
        <v>5</v>
      </c>
      <c r="D140" s="254" t="s">
        <v>1571</v>
      </c>
      <c r="E140" s="502">
        <v>1</v>
      </c>
      <c r="F140" s="501">
        <v>-16.975952300543501</v>
      </c>
      <c r="G140" s="506">
        <v>50</v>
      </c>
      <c r="H140" s="506">
        <v>52.8</v>
      </c>
      <c r="I140" s="506">
        <v>0</v>
      </c>
      <c r="J140" s="506">
        <v>0</v>
      </c>
      <c r="K140" s="506">
        <v>0</v>
      </c>
      <c r="L140" s="506">
        <v>0</v>
      </c>
      <c r="M140" s="506">
        <v>52.8</v>
      </c>
      <c r="N140" s="506">
        <v>-58.259893532131599</v>
      </c>
      <c r="O140" s="506">
        <v>-81.262812045728495</v>
      </c>
      <c r="P140" s="506">
        <v>23.002918513597098</v>
      </c>
      <c r="Q140" s="506">
        <v>0.119485171071394</v>
      </c>
      <c r="R140" s="506">
        <v>394.08021435877799</v>
      </c>
      <c r="S140" s="506">
        <v>930.69989090473302</v>
      </c>
      <c r="T140" s="506">
        <v>3.9981613271880899E-2</v>
      </c>
      <c r="U140" s="506">
        <v>4.8344699917079702E-2</v>
      </c>
      <c r="V140" s="506">
        <v>1.9333391161281101E-6</v>
      </c>
      <c r="W140" s="506">
        <v>0</v>
      </c>
      <c r="X140" s="506">
        <v>0</v>
      </c>
      <c r="Y140" s="506">
        <v>0</v>
      </c>
      <c r="Z140" s="506">
        <v>0</v>
      </c>
      <c r="AA140" s="506">
        <v>0</v>
      </c>
      <c r="AB140" s="506">
        <v>0</v>
      </c>
      <c r="AC140" s="506">
        <v>0</v>
      </c>
      <c r="AD140" s="506">
        <v>0</v>
      </c>
      <c r="AE140" s="506">
        <v>0</v>
      </c>
      <c r="AF140" s="506">
        <v>0</v>
      </c>
      <c r="AG140" s="506">
        <v>0</v>
      </c>
      <c r="AH140" s="506">
        <v>2.98712927678484E-2</v>
      </c>
      <c r="AI140" s="506">
        <v>98.520053589694598</v>
      </c>
      <c r="AJ140" s="506">
        <v>0.12</v>
      </c>
      <c r="AK140" s="506">
        <v>24</v>
      </c>
      <c r="AL140" s="506">
        <v>12.5</v>
      </c>
      <c r="AM140" s="506">
        <v>299.89999999999998</v>
      </c>
      <c r="AN140" s="506">
        <v>52.8</v>
      </c>
      <c r="AO140" s="506">
        <v>0</v>
      </c>
      <c r="AP140" s="506">
        <v>0</v>
      </c>
      <c r="AQ140" s="506">
        <v>0.1</v>
      </c>
      <c r="AR140" s="506">
        <v>0</v>
      </c>
      <c r="AS140" s="506">
        <v>0</v>
      </c>
      <c r="AT140" s="506">
        <v>12.5</v>
      </c>
      <c r="AU140" s="506">
        <v>0</v>
      </c>
      <c r="AV140" s="506">
        <v>0</v>
      </c>
      <c r="AW140" s="506">
        <v>0</v>
      </c>
      <c r="AX140" s="506">
        <v>0</v>
      </c>
      <c r="AY140" s="506">
        <v>0</v>
      </c>
      <c r="AZ140" s="506">
        <v>0.12</v>
      </c>
      <c r="BA140" s="506">
        <v>24</v>
      </c>
      <c r="BB140" s="506">
        <v>12.5</v>
      </c>
      <c r="BC140" s="506">
        <v>300</v>
      </c>
      <c r="BD140" s="506">
        <v>0</v>
      </c>
      <c r="BE140" s="506">
        <v>0</v>
      </c>
      <c r="BF140" s="506">
        <v>0</v>
      </c>
      <c r="BG140" s="506">
        <v>0</v>
      </c>
      <c r="BH140" s="506">
        <v>10.56</v>
      </c>
      <c r="BI140" s="506">
        <v>2.64</v>
      </c>
    </row>
    <row r="141" spans="1:61" ht="12.95" customHeight="1">
      <c r="A141" s="254" t="s">
        <v>1756</v>
      </c>
      <c r="B141" s="254" t="s">
        <v>92</v>
      </c>
      <c r="C141" s="204">
        <v>6</v>
      </c>
      <c r="D141" s="254" t="s">
        <v>1371</v>
      </c>
      <c r="E141" s="502">
        <v>1</v>
      </c>
      <c r="F141" s="501">
        <v>4.99025740155838</v>
      </c>
      <c r="G141" s="506">
        <v>50</v>
      </c>
      <c r="H141" s="506">
        <v>0</v>
      </c>
      <c r="I141" s="506">
        <v>0</v>
      </c>
      <c r="J141" s="506">
        <v>3.65</v>
      </c>
      <c r="K141" s="506">
        <v>0</v>
      </c>
      <c r="L141" s="506">
        <v>57.305</v>
      </c>
      <c r="M141" s="506">
        <v>60.954999999999998</v>
      </c>
      <c r="N141" s="506">
        <v>28.0662923936443</v>
      </c>
      <c r="O141" s="506">
        <v>-2.2408405326974901</v>
      </c>
      <c r="P141" s="506">
        <v>30.307132926341701</v>
      </c>
      <c r="Q141" s="506">
        <v>0.14044467141472999</v>
      </c>
      <c r="R141" s="506">
        <v>537.59757441960903</v>
      </c>
      <c r="S141" s="506">
        <v>95.1339479026351</v>
      </c>
      <c r="T141" s="506">
        <v>1.7226970973077099E-2</v>
      </c>
      <c r="U141" s="506">
        <v>6.36323704498718E-2</v>
      </c>
      <c r="V141" s="506">
        <v>2.8714374754581799E-6</v>
      </c>
      <c r="W141" s="506">
        <v>23.0297599582182</v>
      </c>
      <c r="X141" s="506">
        <v>0.104346245232499</v>
      </c>
      <c r="Y141" s="506">
        <v>431.37590167184698</v>
      </c>
      <c r="Z141" s="506">
        <v>90.454877996093302</v>
      </c>
      <c r="AA141" s="506">
        <v>1.13377995979758E-2</v>
      </c>
      <c r="AB141" s="506">
        <v>4.5985945765881102E-2</v>
      </c>
      <c r="AC141" s="506">
        <v>2.4647538428459701E-6</v>
      </c>
      <c r="AD141" s="506">
        <v>0</v>
      </c>
      <c r="AE141" s="506">
        <v>0</v>
      </c>
      <c r="AF141" s="506">
        <v>0</v>
      </c>
      <c r="AG141" s="506">
        <v>0</v>
      </c>
      <c r="AH141" s="506">
        <v>3.5111167853682602E-2</v>
      </c>
      <c r="AI141" s="506">
        <v>134.399393604902</v>
      </c>
      <c r="AJ141" s="506">
        <v>0.23296794871794901</v>
      </c>
      <c r="AK141" s="506">
        <v>69.890384615384605</v>
      </c>
      <c r="AL141" s="506">
        <v>137.5</v>
      </c>
      <c r="AM141" s="506">
        <v>873.52980769230805</v>
      </c>
      <c r="AN141" s="506">
        <v>0</v>
      </c>
      <c r="AO141" s="506">
        <v>0</v>
      </c>
      <c r="AP141" s="506">
        <v>3.4</v>
      </c>
      <c r="AQ141" s="506">
        <v>0.1</v>
      </c>
      <c r="AR141" s="506">
        <v>0.23253205128205101</v>
      </c>
      <c r="AS141" s="506">
        <v>69.759615384615401</v>
      </c>
      <c r="AT141" s="506">
        <v>137.5</v>
      </c>
      <c r="AU141" s="506">
        <v>871.89519230769201</v>
      </c>
      <c r="AV141" s="506">
        <v>0.23250000000000001</v>
      </c>
      <c r="AW141" s="506">
        <v>0</v>
      </c>
      <c r="AX141" s="506">
        <v>3.2051282051281997E-5</v>
      </c>
      <c r="AY141" s="506">
        <v>0.1</v>
      </c>
      <c r="AZ141" s="506">
        <v>0.46550000000000002</v>
      </c>
      <c r="BA141" s="506">
        <v>139.65</v>
      </c>
      <c r="BB141" s="506">
        <v>137.5</v>
      </c>
      <c r="BC141" s="506">
        <v>1745.5250000000001</v>
      </c>
      <c r="BD141" s="506">
        <v>0.46500000000000002</v>
      </c>
      <c r="BE141" s="506">
        <v>0</v>
      </c>
      <c r="BF141" s="506">
        <v>5.0000000000000001E-4</v>
      </c>
      <c r="BG141" s="506">
        <v>0.1</v>
      </c>
      <c r="BH141" s="506">
        <v>7.5869999999999997</v>
      </c>
      <c r="BI141" s="506">
        <v>1.2645</v>
      </c>
    </row>
    <row r="142" spans="1:61" ht="12.95" customHeight="1">
      <c r="A142" s="254" t="s">
        <v>1757</v>
      </c>
      <c r="B142" s="254" t="s">
        <v>92</v>
      </c>
      <c r="C142" s="204">
        <v>6</v>
      </c>
      <c r="D142" s="254" t="s">
        <v>1372</v>
      </c>
      <c r="E142" s="502">
        <v>1</v>
      </c>
      <c r="F142" s="501">
        <v>8.3054372699464398</v>
      </c>
      <c r="G142" s="506">
        <v>50</v>
      </c>
      <c r="H142" s="506">
        <v>9.6</v>
      </c>
      <c r="I142" s="506">
        <v>0</v>
      </c>
      <c r="J142" s="506">
        <v>0.25</v>
      </c>
      <c r="K142" s="506">
        <v>0</v>
      </c>
      <c r="L142" s="506">
        <v>90.078432051281993</v>
      </c>
      <c r="M142" s="506">
        <v>99.928399999999996</v>
      </c>
      <c r="N142" s="506">
        <v>15.3294997492671</v>
      </c>
      <c r="O142" s="506">
        <v>-19.411867817898798</v>
      </c>
      <c r="P142" s="506">
        <v>34.741367567165902</v>
      </c>
      <c r="Q142" s="506">
        <v>0.15381940093545701</v>
      </c>
      <c r="R142" s="506">
        <v>647.23801561022901</v>
      </c>
      <c r="S142" s="506">
        <v>343.63034052625</v>
      </c>
      <c r="T142" s="506">
        <v>2.0186426937901601E-2</v>
      </c>
      <c r="U142" s="506">
        <v>6.7540861033516295E-2</v>
      </c>
      <c r="V142" s="506">
        <v>3.7094365842139399E-6</v>
      </c>
      <c r="W142" s="506">
        <v>32.693371221468702</v>
      </c>
      <c r="X142" s="506">
        <v>0.141505481902999</v>
      </c>
      <c r="Y142" s="506">
        <v>612.79349568362795</v>
      </c>
      <c r="Z142" s="506">
        <v>140.17666181618699</v>
      </c>
      <c r="AA142" s="506">
        <v>1.53054810134473E-2</v>
      </c>
      <c r="AB142" s="506">
        <v>6.1981965044589298E-2</v>
      </c>
      <c r="AC142" s="506">
        <v>3.5414305013687101E-6</v>
      </c>
      <c r="AD142" s="506">
        <v>0</v>
      </c>
      <c r="AE142" s="506">
        <v>0</v>
      </c>
      <c r="AF142" s="506">
        <v>0</v>
      </c>
      <c r="AG142" s="506">
        <v>0</v>
      </c>
      <c r="AH142" s="506">
        <v>3.8454850233864302E-2</v>
      </c>
      <c r="AI142" s="506">
        <v>161.809503902557</v>
      </c>
      <c r="AJ142" s="506">
        <v>0.340032051282051</v>
      </c>
      <c r="AK142" s="506">
        <v>100.089615384615</v>
      </c>
      <c r="AL142" s="506">
        <v>150</v>
      </c>
      <c r="AM142" s="506">
        <v>1251.02019230769</v>
      </c>
      <c r="AN142" s="506">
        <v>9.6</v>
      </c>
      <c r="AO142" s="506">
        <v>0</v>
      </c>
      <c r="AP142" s="506">
        <v>0</v>
      </c>
      <c r="AQ142" s="506">
        <v>0.1</v>
      </c>
      <c r="AR142" s="506">
        <v>0.320832051282051</v>
      </c>
      <c r="AS142" s="506">
        <v>96.249615384615396</v>
      </c>
      <c r="AT142" s="506">
        <v>150</v>
      </c>
      <c r="AU142" s="506">
        <v>1203.02019230769</v>
      </c>
      <c r="AV142" s="506">
        <v>0.32079999999999997</v>
      </c>
      <c r="AW142" s="506">
        <v>0</v>
      </c>
      <c r="AX142" s="506">
        <v>3.2051282051282099E-5</v>
      </c>
      <c r="AY142" s="506">
        <v>0.1</v>
      </c>
      <c r="AZ142" s="506">
        <v>0.660864102564103</v>
      </c>
      <c r="BA142" s="506">
        <v>196.33923076923099</v>
      </c>
      <c r="BB142" s="506">
        <v>150</v>
      </c>
      <c r="BC142" s="506">
        <v>2454.1403846153798</v>
      </c>
      <c r="BD142" s="506">
        <v>0.64159999999999995</v>
      </c>
      <c r="BE142" s="506">
        <v>1.9199999999999998E-2</v>
      </c>
      <c r="BF142" s="506">
        <v>6.4102564102564103E-5</v>
      </c>
      <c r="BG142" s="506">
        <v>0.1</v>
      </c>
      <c r="BH142" s="506">
        <v>14.33376</v>
      </c>
      <c r="BI142" s="506">
        <v>2.46896</v>
      </c>
    </row>
    <row r="143" spans="1:61" ht="12.95" customHeight="1">
      <c r="A143" s="254" t="s">
        <v>1758</v>
      </c>
      <c r="B143" s="254" t="s">
        <v>92</v>
      </c>
      <c r="C143" s="204">
        <v>7</v>
      </c>
      <c r="D143" s="254" t="s">
        <v>1373</v>
      </c>
      <c r="E143" s="502">
        <v>1</v>
      </c>
      <c r="F143" s="501">
        <v>18.076287795576501</v>
      </c>
      <c r="G143" s="506">
        <v>50</v>
      </c>
      <c r="H143" s="506">
        <v>28.367999999999999</v>
      </c>
      <c r="I143" s="506">
        <v>0</v>
      </c>
      <c r="J143" s="506">
        <v>0.25</v>
      </c>
      <c r="K143" s="506">
        <v>0</v>
      </c>
      <c r="L143" s="506">
        <v>85.000032051282005</v>
      </c>
      <c r="M143" s="506">
        <v>113.61799999999999</v>
      </c>
      <c r="N143" s="506">
        <v>4.3201445597976402</v>
      </c>
      <c r="O143" s="506">
        <v>-44.722576361506498</v>
      </c>
      <c r="P143" s="506">
        <v>49.042720921304102</v>
      </c>
      <c r="Q143" s="506">
        <v>0.165019119987732</v>
      </c>
      <c r="R143" s="506">
        <v>950.61143111737897</v>
      </c>
      <c r="S143" s="506">
        <v>626.48741864182102</v>
      </c>
      <c r="T143" s="506">
        <v>2.2552172700144799E-2</v>
      </c>
      <c r="U143" s="506">
        <v>6.7924200523458003E-2</v>
      </c>
      <c r="V143" s="506">
        <v>4.6988097206063802E-6</v>
      </c>
      <c r="W143" s="506">
        <v>46.994724575606902</v>
      </c>
      <c r="X143" s="506">
        <v>0.15270520095527301</v>
      </c>
      <c r="Y143" s="506">
        <v>916.16691119077802</v>
      </c>
      <c r="Z143" s="506">
        <v>423.03373993175802</v>
      </c>
      <c r="AA143" s="506">
        <v>1.76712267756905E-2</v>
      </c>
      <c r="AB143" s="506">
        <v>6.2365304534530999E-2</v>
      </c>
      <c r="AC143" s="506">
        <v>4.5308036377611398E-6</v>
      </c>
      <c r="AD143" s="506">
        <v>0</v>
      </c>
      <c r="AE143" s="506">
        <v>0</v>
      </c>
      <c r="AF143" s="506">
        <v>0</v>
      </c>
      <c r="AG143" s="506">
        <v>0</v>
      </c>
      <c r="AH143" s="506">
        <v>4.1254779996933E-2</v>
      </c>
      <c r="AI143" s="506">
        <v>237.652857779345</v>
      </c>
      <c r="AJ143" s="506">
        <v>0.340032051282051</v>
      </c>
      <c r="AK143" s="506">
        <v>100.089615384615</v>
      </c>
      <c r="AL143" s="506">
        <v>150</v>
      </c>
      <c r="AM143" s="506">
        <v>1251.02019230769</v>
      </c>
      <c r="AN143" s="506">
        <v>28.367999999999999</v>
      </c>
      <c r="AO143" s="506">
        <v>0</v>
      </c>
      <c r="AP143" s="506">
        <v>0</v>
      </c>
      <c r="AQ143" s="506">
        <v>0.1</v>
      </c>
      <c r="AR143" s="506">
        <v>0.320832051282051</v>
      </c>
      <c r="AS143" s="506">
        <v>96.249615384615396</v>
      </c>
      <c r="AT143" s="506">
        <v>150</v>
      </c>
      <c r="AU143" s="506">
        <v>1203.1201923076901</v>
      </c>
      <c r="AV143" s="506">
        <v>0.1</v>
      </c>
      <c r="AW143" s="506">
        <v>0.2208</v>
      </c>
      <c r="AX143" s="506">
        <v>3.2051282051282099E-5</v>
      </c>
      <c r="AY143" s="506">
        <v>0</v>
      </c>
      <c r="AZ143" s="506">
        <v>0.660864102564103</v>
      </c>
      <c r="BA143" s="506">
        <v>196.33923076923099</v>
      </c>
      <c r="BB143" s="506">
        <v>150</v>
      </c>
      <c r="BC143" s="506">
        <v>2454.2403846153802</v>
      </c>
      <c r="BD143" s="506">
        <v>0.2</v>
      </c>
      <c r="BE143" s="506">
        <v>0.46079999999999999</v>
      </c>
      <c r="BF143" s="506">
        <v>6.4102564102564103E-5</v>
      </c>
      <c r="BG143" s="506">
        <v>0</v>
      </c>
      <c r="BH143" s="506">
        <v>16.0152</v>
      </c>
      <c r="BI143" s="506">
        <v>2.7492000000000001</v>
      </c>
    </row>
    <row r="144" spans="1:61" ht="12.95" customHeight="1">
      <c r="A144" s="254" t="s">
        <v>1475</v>
      </c>
      <c r="B144" s="254" t="s">
        <v>92</v>
      </c>
      <c r="C144" s="204">
        <v>8</v>
      </c>
      <c r="D144" s="254" t="s">
        <v>1374</v>
      </c>
      <c r="E144" s="502">
        <v>1</v>
      </c>
      <c r="F144" s="501">
        <v>-3.3847506336692601</v>
      </c>
      <c r="G144" s="506">
        <v>50</v>
      </c>
      <c r="H144" s="506">
        <v>16.224</v>
      </c>
      <c r="I144" s="506">
        <v>0</v>
      </c>
      <c r="J144" s="506">
        <v>0.25</v>
      </c>
      <c r="K144" s="506">
        <v>0</v>
      </c>
      <c r="L144" s="506">
        <v>85.000032051282005</v>
      </c>
      <c r="M144" s="506">
        <v>101.474</v>
      </c>
      <c r="N144" s="506">
        <v>6.42621505760322</v>
      </c>
      <c r="O144" s="506">
        <v>-30.062846753688898</v>
      </c>
      <c r="P144" s="506">
        <v>36.489061811292103</v>
      </c>
      <c r="Q144" s="506">
        <v>0.103296882562934</v>
      </c>
      <c r="R144" s="506">
        <v>543.13887545016905</v>
      </c>
      <c r="S144" s="506">
        <v>333.55992320283201</v>
      </c>
      <c r="T144" s="506">
        <v>1.6400236114675299E-2</v>
      </c>
      <c r="U144" s="506">
        <v>4.3542429281522597E-2</v>
      </c>
      <c r="V144" s="506">
        <v>3.33285736163642E-6</v>
      </c>
      <c r="W144" s="506">
        <v>34.441065465594903</v>
      </c>
      <c r="X144" s="506">
        <v>9.0982963530475594E-2</v>
      </c>
      <c r="Y144" s="506">
        <v>508.69435552356902</v>
      </c>
      <c r="Z144" s="506">
        <v>130.10624449276901</v>
      </c>
      <c r="AA144" s="506">
        <v>1.1519290190221E-2</v>
      </c>
      <c r="AB144" s="506">
        <v>3.7983533292595698E-2</v>
      </c>
      <c r="AC144" s="506">
        <v>3.1648512787911898E-6</v>
      </c>
      <c r="AD144" s="506">
        <v>0</v>
      </c>
      <c r="AE144" s="506">
        <v>0</v>
      </c>
      <c r="AF144" s="506">
        <v>0</v>
      </c>
      <c r="AG144" s="506">
        <v>0</v>
      </c>
      <c r="AH144" s="506">
        <v>2.58242206407336E-2</v>
      </c>
      <c r="AI144" s="506">
        <v>135.78471886254201</v>
      </c>
      <c r="AJ144" s="506">
        <v>0.340032051282051</v>
      </c>
      <c r="AK144" s="506">
        <v>100.089615384615</v>
      </c>
      <c r="AL144" s="506">
        <v>150</v>
      </c>
      <c r="AM144" s="506">
        <v>1251.02019230769</v>
      </c>
      <c r="AN144" s="506">
        <v>16.224</v>
      </c>
      <c r="AO144" s="506">
        <v>0</v>
      </c>
      <c r="AP144" s="506">
        <v>0</v>
      </c>
      <c r="AQ144" s="506">
        <v>0.1</v>
      </c>
      <c r="AR144" s="506">
        <v>0.320832051282051</v>
      </c>
      <c r="AS144" s="506">
        <v>96.249615384615396</v>
      </c>
      <c r="AT144" s="506">
        <v>150</v>
      </c>
      <c r="AU144" s="506">
        <v>1203.1201923076901</v>
      </c>
      <c r="AV144" s="506">
        <v>0.1</v>
      </c>
      <c r="AW144" s="506">
        <v>0.2208</v>
      </c>
      <c r="AX144" s="506">
        <v>3.2051282051282099E-5</v>
      </c>
      <c r="AY144" s="506">
        <v>0</v>
      </c>
      <c r="AZ144" s="506">
        <v>0.660864102564103</v>
      </c>
      <c r="BA144" s="506">
        <v>196.33923076923099</v>
      </c>
      <c r="BB144" s="506">
        <v>150</v>
      </c>
      <c r="BC144" s="506">
        <v>2454.2403846153802</v>
      </c>
      <c r="BD144" s="506">
        <v>0.2</v>
      </c>
      <c r="BE144" s="506">
        <v>0.46079999999999999</v>
      </c>
      <c r="BF144" s="506">
        <v>6.4102564102564103E-5</v>
      </c>
      <c r="BG144" s="506">
        <v>0</v>
      </c>
      <c r="BH144" s="506">
        <v>14.5236</v>
      </c>
      <c r="BI144" s="506">
        <v>2.5005999999999999</v>
      </c>
    </row>
    <row r="145" spans="1:61" ht="12.95" customHeight="1">
      <c r="A145" s="254" t="s">
        <v>1476</v>
      </c>
      <c r="B145" s="254" t="s">
        <v>92</v>
      </c>
      <c r="C145" s="204">
        <v>9</v>
      </c>
      <c r="D145" s="254" t="s">
        <v>1375</v>
      </c>
      <c r="E145" s="502">
        <v>1</v>
      </c>
      <c r="F145" s="501">
        <v>-5.2274720297803601</v>
      </c>
      <c r="G145" s="506">
        <v>50</v>
      </c>
      <c r="H145" s="506">
        <v>21.744</v>
      </c>
      <c r="I145" s="506">
        <v>0</v>
      </c>
      <c r="J145" s="506">
        <v>0.25</v>
      </c>
      <c r="K145" s="506">
        <v>0</v>
      </c>
      <c r="L145" s="506">
        <v>85.000032051282005</v>
      </c>
      <c r="M145" s="506">
        <v>106.994</v>
      </c>
      <c r="N145" s="506">
        <v>-7.8768033778391304</v>
      </c>
      <c r="O145" s="506">
        <v>-36.968318790526503</v>
      </c>
      <c r="P145" s="506">
        <v>29.0915154126874</v>
      </c>
      <c r="Q145" s="506">
        <v>0.11823889842252</v>
      </c>
      <c r="R145" s="506">
        <v>499.60426230570499</v>
      </c>
      <c r="S145" s="506">
        <v>346.99222175812002</v>
      </c>
      <c r="T145" s="506">
        <v>1.5169744873073101E-2</v>
      </c>
      <c r="U145" s="506">
        <v>4.9608177024884598E-2</v>
      </c>
      <c r="V145" s="506">
        <v>2.9723380385730102E-6</v>
      </c>
      <c r="W145" s="506">
        <v>27.043519066990299</v>
      </c>
      <c r="X145" s="506">
        <v>0.105924979390061</v>
      </c>
      <c r="Y145" s="506">
        <v>465.15974237910501</v>
      </c>
      <c r="Z145" s="506">
        <v>143.53854304805799</v>
      </c>
      <c r="AA145" s="506">
        <v>1.02887989486188E-2</v>
      </c>
      <c r="AB145" s="506">
        <v>4.4049281035957601E-2</v>
      </c>
      <c r="AC145" s="506">
        <v>2.80433195572778E-6</v>
      </c>
      <c r="AD145" s="506">
        <v>0</v>
      </c>
      <c r="AE145" s="506">
        <v>0</v>
      </c>
      <c r="AF145" s="506">
        <v>0</v>
      </c>
      <c r="AG145" s="506">
        <v>0</v>
      </c>
      <c r="AH145" s="506">
        <v>2.955972460563E-2</v>
      </c>
      <c r="AI145" s="506">
        <v>124.90106557642601</v>
      </c>
      <c r="AJ145" s="506">
        <v>0.340032051282051</v>
      </c>
      <c r="AK145" s="506">
        <v>100.089615384615</v>
      </c>
      <c r="AL145" s="506">
        <v>150</v>
      </c>
      <c r="AM145" s="506">
        <v>1251.02019230769</v>
      </c>
      <c r="AN145" s="506">
        <v>21.744</v>
      </c>
      <c r="AO145" s="506">
        <v>0</v>
      </c>
      <c r="AP145" s="506">
        <v>0</v>
      </c>
      <c r="AQ145" s="506">
        <v>0.1</v>
      </c>
      <c r="AR145" s="506">
        <v>0.320832051282051</v>
      </c>
      <c r="AS145" s="506">
        <v>96.249615384615396</v>
      </c>
      <c r="AT145" s="506">
        <v>150</v>
      </c>
      <c r="AU145" s="506">
        <v>1203.1201923076901</v>
      </c>
      <c r="AV145" s="506">
        <v>0.1</v>
      </c>
      <c r="AW145" s="506">
        <v>0.2208</v>
      </c>
      <c r="AX145" s="506">
        <v>3.2051282051282099E-5</v>
      </c>
      <c r="AY145" s="506">
        <v>0</v>
      </c>
      <c r="AZ145" s="506">
        <v>0.660864102564103</v>
      </c>
      <c r="BA145" s="506">
        <v>196.33923076923099</v>
      </c>
      <c r="BB145" s="506">
        <v>150</v>
      </c>
      <c r="BC145" s="506">
        <v>2454.2403846153802</v>
      </c>
      <c r="BD145" s="506">
        <v>0.2</v>
      </c>
      <c r="BE145" s="506">
        <v>0.46079999999999999</v>
      </c>
      <c r="BF145" s="506">
        <v>6.4102564102564103E-5</v>
      </c>
      <c r="BG145" s="506">
        <v>0</v>
      </c>
      <c r="BH145" s="506">
        <v>15.201599999999999</v>
      </c>
      <c r="BI145" s="506">
        <v>2.6135999999999999</v>
      </c>
    </row>
    <row r="146" spans="1:61" ht="12.95" customHeight="1">
      <c r="A146" s="254" t="s">
        <v>1759</v>
      </c>
      <c r="B146" s="254" t="s">
        <v>92</v>
      </c>
      <c r="C146" s="204">
        <v>10</v>
      </c>
      <c r="D146" s="254" t="s">
        <v>1376</v>
      </c>
      <c r="E146" s="502">
        <v>1</v>
      </c>
      <c r="F146" s="501">
        <v>-7.8915023494453997</v>
      </c>
      <c r="G146" s="506">
        <v>60</v>
      </c>
      <c r="H146" s="506">
        <v>11.88</v>
      </c>
      <c r="I146" s="506">
        <v>0</v>
      </c>
      <c r="J146" s="506">
        <v>0</v>
      </c>
      <c r="K146" s="506">
        <v>0</v>
      </c>
      <c r="L146" s="506">
        <v>45.628</v>
      </c>
      <c r="M146" s="506">
        <v>57.508000000000003</v>
      </c>
      <c r="N146" s="506">
        <v>1.16672589768846</v>
      </c>
      <c r="O146" s="506">
        <v>-21.400433585719401</v>
      </c>
      <c r="P146" s="506">
        <v>22.567159483407899</v>
      </c>
      <c r="Q146" s="506">
        <v>0.10711319375243</v>
      </c>
      <c r="R146" s="506">
        <v>418.96852501847701</v>
      </c>
      <c r="S146" s="506">
        <v>366.59108833834199</v>
      </c>
      <c r="T146" s="506">
        <v>1.6809947364651599E-2</v>
      </c>
      <c r="U146" s="506">
        <v>4.73619007943323E-2</v>
      </c>
      <c r="V146" s="506">
        <v>2.3346264572522199E-6</v>
      </c>
      <c r="W146" s="506">
        <v>17.620879271675001</v>
      </c>
      <c r="X146" s="506">
        <v>7.9109891428944298E-2</v>
      </c>
      <c r="Y146" s="506">
        <v>331.157546764757</v>
      </c>
      <c r="Z146" s="506">
        <v>71.551045033239404</v>
      </c>
      <c r="AA146" s="506">
        <v>8.5116553859008095E-3</v>
      </c>
      <c r="AB146" s="506">
        <v>3.4662487296478001E-2</v>
      </c>
      <c r="AC146" s="506">
        <v>1.9062550345902401E-6</v>
      </c>
      <c r="AD146" s="506">
        <v>0</v>
      </c>
      <c r="AE146" s="506">
        <v>0</v>
      </c>
      <c r="AF146" s="506">
        <v>0</v>
      </c>
      <c r="AG146" s="506">
        <v>0</v>
      </c>
      <c r="AH146" s="506">
        <v>2.67782984381074E-2</v>
      </c>
      <c r="AI146" s="506">
        <v>104.742131254619</v>
      </c>
      <c r="AJ146" s="506">
        <v>0.21</v>
      </c>
      <c r="AK146" s="506">
        <v>60.6</v>
      </c>
      <c r="AL146" s="506">
        <v>50</v>
      </c>
      <c r="AM146" s="506">
        <v>757.4</v>
      </c>
      <c r="AN146" s="506">
        <v>11.88</v>
      </c>
      <c r="AO146" s="506">
        <v>0</v>
      </c>
      <c r="AP146" s="506">
        <v>0</v>
      </c>
      <c r="AQ146" s="506">
        <v>0.1</v>
      </c>
      <c r="AR146" s="506">
        <v>0.186</v>
      </c>
      <c r="AS146" s="506">
        <v>55.8</v>
      </c>
      <c r="AT146" s="506">
        <v>50</v>
      </c>
      <c r="AU146" s="506">
        <v>697.4</v>
      </c>
      <c r="AV146" s="506">
        <v>0.186</v>
      </c>
      <c r="AW146" s="506">
        <v>0</v>
      </c>
      <c r="AX146" s="506">
        <v>0</v>
      </c>
      <c r="AY146" s="506">
        <v>0.1</v>
      </c>
      <c r="AZ146" s="506">
        <v>0.39600000000000002</v>
      </c>
      <c r="BA146" s="506">
        <v>116.4</v>
      </c>
      <c r="BB146" s="506">
        <v>50</v>
      </c>
      <c r="BC146" s="506">
        <v>1455</v>
      </c>
      <c r="BD146" s="506">
        <v>0.372</v>
      </c>
      <c r="BE146" s="506">
        <v>2.4E-2</v>
      </c>
      <c r="BF146" s="506">
        <v>0</v>
      </c>
      <c r="BG146" s="506">
        <v>0</v>
      </c>
      <c r="BH146" s="506">
        <v>16.064399999999999</v>
      </c>
      <c r="BI146" s="506">
        <v>2.8754</v>
      </c>
    </row>
    <row r="147" spans="1:61" ht="12.95" customHeight="1">
      <c r="A147" s="254" t="s">
        <v>1760</v>
      </c>
      <c r="B147" s="254" t="s">
        <v>92</v>
      </c>
      <c r="C147" s="204">
        <v>11</v>
      </c>
      <c r="D147" s="254" t="s">
        <v>1377</v>
      </c>
      <c r="E147" s="502">
        <v>1</v>
      </c>
      <c r="F147" s="501">
        <v>-1.8732248517747001</v>
      </c>
      <c r="G147" s="506">
        <v>60</v>
      </c>
      <c r="H147" s="506">
        <v>23.44</v>
      </c>
      <c r="I147" s="506">
        <v>0</v>
      </c>
      <c r="J147" s="506">
        <v>0</v>
      </c>
      <c r="K147" s="506">
        <v>0</v>
      </c>
      <c r="L147" s="506">
        <v>42.5</v>
      </c>
      <c r="M147" s="506">
        <v>65.94</v>
      </c>
      <c r="N147" s="506">
        <v>-5.6143986755354804</v>
      </c>
      <c r="O147" s="506">
        <v>-36.990362761130001</v>
      </c>
      <c r="P147" s="506">
        <v>31.3759640855945</v>
      </c>
      <c r="Q147" s="506">
        <v>0.11401157142955599</v>
      </c>
      <c r="R147" s="506">
        <v>605.82896210621402</v>
      </c>
      <c r="S147" s="506">
        <v>540.81465094575901</v>
      </c>
      <c r="T147" s="506">
        <v>1.82671096095115E-2</v>
      </c>
      <c r="U147" s="506">
        <v>4.75980156975572E-2</v>
      </c>
      <c r="V147" s="506">
        <v>2.94402295430553E-6</v>
      </c>
      <c r="W147" s="506">
        <v>26.429683873861599</v>
      </c>
      <c r="X147" s="506">
        <v>8.6008269106070206E-2</v>
      </c>
      <c r="Y147" s="506">
        <v>518.01798385249401</v>
      </c>
      <c r="Z147" s="506">
        <v>245.774607640656</v>
      </c>
      <c r="AA147" s="506">
        <v>9.9688176307607106E-3</v>
      </c>
      <c r="AB147" s="506">
        <v>3.4898602199702998E-2</v>
      </c>
      <c r="AC147" s="506">
        <v>2.5156515316435502E-6</v>
      </c>
      <c r="AD147" s="506">
        <v>0</v>
      </c>
      <c r="AE147" s="506">
        <v>0</v>
      </c>
      <c r="AF147" s="506">
        <v>0</v>
      </c>
      <c r="AG147" s="506">
        <v>0</v>
      </c>
      <c r="AH147" s="506">
        <v>2.8502892857388901E-2</v>
      </c>
      <c r="AI147" s="506">
        <v>151.45724052655399</v>
      </c>
      <c r="AJ147" s="506">
        <v>0.21</v>
      </c>
      <c r="AK147" s="506">
        <v>60.6</v>
      </c>
      <c r="AL147" s="506">
        <v>50</v>
      </c>
      <c r="AM147" s="506">
        <v>757.4</v>
      </c>
      <c r="AN147" s="506">
        <v>23.44</v>
      </c>
      <c r="AO147" s="506">
        <v>0</v>
      </c>
      <c r="AP147" s="506">
        <v>0</v>
      </c>
      <c r="AQ147" s="506">
        <v>0.1</v>
      </c>
      <c r="AR147" s="506">
        <v>0.186</v>
      </c>
      <c r="AS147" s="506">
        <v>55.8</v>
      </c>
      <c r="AT147" s="506">
        <v>50</v>
      </c>
      <c r="AU147" s="506">
        <v>697.5</v>
      </c>
      <c r="AV147" s="506">
        <v>0.05</v>
      </c>
      <c r="AW147" s="506">
        <v>0.13600000000000001</v>
      </c>
      <c r="AX147" s="506">
        <v>0</v>
      </c>
      <c r="AY147" s="506">
        <v>0</v>
      </c>
      <c r="AZ147" s="506">
        <v>0.39600000000000002</v>
      </c>
      <c r="BA147" s="506">
        <v>116.4</v>
      </c>
      <c r="BB147" s="506">
        <v>50</v>
      </c>
      <c r="BC147" s="506">
        <v>1455</v>
      </c>
      <c r="BD147" s="506">
        <v>0.1</v>
      </c>
      <c r="BE147" s="506">
        <v>0.29599999999999999</v>
      </c>
      <c r="BF147" s="506">
        <v>0</v>
      </c>
      <c r="BG147" s="506">
        <v>0</v>
      </c>
      <c r="BH147" s="506">
        <v>18.594000000000001</v>
      </c>
      <c r="BI147" s="506">
        <v>3.2970000000000002</v>
      </c>
    </row>
    <row r="148" spans="1:61" ht="12.95" customHeight="1">
      <c r="A148" s="254" t="s">
        <v>1761</v>
      </c>
      <c r="B148" s="254" t="s">
        <v>92</v>
      </c>
      <c r="C148" s="204">
        <v>12</v>
      </c>
      <c r="D148" s="254" t="s">
        <v>1378</v>
      </c>
      <c r="E148" s="502">
        <v>1</v>
      </c>
      <c r="F148" s="501">
        <v>-15.0919804060203</v>
      </c>
      <c r="G148" s="506">
        <v>60</v>
      </c>
      <c r="H148" s="506">
        <v>15.96</v>
      </c>
      <c r="I148" s="506">
        <v>0</v>
      </c>
      <c r="J148" s="506">
        <v>0</v>
      </c>
      <c r="K148" s="506">
        <v>0</v>
      </c>
      <c r="L148" s="506">
        <v>42.5</v>
      </c>
      <c r="M148" s="506">
        <v>58.46</v>
      </c>
      <c r="N148" s="506">
        <v>-4.3171813399305901</v>
      </c>
      <c r="O148" s="506">
        <v>-27.9608191621119</v>
      </c>
      <c r="P148" s="506">
        <v>23.643637822181301</v>
      </c>
      <c r="Q148" s="506">
        <v>7.5994251276600394E-2</v>
      </c>
      <c r="R148" s="506">
        <v>354.84948941264298</v>
      </c>
      <c r="S148" s="506">
        <v>360.38829505942499</v>
      </c>
      <c r="T148" s="506">
        <v>1.4477873306867299E-2</v>
      </c>
      <c r="U148" s="506">
        <v>3.2580258048539097E-2</v>
      </c>
      <c r="V148" s="506">
        <v>2.1026754868240398E-6</v>
      </c>
      <c r="W148" s="506">
        <v>18.6973576104483</v>
      </c>
      <c r="X148" s="506">
        <v>4.7990948953115099E-2</v>
      </c>
      <c r="Y148" s="506">
        <v>267.03851115892297</v>
      </c>
      <c r="Z148" s="506">
        <v>65.348251754322703</v>
      </c>
      <c r="AA148" s="506">
        <v>6.1795813281164697E-3</v>
      </c>
      <c r="AB148" s="506">
        <v>1.9880844550684899E-2</v>
      </c>
      <c r="AC148" s="506">
        <v>1.67430406416206E-6</v>
      </c>
      <c r="AD148" s="506">
        <v>0</v>
      </c>
      <c r="AE148" s="506">
        <v>0</v>
      </c>
      <c r="AF148" s="506">
        <v>0</v>
      </c>
      <c r="AG148" s="506">
        <v>0</v>
      </c>
      <c r="AH148" s="506">
        <v>1.8998562819150099E-2</v>
      </c>
      <c r="AI148" s="506">
        <v>88.712372353160703</v>
      </c>
      <c r="AJ148" s="506">
        <v>0.21</v>
      </c>
      <c r="AK148" s="506">
        <v>60.6</v>
      </c>
      <c r="AL148" s="506">
        <v>50</v>
      </c>
      <c r="AM148" s="506">
        <v>757.4</v>
      </c>
      <c r="AN148" s="506">
        <v>15.96</v>
      </c>
      <c r="AO148" s="506">
        <v>0</v>
      </c>
      <c r="AP148" s="506">
        <v>0</v>
      </c>
      <c r="AQ148" s="506">
        <v>0.1</v>
      </c>
      <c r="AR148" s="506">
        <v>0.186</v>
      </c>
      <c r="AS148" s="506">
        <v>55.8</v>
      </c>
      <c r="AT148" s="506">
        <v>50</v>
      </c>
      <c r="AU148" s="506">
        <v>697.5</v>
      </c>
      <c r="AV148" s="506">
        <v>0.05</v>
      </c>
      <c r="AW148" s="506">
        <v>0.13600000000000001</v>
      </c>
      <c r="AX148" s="506">
        <v>0</v>
      </c>
      <c r="AY148" s="506">
        <v>0</v>
      </c>
      <c r="AZ148" s="506">
        <v>0.39600000000000002</v>
      </c>
      <c r="BA148" s="506">
        <v>116.4</v>
      </c>
      <c r="BB148" s="506">
        <v>50</v>
      </c>
      <c r="BC148" s="506">
        <v>1455</v>
      </c>
      <c r="BD148" s="506">
        <v>0.1</v>
      </c>
      <c r="BE148" s="506">
        <v>0.29599999999999999</v>
      </c>
      <c r="BF148" s="506">
        <v>0</v>
      </c>
      <c r="BG148" s="506">
        <v>0</v>
      </c>
      <c r="BH148" s="506">
        <v>16.350000000000001</v>
      </c>
      <c r="BI148" s="506">
        <v>2.923</v>
      </c>
    </row>
    <row r="149" spans="1:61" ht="12.95" customHeight="1" thickBot="1">
      <c r="A149" s="254" t="s">
        <v>1762</v>
      </c>
      <c r="B149" s="254" t="s">
        <v>92</v>
      </c>
      <c r="C149" s="204">
        <v>13</v>
      </c>
      <c r="D149" s="254" t="s">
        <v>1379</v>
      </c>
      <c r="E149" s="502">
        <v>1</v>
      </c>
      <c r="F149" s="501">
        <v>-16.226989961596001</v>
      </c>
      <c r="G149" s="506">
        <v>60</v>
      </c>
      <c r="H149" s="506">
        <v>19.36</v>
      </c>
      <c r="I149" s="506">
        <v>0</v>
      </c>
      <c r="J149" s="506">
        <v>0</v>
      </c>
      <c r="K149" s="506">
        <v>0</v>
      </c>
      <c r="L149" s="506">
        <v>42.5</v>
      </c>
      <c r="M149" s="506">
        <v>61.86</v>
      </c>
      <c r="N149" s="506">
        <v>-13.1270115356741</v>
      </c>
      <c r="O149" s="506">
        <v>-32.214189619584303</v>
      </c>
      <c r="P149" s="506">
        <v>19.087178083910299</v>
      </c>
      <c r="Q149" s="506">
        <v>8.5197666842287204E-2</v>
      </c>
      <c r="R149" s="506">
        <v>328.03469146134302</v>
      </c>
      <c r="S149" s="506">
        <v>368.66181228550897</v>
      </c>
      <c r="T149" s="506">
        <v>1.3719962034865999E-2</v>
      </c>
      <c r="U149" s="506">
        <v>3.6316407020899701E-2</v>
      </c>
      <c r="V149" s="506">
        <v>1.88061648348788E-6</v>
      </c>
      <c r="W149" s="506">
        <v>14.140897872177399</v>
      </c>
      <c r="X149" s="506">
        <v>5.7194364518801798E-2</v>
      </c>
      <c r="Y149" s="506">
        <v>240.22371320762301</v>
      </c>
      <c r="Z149" s="506">
        <v>73.621768980406102</v>
      </c>
      <c r="AA149" s="506">
        <v>5.4216700561151403E-3</v>
      </c>
      <c r="AB149" s="506">
        <v>2.3616993523045499E-2</v>
      </c>
      <c r="AC149" s="506">
        <v>1.4522450608258999E-6</v>
      </c>
      <c r="AD149" s="506">
        <v>0</v>
      </c>
      <c r="AE149" s="506">
        <v>0</v>
      </c>
      <c r="AF149" s="506">
        <v>0</v>
      </c>
      <c r="AG149" s="506">
        <v>0</v>
      </c>
      <c r="AH149" s="506">
        <v>2.1299416710571801E-2</v>
      </c>
      <c r="AI149" s="506">
        <v>82.008672865335697</v>
      </c>
      <c r="AJ149" s="506">
        <v>0.21</v>
      </c>
      <c r="AK149" s="506">
        <v>60.6</v>
      </c>
      <c r="AL149" s="506">
        <v>50</v>
      </c>
      <c r="AM149" s="506">
        <v>757.4</v>
      </c>
      <c r="AN149" s="506">
        <v>19.36</v>
      </c>
      <c r="AO149" s="506">
        <v>0</v>
      </c>
      <c r="AP149" s="506">
        <v>0</v>
      </c>
      <c r="AQ149" s="506">
        <v>0.1</v>
      </c>
      <c r="AR149" s="506">
        <v>0.186</v>
      </c>
      <c r="AS149" s="506">
        <v>55.8</v>
      </c>
      <c r="AT149" s="506">
        <v>50</v>
      </c>
      <c r="AU149" s="506">
        <v>697.5</v>
      </c>
      <c r="AV149" s="506">
        <v>0.05</v>
      </c>
      <c r="AW149" s="506">
        <v>0.13600000000000001</v>
      </c>
      <c r="AX149" s="506">
        <v>0</v>
      </c>
      <c r="AY149" s="506">
        <v>0</v>
      </c>
      <c r="AZ149" s="506">
        <v>0.39600000000000002</v>
      </c>
      <c r="BA149" s="506">
        <v>116.4</v>
      </c>
      <c r="BB149" s="506">
        <v>50</v>
      </c>
      <c r="BC149" s="506">
        <v>1455</v>
      </c>
      <c r="BD149" s="506">
        <v>0.1</v>
      </c>
      <c r="BE149" s="506">
        <v>0.29599999999999999</v>
      </c>
      <c r="BF149" s="506">
        <v>0</v>
      </c>
      <c r="BG149" s="506">
        <v>0</v>
      </c>
      <c r="BH149" s="506">
        <v>17.37</v>
      </c>
      <c r="BI149" s="506">
        <v>3.093</v>
      </c>
    </row>
    <row r="150" spans="1:61" ht="12.95" customHeight="1" thickBot="1">
      <c r="A150" s="254" t="s">
        <v>1763</v>
      </c>
      <c r="B150" s="254" t="s">
        <v>92</v>
      </c>
      <c r="C150" s="204"/>
      <c r="D150" s="254"/>
      <c r="E150" s="502"/>
      <c r="F150" s="501"/>
      <c r="G150" s="90"/>
      <c r="H150" s="90"/>
      <c r="I150" s="90"/>
      <c r="J150" s="90"/>
      <c r="K150" s="90"/>
      <c r="L150" s="90"/>
      <c r="M150" s="90"/>
      <c r="N150" s="90"/>
      <c r="O150" s="90"/>
      <c r="P150" s="90"/>
      <c r="Q150" s="90"/>
      <c r="R150" s="90"/>
      <c r="S150" s="90"/>
      <c r="T150" s="90"/>
      <c r="U150" s="90"/>
      <c r="V150" s="90"/>
      <c r="W150" s="90"/>
      <c r="X150" s="90"/>
      <c r="Y150" s="90"/>
      <c r="Z150" s="90"/>
      <c r="AA150" s="90"/>
      <c r="AB150" s="90"/>
      <c r="AC150" s="90"/>
      <c r="AD150" s="90"/>
      <c r="AE150" s="90"/>
      <c r="AF150" s="90"/>
      <c r="AG150" s="90"/>
      <c r="AH150" s="90"/>
      <c r="AI150" s="90"/>
      <c r="AJ150" s="90"/>
      <c r="AK150" s="90"/>
      <c r="AL150" s="90"/>
      <c r="AM150" s="90"/>
      <c r="AN150" s="90"/>
      <c r="AO150" s="90"/>
      <c r="AP150" s="90"/>
      <c r="AQ150" s="90"/>
      <c r="AR150" s="90"/>
      <c r="AS150" s="90"/>
      <c r="AT150" s="90"/>
      <c r="AU150" s="90"/>
      <c r="AV150" s="90"/>
      <c r="AW150" s="90"/>
      <c r="AX150" s="90"/>
      <c r="AY150" s="90"/>
      <c r="AZ150" s="90"/>
      <c r="BA150" s="90"/>
      <c r="BB150" s="90"/>
      <c r="BC150" s="90"/>
      <c r="BD150" s="90"/>
      <c r="BE150" s="90"/>
      <c r="BF150" s="90"/>
      <c r="BG150" s="90"/>
      <c r="BH150" s="90"/>
      <c r="BI150" s="506"/>
    </row>
    <row r="151" spans="1:61" ht="12.95" customHeight="1">
      <c r="A151" s="254" t="s">
        <v>2071</v>
      </c>
      <c r="B151" s="254"/>
      <c r="C151" s="204"/>
      <c r="D151" s="254"/>
      <c r="E151" s="502"/>
      <c r="F151" s="501"/>
      <c r="G151" s="506"/>
      <c r="H151" s="506"/>
      <c r="I151" s="506"/>
      <c r="J151" s="506"/>
      <c r="K151" s="506"/>
      <c r="L151" s="506"/>
      <c r="M151" s="506"/>
      <c r="N151" s="506"/>
      <c r="O151" s="506"/>
      <c r="P151" s="506"/>
      <c r="Q151" s="506"/>
      <c r="R151" s="506"/>
      <c r="S151" s="506"/>
      <c r="T151" s="506"/>
      <c r="U151" s="506"/>
      <c r="V151" s="506"/>
      <c r="W151" s="506"/>
      <c r="X151" s="506"/>
      <c r="Y151" s="506"/>
      <c r="Z151" s="506"/>
      <c r="AA151" s="506"/>
      <c r="AB151" s="506"/>
      <c r="AC151" s="506"/>
      <c r="AD151" s="506"/>
      <c r="AE151" s="506"/>
      <c r="AF151" s="506"/>
      <c r="AG151" s="506"/>
      <c r="AH151" s="506"/>
      <c r="AI151" s="506"/>
      <c r="AJ151" s="506"/>
      <c r="AK151" s="506"/>
      <c r="AL151" s="506"/>
      <c r="AM151" s="506"/>
      <c r="AN151" s="506"/>
      <c r="AO151" s="506"/>
      <c r="AP151" s="506"/>
      <c r="AQ151" s="506"/>
      <c r="AR151" s="506"/>
      <c r="AS151" s="506"/>
      <c r="AT151" s="506"/>
      <c r="AU151" s="506"/>
      <c r="AV151" s="506"/>
      <c r="AW151" s="506"/>
      <c r="AX151" s="506"/>
      <c r="AY151" s="506"/>
      <c r="AZ151" s="506"/>
      <c r="BA151" s="506"/>
      <c r="BB151" s="506"/>
      <c r="BC151" s="506"/>
      <c r="BD151" s="506"/>
      <c r="BE151" s="506"/>
      <c r="BF151" s="506"/>
      <c r="BG151" s="506"/>
      <c r="BH151" s="506"/>
      <c r="BI151" s="506"/>
    </row>
    <row r="152" spans="1:61" ht="12.95" customHeight="1">
      <c r="A152" s="254" t="s">
        <v>1957</v>
      </c>
      <c r="B152" s="254" t="s">
        <v>92</v>
      </c>
      <c r="C152" s="204">
        <v>1</v>
      </c>
      <c r="D152" s="254" t="s">
        <v>1952</v>
      </c>
      <c r="E152" s="502">
        <v>1</v>
      </c>
      <c r="F152" s="501">
        <v>34.497267526076598</v>
      </c>
      <c r="G152" s="506">
        <v>100</v>
      </c>
      <c r="H152" s="506">
        <v>0</v>
      </c>
      <c r="I152" s="506">
        <v>0</v>
      </c>
      <c r="J152" s="506">
        <v>31.2</v>
      </c>
      <c r="K152" s="506">
        <v>470.4</v>
      </c>
      <c r="L152" s="506">
        <v>0</v>
      </c>
      <c r="M152" s="506">
        <v>501.6</v>
      </c>
      <c r="N152" s="506">
        <v>81.9456361288821</v>
      </c>
      <c r="O152" s="506">
        <v>0</v>
      </c>
      <c r="P152" s="506">
        <v>81.9456361288821</v>
      </c>
      <c r="Q152" s="506">
        <v>0.217626679341278</v>
      </c>
      <c r="R152" s="506">
        <v>844.68312777277401</v>
      </c>
      <c r="S152" s="506">
        <v>29.005089995492199</v>
      </c>
      <c r="T152" s="506">
        <v>4.0552498010033897E-2</v>
      </c>
      <c r="U152" s="506">
        <v>0.134832199730575</v>
      </c>
      <c r="V152" s="506">
        <v>2.73538191385571E-6</v>
      </c>
      <c r="W152" s="506">
        <v>0</v>
      </c>
      <c r="X152" s="506">
        <v>0</v>
      </c>
      <c r="Y152" s="506">
        <v>0</v>
      </c>
      <c r="Z152" s="506">
        <v>0</v>
      </c>
      <c r="AA152" s="506">
        <v>0</v>
      </c>
      <c r="AB152" s="506">
        <v>0</v>
      </c>
      <c r="AC152" s="506">
        <v>0</v>
      </c>
      <c r="AD152" s="506">
        <v>0</v>
      </c>
      <c r="AE152" s="506">
        <v>0</v>
      </c>
      <c r="AF152" s="506">
        <v>0</v>
      </c>
      <c r="AG152" s="506">
        <v>0</v>
      </c>
      <c r="AH152" s="506">
        <v>5.4406669835319603E-2</v>
      </c>
      <c r="AI152" s="506">
        <v>211.17078194319299</v>
      </c>
      <c r="AJ152" s="506">
        <v>0.2</v>
      </c>
      <c r="AK152" s="506">
        <v>11</v>
      </c>
      <c r="AL152" s="506">
        <v>25</v>
      </c>
      <c r="AM152" s="506">
        <v>-332.9</v>
      </c>
      <c r="AN152" s="506">
        <v>0</v>
      </c>
      <c r="AO152" s="506">
        <v>0</v>
      </c>
      <c r="AP152" s="506">
        <v>31.2</v>
      </c>
      <c r="AQ152" s="506">
        <v>470.4</v>
      </c>
      <c r="AR152" s="506">
        <v>0</v>
      </c>
      <c r="AS152" s="506">
        <v>0</v>
      </c>
      <c r="AT152" s="506">
        <v>25</v>
      </c>
      <c r="AU152" s="506">
        <v>0</v>
      </c>
      <c r="AV152" s="506">
        <v>0</v>
      </c>
      <c r="AW152" s="506">
        <v>0</v>
      </c>
      <c r="AX152" s="506">
        <v>0</v>
      </c>
      <c r="AY152" s="506">
        <v>0</v>
      </c>
      <c r="AZ152" s="506">
        <v>0.2</v>
      </c>
      <c r="BA152" s="506">
        <v>11</v>
      </c>
      <c r="BB152" s="506">
        <v>25</v>
      </c>
      <c r="BC152" s="506">
        <v>137.4</v>
      </c>
      <c r="BD152" s="506">
        <v>0.19600000000000001</v>
      </c>
      <c r="BE152" s="506">
        <v>0</v>
      </c>
      <c r="BF152" s="506">
        <v>4.0000000000000001E-3</v>
      </c>
      <c r="BG152" s="506">
        <v>0.1</v>
      </c>
      <c r="BH152" s="506">
        <v>32.880000000000003</v>
      </c>
      <c r="BI152" s="506">
        <v>25.08</v>
      </c>
    </row>
    <row r="153" spans="1:61" ht="12.95" customHeight="1">
      <c r="A153" s="254" t="s">
        <v>1958</v>
      </c>
      <c r="B153" s="254" t="s">
        <v>92</v>
      </c>
      <c r="C153" s="204">
        <v>2</v>
      </c>
      <c r="D153" s="254" t="s">
        <v>1953</v>
      </c>
      <c r="E153" s="502">
        <v>1</v>
      </c>
      <c r="F153" s="501">
        <v>139.272957101592</v>
      </c>
      <c r="G153" s="506">
        <v>100</v>
      </c>
      <c r="H153" s="506">
        <v>495</v>
      </c>
      <c r="I153" s="506">
        <v>0</v>
      </c>
      <c r="J153" s="506">
        <v>0</v>
      </c>
      <c r="K153" s="506">
        <v>0</v>
      </c>
      <c r="L153" s="506">
        <v>0</v>
      </c>
      <c r="M153" s="506">
        <v>495</v>
      </c>
      <c r="N153" s="506">
        <v>-611.56382028762698</v>
      </c>
      <c r="O153" s="506">
        <v>-817.65882910983203</v>
      </c>
      <c r="P153" s="506">
        <v>206.09500882220499</v>
      </c>
      <c r="Q153" s="506">
        <v>1.16680426347856</v>
      </c>
      <c r="R153" s="506">
        <v>3658.79076057168</v>
      </c>
      <c r="S153" s="506">
        <v>12293.3351377126</v>
      </c>
      <c r="T153" s="506">
        <v>0.34576216578128499</v>
      </c>
      <c r="U153" s="506">
        <v>0.52914222907726005</v>
      </c>
      <c r="V153" s="506">
        <v>1.7848809277582501E-5</v>
      </c>
      <c r="W153" s="506">
        <v>0</v>
      </c>
      <c r="X153" s="506">
        <v>0</v>
      </c>
      <c r="Y153" s="506">
        <v>0</v>
      </c>
      <c r="Z153" s="506">
        <v>0</v>
      </c>
      <c r="AA153" s="506">
        <v>0</v>
      </c>
      <c r="AB153" s="506">
        <v>0</v>
      </c>
      <c r="AC153" s="506">
        <v>0</v>
      </c>
      <c r="AD153" s="506">
        <v>0</v>
      </c>
      <c r="AE153" s="506">
        <v>0</v>
      </c>
      <c r="AF153" s="506">
        <v>0</v>
      </c>
      <c r="AG153" s="506">
        <v>0</v>
      </c>
      <c r="AH153" s="506">
        <v>0.29170106586963901</v>
      </c>
      <c r="AI153" s="506">
        <v>914.69769014291899</v>
      </c>
      <c r="AJ153" s="506">
        <v>1</v>
      </c>
      <c r="AK153" s="506">
        <v>200</v>
      </c>
      <c r="AL153" s="506">
        <v>12.5</v>
      </c>
      <c r="AM153" s="506">
        <v>2500</v>
      </c>
      <c r="AN153" s="506">
        <v>495</v>
      </c>
      <c r="AO153" s="506">
        <v>0</v>
      </c>
      <c r="AP153" s="506">
        <v>0</v>
      </c>
      <c r="AQ153" s="506">
        <v>0</v>
      </c>
      <c r="AR153" s="506">
        <v>0</v>
      </c>
      <c r="AS153" s="506">
        <v>0</v>
      </c>
      <c r="AT153" s="506">
        <v>12.5</v>
      </c>
      <c r="AU153" s="506">
        <v>0</v>
      </c>
      <c r="AV153" s="506">
        <v>0</v>
      </c>
      <c r="AW153" s="506">
        <v>0</v>
      </c>
      <c r="AX153" s="506">
        <v>0</v>
      </c>
      <c r="AY153" s="506">
        <v>0</v>
      </c>
      <c r="AZ153" s="506">
        <v>1</v>
      </c>
      <c r="BA153" s="506">
        <v>200</v>
      </c>
      <c r="BB153" s="506">
        <v>12.5</v>
      </c>
      <c r="BC153" s="506">
        <v>2499.9</v>
      </c>
      <c r="BD153" s="506">
        <v>0</v>
      </c>
      <c r="BE153" s="506">
        <v>1</v>
      </c>
      <c r="BF153" s="506">
        <v>0</v>
      </c>
      <c r="BG153" s="506">
        <v>0.1</v>
      </c>
      <c r="BH153" s="506">
        <v>99</v>
      </c>
      <c r="BI153" s="506">
        <v>24.75</v>
      </c>
    </row>
    <row r="154" spans="1:61" ht="12.95" customHeight="1">
      <c r="A154" s="254" t="s">
        <v>1959</v>
      </c>
      <c r="B154" s="254" t="s">
        <v>92</v>
      </c>
      <c r="C154" s="204">
        <v>3</v>
      </c>
      <c r="D154" s="254" t="s">
        <v>1954</v>
      </c>
      <c r="E154" s="502">
        <v>1</v>
      </c>
      <c r="F154" s="501">
        <v>21910.8969615194</v>
      </c>
      <c r="G154" s="506">
        <v>100</v>
      </c>
      <c r="H154" s="506">
        <v>0</v>
      </c>
      <c r="I154" s="506">
        <v>0</v>
      </c>
      <c r="J154" s="506">
        <v>7800</v>
      </c>
      <c r="K154" s="506">
        <v>0</v>
      </c>
      <c r="L154" s="506">
        <v>0</v>
      </c>
      <c r="M154" s="506">
        <v>7800</v>
      </c>
      <c r="N154" s="506">
        <v>16695.1497504012</v>
      </c>
      <c r="O154" s="506">
        <v>0</v>
      </c>
      <c r="P154" s="506">
        <v>16695.1497504012</v>
      </c>
      <c r="Q154" s="506">
        <v>82.814036535707899</v>
      </c>
      <c r="R154" s="506">
        <v>243685.013950747</v>
      </c>
      <c r="S154" s="506">
        <v>10734.3368444193</v>
      </c>
      <c r="T154" s="506">
        <v>13.510451978173601</v>
      </c>
      <c r="U154" s="506">
        <v>40.482974275037598</v>
      </c>
      <c r="V154" s="506">
        <v>9.3298009834567202E-4</v>
      </c>
      <c r="W154" s="506">
        <v>0</v>
      </c>
      <c r="X154" s="506">
        <v>0</v>
      </c>
      <c r="Y154" s="506">
        <v>0</v>
      </c>
      <c r="Z154" s="506">
        <v>0</v>
      </c>
      <c r="AA154" s="506">
        <v>0</v>
      </c>
      <c r="AB154" s="506">
        <v>0</v>
      </c>
      <c r="AC154" s="506">
        <v>0</v>
      </c>
      <c r="AD154" s="506">
        <v>0</v>
      </c>
      <c r="AE154" s="506">
        <v>0</v>
      </c>
      <c r="AF154" s="506">
        <v>0</v>
      </c>
      <c r="AG154" s="506">
        <v>0</v>
      </c>
      <c r="AH154" s="506">
        <v>20.703509133927</v>
      </c>
      <c r="AI154" s="506">
        <v>60921.253487686801</v>
      </c>
      <c r="AJ154" s="506">
        <v>1</v>
      </c>
      <c r="AK154" s="506">
        <v>300</v>
      </c>
      <c r="AL154" s="506">
        <v>12.5</v>
      </c>
      <c r="AM154" s="506">
        <v>3750</v>
      </c>
      <c r="AN154" s="506">
        <v>0</v>
      </c>
      <c r="AO154" s="506">
        <v>0</v>
      </c>
      <c r="AP154" s="506">
        <v>7800</v>
      </c>
      <c r="AQ154" s="506">
        <v>0</v>
      </c>
      <c r="AR154" s="506">
        <v>0</v>
      </c>
      <c r="AS154" s="506">
        <v>0</v>
      </c>
      <c r="AT154" s="506">
        <v>12.5</v>
      </c>
      <c r="AU154" s="506">
        <v>0</v>
      </c>
      <c r="AV154" s="506">
        <v>0</v>
      </c>
      <c r="AW154" s="506">
        <v>0</v>
      </c>
      <c r="AX154" s="506">
        <v>0</v>
      </c>
      <c r="AY154" s="506">
        <v>0</v>
      </c>
      <c r="AZ154" s="506">
        <v>1</v>
      </c>
      <c r="BA154" s="506">
        <v>300</v>
      </c>
      <c r="BB154" s="506">
        <v>12.5</v>
      </c>
      <c r="BC154" s="506">
        <v>3749.9</v>
      </c>
      <c r="BD154" s="506">
        <v>0</v>
      </c>
      <c r="BE154" s="506">
        <v>0</v>
      </c>
      <c r="BF154" s="506">
        <v>1</v>
      </c>
      <c r="BG154" s="506">
        <v>0.1</v>
      </c>
      <c r="BH154" s="506">
        <v>2340</v>
      </c>
      <c r="BI154" s="506">
        <v>390</v>
      </c>
    </row>
    <row r="155" spans="1:61" ht="12.95" customHeight="1" thickBot="1">
      <c r="A155" s="254" t="s">
        <v>1960</v>
      </c>
      <c r="B155" s="254" t="s">
        <v>92</v>
      </c>
      <c r="C155" s="204">
        <v>4</v>
      </c>
      <c r="D155" s="254" t="s">
        <v>1955</v>
      </c>
      <c r="E155" s="502">
        <v>1</v>
      </c>
      <c r="F155" s="501">
        <v>45250.119792441998</v>
      </c>
      <c r="G155" s="506">
        <v>100</v>
      </c>
      <c r="H155" s="506">
        <v>0</v>
      </c>
      <c r="I155" s="506">
        <v>0</v>
      </c>
      <c r="J155" s="506">
        <v>7800</v>
      </c>
      <c r="K155" s="506">
        <v>0</v>
      </c>
      <c r="L155" s="506">
        <v>0</v>
      </c>
      <c r="M155" s="506">
        <v>7800</v>
      </c>
      <c r="N155" s="506">
        <v>34092.955948338</v>
      </c>
      <c r="O155" s="506">
        <v>0</v>
      </c>
      <c r="P155" s="506">
        <v>34092.955948338</v>
      </c>
      <c r="Q155" s="506">
        <v>181.70394452949299</v>
      </c>
      <c r="R155" s="506">
        <v>461313.0359136</v>
      </c>
      <c r="S155" s="506">
        <v>84614.448906000005</v>
      </c>
      <c r="T155" s="506">
        <v>16.318956352133</v>
      </c>
      <c r="U155" s="506">
        <v>66.775425151190007</v>
      </c>
      <c r="V155" s="506">
        <v>1.69497123618342E-3</v>
      </c>
      <c r="W155" s="506">
        <v>0</v>
      </c>
      <c r="X155" s="506">
        <v>0</v>
      </c>
      <c r="Y155" s="506">
        <v>0</v>
      </c>
      <c r="Z155" s="506">
        <v>0</v>
      </c>
      <c r="AA155" s="506">
        <v>0</v>
      </c>
      <c r="AB155" s="506">
        <v>0</v>
      </c>
      <c r="AC155" s="506">
        <v>0</v>
      </c>
      <c r="AD155" s="506">
        <v>0</v>
      </c>
      <c r="AE155" s="506">
        <v>0</v>
      </c>
      <c r="AF155" s="506">
        <v>0</v>
      </c>
      <c r="AG155" s="506">
        <v>0</v>
      </c>
      <c r="AH155" s="506">
        <v>45.425986132373097</v>
      </c>
      <c r="AI155" s="506">
        <v>115328.2589784</v>
      </c>
      <c r="AJ155" s="506">
        <v>1</v>
      </c>
      <c r="AK155" s="506">
        <v>300</v>
      </c>
      <c r="AL155" s="506">
        <v>12.5</v>
      </c>
      <c r="AM155" s="506">
        <v>3750</v>
      </c>
      <c r="AN155" s="506">
        <v>0</v>
      </c>
      <c r="AO155" s="506">
        <v>0</v>
      </c>
      <c r="AP155" s="506">
        <v>7800</v>
      </c>
      <c r="AQ155" s="506">
        <v>0</v>
      </c>
      <c r="AR155" s="506">
        <v>0</v>
      </c>
      <c r="AS155" s="506">
        <v>0</v>
      </c>
      <c r="AT155" s="506">
        <v>12.5</v>
      </c>
      <c r="AU155" s="506">
        <v>0</v>
      </c>
      <c r="AV155" s="506">
        <v>0</v>
      </c>
      <c r="AW155" s="506">
        <v>0</v>
      </c>
      <c r="AX155" s="506">
        <v>0</v>
      </c>
      <c r="AY155" s="506">
        <v>0</v>
      </c>
      <c r="AZ155" s="506">
        <v>1</v>
      </c>
      <c r="BA155" s="506">
        <v>300</v>
      </c>
      <c r="BB155" s="506">
        <v>12.5</v>
      </c>
      <c r="BC155" s="506">
        <v>3749.9</v>
      </c>
      <c r="BD155" s="506">
        <v>0</v>
      </c>
      <c r="BE155" s="506">
        <v>0</v>
      </c>
      <c r="BF155" s="506">
        <v>1</v>
      </c>
      <c r="BG155" s="506">
        <v>0.1</v>
      </c>
      <c r="BH155" s="506">
        <v>2340</v>
      </c>
      <c r="BI155" s="506">
        <v>390</v>
      </c>
    </row>
    <row r="156" spans="1:61" ht="12.95" customHeight="1" thickBot="1">
      <c r="A156" s="254" t="s">
        <v>1956</v>
      </c>
      <c r="B156" s="254" t="s">
        <v>92</v>
      </c>
      <c r="C156" s="204"/>
      <c r="D156" s="254"/>
      <c r="E156" s="502"/>
      <c r="F156" s="501"/>
      <c r="G156" s="90"/>
      <c r="H156" s="90"/>
      <c r="I156" s="90"/>
      <c r="J156" s="90"/>
      <c r="K156" s="90"/>
      <c r="L156" s="90"/>
      <c r="M156" s="90"/>
      <c r="N156" s="90"/>
      <c r="O156" s="90"/>
      <c r="P156" s="90"/>
      <c r="Q156" s="90"/>
      <c r="R156" s="90"/>
      <c r="S156" s="90"/>
      <c r="T156" s="90"/>
      <c r="U156" s="90"/>
      <c r="V156" s="90"/>
      <c r="W156" s="90"/>
      <c r="X156" s="90"/>
      <c r="Y156" s="90"/>
      <c r="Z156" s="90"/>
      <c r="AA156" s="90"/>
      <c r="AB156" s="90"/>
      <c r="AC156" s="90"/>
      <c r="AD156" s="90"/>
      <c r="AE156" s="90"/>
      <c r="AF156" s="90"/>
      <c r="AG156" s="90"/>
      <c r="AH156" s="90"/>
      <c r="AI156" s="90"/>
      <c r="AJ156" s="90"/>
      <c r="AK156" s="90"/>
      <c r="AL156" s="90"/>
      <c r="AM156" s="90"/>
      <c r="AN156" s="90"/>
      <c r="AO156" s="90"/>
      <c r="AP156" s="90"/>
      <c r="AQ156" s="90"/>
      <c r="AR156" s="90"/>
      <c r="AS156" s="90"/>
      <c r="AT156" s="90"/>
      <c r="AU156" s="90"/>
      <c r="AV156" s="90"/>
      <c r="AW156" s="90"/>
      <c r="AX156" s="90"/>
      <c r="AY156" s="90"/>
      <c r="AZ156" s="90"/>
      <c r="BA156" s="90"/>
      <c r="BB156" s="90"/>
      <c r="BC156" s="90"/>
      <c r="BD156" s="90"/>
      <c r="BE156" s="90"/>
      <c r="BF156" s="90"/>
      <c r="BG156" s="90"/>
      <c r="BH156" s="90"/>
      <c r="BI156" s="506"/>
    </row>
    <row r="157" spans="1:61" ht="12.95" customHeight="1" thickTop="1" thickBot="1">
      <c r="A157" s="172" t="s">
        <v>2693</v>
      </c>
      <c r="B157" s="493"/>
      <c r="C157" s="491"/>
      <c r="D157" s="493"/>
      <c r="E157" s="555"/>
      <c r="F157" s="636" t="s">
        <v>2688</v>
      </c>
      <c r="G157" s="636"/>
      <c r="H157" s="636"/>
      <c r="I157" s="558"/>
      <c r="J157" s="558"/>
      <c r="K157" s="558"/>
      <c r="L157" s="558"/>
      <c r="M157" s="558"/>
      <c r="N157" s="558"/>
      <c r="O157" s="558"/>
      <c r="P157" s="558"/>
      <c r="Q157" s="558"/>
      <c r="R157" s="558"/>
      <c r="S157" s="558"/>
      <c r="T157" s="558"/>
      <c r="U157" s="558"/>
      <c r="V157" s="558"/>
      <c r="W157" s="558"/>
      <c r="X157" s="558"/>
      <c r="Y157" s="558"/>
      <c r="Z157" s="558"/>
      <c r="AA157" s="558"/>
      <c r="AB157" s="558"/>
      <c r="AC157" s="558"/>
      <c r="AD157" s="558"/>
      <c r="AE157" s="558"/>
      <c r="AF157" s="558"/>
      <c r="AG157" s="558"/>
      <c r="AH157" s="558"/>
      <c r="AI157" s="558"/>
      <c r="AJ157" s="558"/>
      <c r="AK157" s="558"/>
      <c r="AL157" s="558"/>
      <c r="AM157" s="558"/>
      <c r="AN157" s="558"/>
      <c r="AO157" s="558"/>
      <c r="AP157" s="558"/>
      <c r="AQ157" s="558"/>
      <c r="AR157" s="558"/>
      <c r="AS157" s="558"/>
      <c r="AT157" s="558"/>
      <c r="AU157" s="558"/>
      <c r="AV157" s="558"/>
      <c r="AW157" s="558"/>
      <c r="AX157" s="558"/>
      <c r="AY157" s="558"/>
      <c r="AZ157" s="558"/>
      <c r="BA157" s="558"/>
      <c r="BB157" s="558"/>
      <c r="BC157" s="558"/>
      <c r="BD157" s="558"/>
      <c r="BE157" s="558"/>
      <c r="BF157" s="558"/>
      <c r="BG157" s="558"/>
      <c r="BH157" s="558"/>
      <c r="BI157" s="558"/>
    </row>
    <row r="158" spans="1:61" ht="12.95" customHeight="1" thickTop="1">
      <c r="A158" s="254" t="s">
        <v>2071</v>
      </c>
      <c r="B158" s="254"/>
      <c r="C158" s="204"/>
      <c r="D158" s="254"/>
      <c r="E158" s="502"/>
      <c r="F158" s="501"/>
      <c r="G158" s="506"/>
      <c r="H158" s="506"/>
      <c r="I158" s="506"/>
      <c r="J158" s="506"/>
      <c r="K158" s="506"/>
      <c r="L158" s="506"/>
      <c r="M158" s="506"/>
      <c r="N158" s="506"/>
      <c r="O158" s="506"/>
      <c r="P158" s="506"/>
      <c r="Q158" s="506"/>
      <c r="R158" s="506"/>
      <c r="S158" s="506"/>
      <c r="T158" s="506"/>
      <c r="U158" s="506"/>
      <c r="V158" s="506"/>
      <c r="W158" s="506"/>
      <c r="X158" s="506"/>
      <c r="Y158" s="506"/>
      <c r="Z158" s="506"/>
      <c r="AA158" s="506"/>
      <c r="AB158" s="506"/>
      <c r="AC158" s="506"/>
      <c r="AD158" s="506"/>
      <c r="AE158" s="506"/>
      <c r="AF158" s="506"/>
      <c r="AG158" s="506"/>
      <c r="AH158" s="506"/>
      <c r="AI158" s="506"/>
      <c r="AJ158" s="506"/>
      <c r="AK158" s="506"/>
      <c r="AL158" s="506"/>
      <c r="AM158" s="506"/>
      <c r="AN158" s="506"/>
      <c r="AO158" s="506"/>
      <c r="AP158" s="506"/>
      <c r="AQ158" s="506"/>
      <c r="AR158" s="506"/>
      <c r="AS158" s="506"/>
      <c r="AT158" s="506"/>
      <c r="AU158" s="506"/>
      <c r="AV158" s="506"/>
      <c r="AW158" s="506"/>
      <c r="AX158" s="506"/>
      <c r="AY158" s="506"/>
      <c r="AZ158" s="506"/>
      <c r="BA158" s="506"/>
      <c r="BB158" s="506"/>
      <c r="BC158" s="506"/>
      <c r="BD158" s="506"/>
      <c r="BE158" s="506"/>
      <c r="BF158" s="506"/>
      <c r="BG158" s="506"/>
      <c r="BH158" s="506"/>
      <c r="BI158" s="506"/>
    </row>
    <row r="159" spans="1:61" ht="12.95" customHeight="1" thickBot="1">
      <c r="A159" s="254" t="s">
        <v>2465</v>
      </c>
      <c r="B159" s="254" t="s">
        <v>92</v>
      </c>
      <c r="C159" s="204"/>
      <c r="D159" s="254"/>
      <c r="E159" s="502"/>
      <c r="F159" s="501"/>
      <c r="G159" s="506"/>
      <c r="H159" s="506"/>
      <c r="I159" s="506"/>
      <c r="J159" s="506"/>
      <c r="K159" s="506"/>
      <c r="L159" s="506"/>
      <c r="M159" s="506"/>
      <c r="N159" s="506">
        <v>83.927968000000007</v>
      </c>
      <c r="O159" s="506">
        <v>-0.844803999999996</v>
      </c>
      <c r="P159" s="506">
        <v>84.772772000000003</v>
      </c>
      <c r="Q159" s="506">
        <v>0.62088388999999999</v>
      </c>
      <c r="R159" s="506">
        <v>1316.1669999999999</v>
      </c>
      <c r="S159" s="506"/>
      <c r="T159" s="506"/>
      <c r="U159" s="506"/>
      <c r="V159" s="506"/>
      <c r="W159" s="506"/>
      <c r="X159" s="506"/>
      <c r="Y159" s="506"/>
      <c r="Z159" s="506"/>
      <c r="AA159" s="506"/>
      <c r="AB159" s="506"/>
      <c r="AC159" s="506"/>
      <c r="AD159" s="506"/>
      <c r="AE159" s="506"/>
      <c r="AF159" s="506"/>
      <c r="AG159" s="506"/>
      <c r="AH159" s="506"/>
      <c r="AI159" s="506"/>
      <c r="AJ159" s="506"/>
      <c r="AK159" s="506"/>
      <c r="AL159" s="506"/>
      <c r="AM159" s="506"/>
      <c r="AN159" s="506"/>
      <c r="AO159" s="506"/>
      <c r="AP159" s="506"/>
      <c r="AQ159" s="506"/>
      <c r="AR159" s="506"/>
      <c r="AS159" s="506"/>
      <c r="AT159" s="506"/>
      <c r="AU159" s="506"/>
      <c r="AV159" s="506"/>
      <c r="AW159" s="506"/>
      <c r="AX159" s="506"/>
      <c r="AY159" s="506"/>
      <c r="AZ159" s="506"/>
      <c r="BA159" s="506"/>
      <c r="BB159" s="506"/>
      <c r="BC159" s="506"/>
      <c r="BD159" s="506"/>
      <c r="BE159" s="506"/>
      <c r="BF159" s="506"/>
      <c r="BG159" s="506"/>
      <c r="BH159" s="506"/>
      <c r="BI159" s="506"/>
    </row>
    <row r="160" spans="1:61" ht="12.95" customHeight="1" thickBot="1">
      <c r="A160" s="254" t="s">
        <v>2298</v>
      </c>
      <c r="B160" s="254" t="s">
        <v>92</v>
      </c>
      <c r="C160" s="204"/>
      <c r="D160" s="254"/>
      <c r="E160" s="502"/>
      <c r="F160" s="501"/>
      <c r="G160" s="506"/>
      <c r="H160" s="506"/>
      <c r="I160" s="506"/>
      <c r="J160" s="506"/>
      <c r="K160" s="506"/>
      <c r="L160" s="506"/>
      <c r="M160" s="506"/>
      <c r="N160" s="90"/>
      <c r="O160" s="90"/>
      <c r="P160" s="90"/>
      <c r="Q160" s="90"/>
      <c r="R160" s="90"/>
      <c r="S160" s="506"/>
      <c r="T160" s="506"/>
      <c r="U160" s="506"/>
      <c r="V160" s="506"/>
      <c r="W160" s="506"/>
      <c r="X160" s="506"/>
      <c r="Y160" s="506"/>
      <c r="Z160" s="506"/>
      <c r="AA160" s="506"/>
      <c r="AB160" s="506"/>
      <c r="AC160" s="506"/>
      <c r="AD160" s="506"/>
      <c r="AE160" s="506"/>
      <c r="AF160" s="506"/>
      <c r="AG160" s="506"/>
      <c r="AH160" s="506"/>
      <c r="AI160" s="506"/>
      <c r="AJ160" s="506"/>
      <c r="AK160" s="506"/>
      <c r="AL160" s="506"/>
      <c r="AM160" s="506"/>
      <c r="AN160" s="506"/>
      <c r="AO160" s="506"/>
      <c r="AP160" s="506"/>
      <c r="AQ160" s="506"/>
      <c r="AR160" s="506"/>
      <c r="AS160" s="506"/>
      <c r="AT160" s="506"/>
      <c r="AU160" s="506"/>
      <c r="AV160" s="506"/>
      <c r="AW160" s="506"/>
      <c r="AX160" s="506"/>
      <c r="AY160" s="506"/>
      <c r="AZ160" s="506"/>
      <c r="BA160" s="506"/>
      <c r="BB160" s="506"/>
      <c r="BC160" s="506"/>
      <c r="BD160" s="506"/>
      <c r="BE160" s="506"/>
      <c r="BF160" s="506"/>
      <c r="BG160" s="506"/>
      <c r="BH160" s="506"/>
      <c r="BI160" s="506"/>
    </row>
    <row r="161" spans="1:61" ht="12.95" customHeight="1">
      <c r="A161" s="91" t="s">
        <v>2071</v>
      </c>
      <c r="B161" s="254"/>
      <c r="C161" s="204"/>
      <c r="D161" s="254"/>
      <c r="E161" s="502"/>
      <c r="F161" s="501"/>
      <c r="G161" s="506"/>
      <c r="H161" s="506"/>
      <c r="I161" s="506"/>
      <c r="J161" s="506"/>
      <c r="K161" s="506"/>
      <c r="L161" s="506"/>
      <c r="M161" s="506"/>
      <c r="N161" s="506"/>
      <c r="O161" s="506"/>
      <c r="P161" s="506"/>
      <c r="Q161" s="506"/>
      <c r="R161" s="506"/>
      <c r="S161" s="506"/>
      <c r="T161" s="506"/>
      <c r="U161" s="506"/>
      <c r="V161" s="506"/>
      <c r="W161" s="506"/>
      <c r="X161" s="506"/>
      <c r="Y161" s="506"/>
      <c r="Z161" s="506"/>
      <c r="AA161" s="506"/>
      <c r="AB161" s="506"/>
      <c r="AC161" s="506"/>
      <c r="AD161" s="506"/>
      <c r="AE161" s="506"/>
      <c r="AF161" s="506"/>
      <c r="AG161" s="506"/>
      <c r="AH161" s="506"/>
      <c r="AI161" s="506"/>
      <c r="AJ161" s="506"/>
      <c r="AK161" s="506"/>
      <c r="AL161" s="506"/>
      <c r="AM161" s="506"/>
      <c r="AN161" s="506"/>
      <c r="AO161" s="506"/>
      <c r="AP161" s="506"/>
      <c r="AQ161" s="506"/>
      <c r="AR161" s="506"/>
      <c r="AS161" s="506"/>
      <c r="AT161" s="506"/>
      <c r="AU161" s="506"/>
      <c r="AV161" s="506"/>
      <c r="AW161" s="506"/>
      <c r="AX161" s="506"/>
      <c r="AY161" s="506"/>
      <c r="AZ161" s="506"/>
      <c r="BA161" s="506"/>
      <c r="BB161" s="506"/>
      <c r="BC161" s="506"/>
      <c r="BD161" s="506"/>
      <c r="BE161" s="506"/>
      <c r="BF161" s="506"/>
      <c r="BG161" s="506"/>
      <c r="BH161" s="506"/>
      <c r="BI161" s="506"/>
    </row>
    <row r="162" spans="1:61" ht="12.95" customHeight="1" thickBot="1">
      <c r="A162" s="254" t="s">
        <v>2465</v>
      </c>
      <c r="B162" s="254" t="s">
        <v>92</v>
      </c>
      <c r="C162" s="204"/>
      <c r="D162" s="254"/>
      <c r="E162" s="502"/>
      <c r="F162" s="501"/>
      <c r="G162" s="506"/>
      <c r="H162" s="506"/>
      <c r="I162" s="506"/>
      <c r="J162" s="506"/>
      <c r="K162" s="506"/>
      <c r="L162" s="506"/>
      <c r="M162" s="506"/>
      <c r="N162" s="506">
        <v>83.927968000000007</v>
      </c>
      <c r="O162" s="506">
        <v>-0.844803999999996</v>
      </c>
      <c r="P162" s="506">
        <v>84.772772000000003</v>
      </c>
      <c r="Q162" s="506">
        <v>0.62088388999999999</v>
      </c>
      <c r="R162" s="506">
        <v>1316.1669999999999</v>
      </c>
      <c r="S162" s="506"/>
      <c r="T162" s="506"/>
      <c r="U162" s="506"/>
      <c r="V162" s="506"/>
      <c r="W162" s="506"/>
      <c r="X162" s="506"/>
      <c r="Y162" s="506"/>
      <c r="Z162" s="506"/>
      <c r="AA162" s="506"/>
      <c r="AB162" s="506"/>
      <c r="AC162" s="506"/>
      <c r="AD162" s="506"/>
      <c r="AE162" s="506"/>
      <c r="AF162" s="506"/>
      <c r="AG162" s="506"/>
      <c r="AH162" s="506"/>
      <c r="AI162" s="506"/>
      <c r="AJ162" s="506"/>
      <c r="AK162" s="506"/>
      <c r="AL162" s="506"/>
      <c r="AM162" s="506"/>
      <c r="AN162" s="506"/>
      <c r="AO162" s="506"/>
      <c r="AP162" s="506"/>
      <c r="AQ162" s="506"/>
      <c r="AR162" s="506"/>
      <c r="AS162" s="506"/>
      <c r="AT162" s="506"/>
      <c r="AU162" s="506"/>
      <c r="AV162" s="506"/>
      <c r="AW162" s="506"/>
      <c r="AX162" s="506"/>
      <c r="AY162" s="506"/>
      <c r="AZ162" s="506"/>
      <c r="BA162" s="506"/>
      <c r="BB162" s="506"/>
      <c r="BC162" s="506"/>
      <c r="BD162" s="506"/>
      <c r="BE162" s="506"/>
      <c r="BF162" s="506"/>
      <c r="BG162" s="506"/>
      <c r="BH162" s="506"/>
      <c r="BI162" s="506"/>
    </row>
    <row r="163" spans="1:61" ht="12.95" customHeight="1" thickBot="1">
      <c r="A163" s="254" t="s">
        <v>2160</v>
      </c>
      <c r="B163" s="254" t="s">
        <v>92</v>
      </c>
      <c r="C163" s="204"/>
      <c r="D163" s="254"/>
      <c r="E163" s="502"/>
      <c r="F163" s="501"/>
      <c r="G163" s="506"/>
      <c r="H163" s="506"/>
      <c r="I163" s="506"/>
      <c r="J163" s="506"/>
      <c r="K163" s="506"/>
      <c r="L163" s="506"/>
      <c r="M163" s="506"/>
      <c r="N163" s="90"/>
      <c r="O163" s="90"/>
      <c r="P163" s="90"/>
      <c r="Q163" s="90"/>
      <c r="R163" s="90"/>
      <c r="S163" s="506"/>
      <c r="T163" s="506"/>
      <c r="U163" s="506"/>
      <c r="V163" s="506"/>
      <c r="W163" s="506"/>
      <c r="X163" s="506"/>
      <c r="Y163" s="506"/>
      <c r="Z163" s="506"/>
      <c r="AA163" s="506"/>
      <c r="AB163" s="506"/>
      <c r="AC163" s="506"/>
      <c r="AD163" s="506"/>
      <c r="AE163" s="506"/>
      <c r="AF163" s="506"/>
      <c r="AG163" s="506"/>
      <c r="AH163" s="506"/>
      <c r="AI163" s="506"/>
      <c r="AJ163" s="506"/>
      <c r="AK163" s="506"/>
      <c r="AL163" s="506"/>
      <c r="AM163" s="506"/>
      <c r="AN163" s="506"/>
      <c r="AO163" s="506"/>
      <c r="AP163" s="506"/>
      <c r="AQ163" s="506"/>
      <c r="AR163" s="506"/>
      <c r="AS163" s="506"/>
      <c r="AT163" s="506"/>
      <c r="AU163" s="506"/>
      <c r="AV163" s="506"/>
      <c r="AW163" s="506"/>
      <c r="AX163" s="506"/>
      <c r="AY163" s="506"/>
      <c r="AZ163" s="506"/>
      <c r="BA163" s="506"/>
      <c r="BB163" s="506"/>
      <c r="BC163" s="506"/>
      <c r="BD163" s="506"/>
      <c r="BE163" s="506"/>
      <c r="BF163" s="506"/>
      <c r="BG163" s="506"/>
      <c r="BH163" s="506"/>
      <c r="BI163" s="506"/>
    </row>
    <row r="164" spans="1:61" ht="12.95" customHeight="1">
      <c r="A164" s="254" t="s">
        <v>2071</v>
      </c>
      <c r="B164" s="254"/>
      <c r="C164" s="204"/>
      <c r="D164" s="254"/>
      <c r="E164" s="502"/>
      <c r="F164" s="501"/>
      <c r="G164" s="506"/>
      <c r="H164" s="506"/>
      <c r="I164" s="506"/>
      <c r="J164" s="506"/>
      <c r="K164" s="506"/>
      <c r="L164" s="506"/>
      <c r="M164" s="506"/>
      <c r="N164" s="506"/>
      <c r="O164" s="506"/>
      <c r="P164" s="506"/>
      <c r="Q164" s="506"/>
      <c r="R164" s="506"/>
      <c r="S164" s="506"/>
      <c r="T164" s="506"/>
      <c r="U164" s="506"/>
      <c r="V164" s="506"/>
      <c r="W164" s="506"/>
      <c r="X164" s="506"/>
      <c r="Y164" s="506"/>
      <c r="Z164" s="506"/>
      <c r="AA164" s="506"/>
      <c r="AB164" s="506"/>
      <c r="AC164" s="506"/>
      <c r="AD164" s="506"/>
      <c r="AE164" s="506"/>
      <c r="AF164" s="506"/>
      <c r="AG164" s="506"/>
      <c r="AH164" s="506"/>
      <c r="AI164" s="506"/>
      <c r="AJ164" s="506"/>
      <c r="AK164" s="506"/>
      <c r="AL164" s="506"/>
      <c r="AM164" s="506"/>
      <c r="AN164" s="506"/>
      <c r="AO164" s="506"/>
      <c r="AP164" s="506"/>
      <c r="AQ164" s="506"/>
      <c r="AR164" s="506"/>
      <c r="AS164" s="506"/>
      <c r="AT164" s="506"/>
      <c r="AU164" s="506"/>
      <c r="AV164" s="506"/>
      <c r="AW164" s="506"/>
      <c r="AX164" s="506"/>
      <c r="AY164" s="506"/>
      <c r="AZ164" s="506"/>
      <c r="BA164" s="506"/>
      <c r="BB164" s="506"/>
      <c r="BC164" s="506"/>
      <c r="BD164" s="506"/>
      <c r="BE164" s="506"/>
      <c r="BF164" s="506"/>
      <c r="BG164" s="506"/>
      <c r="BH164" s="506"/>
      <c r="BI164" s="506"/>
    </row>
    <row r="165" spans="1:61" ht="12.95" customHeight="1">
      <c r="A165" s="254" t="s">
        <v>2466</v>
      </c>
      <c r="B165" s="254" t="s">
        <v>92</v>
      </c>
      <c r="C165" s="204"/>
      <c r="D165" s="254"/>
      <c r="E165" s="502"/>
      <c r="F165" s="501"/>
      <c r="G165" s="506"/>
      <c r="H165" s="506"/>
      <c r="I165" s="506"/>
      <c r="J165" s="506"/>
      <c r="K165" s="506"/>
      <c r="L165" s="506"/>
      <c r="M165" s="506"/>
      <c r="N165" s="506">
        <v>242.39697000000001</v>
      </c>
      <c r="O165" s="506">
        <v>0</v>
      </c>
      <c r="P165" s="506">
        <v>242.39697000000001</v>
      </c>
      <c r="Q165" s="506">
        <v>1.0894606</v>
      </c>
      <c r="R165" s="506">
        <v>4078.0952000000002</v>
      </c>
      <c r="S165" s="506"/>
      <c r="T165" s="506"/>
      <c r="U165" s="506"/>
      <c r="V165" s="506"/>
      <c r="W165" s="506"/>
      <c r="X165" s="506"/>
      <c r="Y165" s="506"/>
      <c r="Z165" s="506"/>
      <c r="AA165" s="506"/>
      <c r="AB165" s="506"/>
      <c r="AC165" s="506"/>
      <c r="AD165" s="506"/>
      <c r="AE165" s="506"/>
      <c r="AF165" s="506"/>
      <c r="AG165" s="506"/>
      <c r="AH165" s="506"/>
      <c r="AI165" s="506"/>
      <c r="AJ165" s="506"/>
      <c r="AK165" s="506"/>
      <c r="AL165" s="506"/>
      <c r="AM165" s="506"/>
      <c r="AN165" s="506"/>
      <c r="AO165" s="506"/>
      <c r="AP165" s="506"/>
      <c r="AQ165" s="506"/>
      <c r="AR165" s="506"/>
      <c r="AS165" s="506"/>
      <c r="AT165" s="506"/>
      <c r="AU165" s="506"/>
      <c r="AV165" s="506"/>
      <c r="AW165" s="506"/>
      <c r="AX165" s="506"/>
      <c r="AY165" s="506"/>
      <c r="AZ165" s="506"/>
      <c r="BA165" s="506"/>
      <c r="BB165" s="506"/>
      <c r="BC165" s="506"/>
      <c r="BD165" s="506"/>
      <c r="BE165" s="506"/>
      <c r="BF165" s="506"/>
      <c r="BG165" s="506"/>
      <c r="BH165" s="506"/>
      <c r="BI165" s="506"/>
    </row>
    <row r="166" spans="1:61" ht="12.95" customHeight="1">
      <c r="A166" s="254" t="s">
        <v>2467</v>
      </c>
      <c r="B166" s="254" t="s">
        <v>92</v>
      </c>
      <c r="C166" s="204"/>
      <c r="D166" s="254"/>
      <c r="E166" s="502"/>
      <c r="F166" s="501"/>
      <c r="G166" s="506"/>
      <c r="H166" s="506"/>
      <c r="I166" s="506"/>
      <c r="J166" s="506"/>
      <c r="K166" s="506"/>
      <c r="L166" s="506"/>
      <c r="M166" s="506"/>
      <c r="N166" s="506">
        <v>209.82066</v>
      </c>
      <c r="O166" s="506">
        <v>0</v>
      </c>
      <c r="P166" s="506">
        <v>209.82066</v>
      </c>
      <c r="Q166" s="506">
        <v>0.94707922</v>
      </c>
      <c r="R166" s="506">
        <v>3485.7926000000002</v>
      </c>
      <c r="S166" s="506"/>
      <c r="T166" s="506"/>
      <c r="U166" s="506"/>
      <c r="V166" s="506"/>
      <c r="W166" s="506"/>
      <c r="X166" s="506"/>
      <c r="Y166" s="506"/>
      <c r="Z166" s="506"/>
      <c r="AA166" s="506"/>
      <c r="AB166" s="506"/>
      <c r="AC166" s="506"/>
      <c r="AD166" s="506"/>
      <c r="AE166" s="506"/>
      <c r="AF166" s="506"/>
      <c r="AG166" s="506"/>
      <c r="AH166" s="506"/>
      <c r="AI166" s="506"/>
      <c r="AJ166" s="506"/>
      <c r="AK166" s="506"/>
      <c r="AL166" s="506"/>
      <c r="AM166" s="506"/>
      <c r="AN166" s="506"/>
      <c r="AO166" s="506"/>
      <c r="AP166" s="506"/>
      <c r="AQ166" s="506"/>
      <c r="AR166" s="506"/>
      <c r="AS166" s="506"/>
      <c r="AT166" s="506"/>
      <c r="AU166" s="506"/>
      <c r="AV166" s="506"/>
      <c r="AW166" s="506"/>
      <c r="AX166" s="506"/>
      <c r="AY166" s="506"/>
      <c r="AZ166" s="506"/>
      <c r="BA166" s="506"/>
      <c r="BB166" s="506"/>
      <c r="BC166" s="506"/>
      <c r="BD166" s="506"/>
      <c r="BE166" s="506"/>
      <c r="BF166" s="506"/>
      <c r="BG166" s="506"/>
      <c r="BH166" s="506"/>
      <c r="BI166" s="506"/>
    </row>
    <row r="167" spans="1:61" ht="12.95" customHeight="1" thickBot="1">
      <c r="A167" s="254" t="s">
        <v>2468</v>
      </c>
      <c r="B167" s="254" t="s">
        <v>92</v>
      </c>
      <c r="C167" s="204"/>
      <c r="D167" s="254"/>
      <c r="E167" s="502"/>
      <c r="F167" s="501"/>
      <c r="G167" s="506"/>
      <c r="H167" s="506"/>
      <c r="I167" s="506"/>
      <c r="J167" s="506"/>
      <c r="K167" s="506"/>
      <c r="L167" s="506"/>
      <c r="M167" s="506"/>
      <c r="N167" s="506">
        <v>156.79995</v>
      </c>
      <c r="O167" s="506">
        <v>0</v>
      </c>
      <c r="P167" s="506">
        <v>156.79995</v>
      </c>
      <c r="Q167" s="506">
        <v>0.73308055000000005</v>
      </c>
      <c r="R167" s="506">
        <v>2561.9344000000001</v>
      </c>
      <c r="S167" s="506"/>
      <c r="T167" s="506"/>
      <c r="U167" s="506"/>
      <c r="V167" s="506"/>
      <c r="W167" s="506"/>
      <c r="X167" s="506"/>
      <c r="Y167" s="506"/>
      <c r="Z167" s="506"/>
      <c r="AA167" s="506"/>
      <c r="AB167" s="506"/>
      <c r="AC167" s="506"/>
      <c r="AD167" s="506"/>
      <c r="AE167" s="506"/>
      <c r="AF167" s="506"/>
      <c r="AG167" s="506"/>
      <c r="AH167" s="506"/>
      <c r="AI167" s="506"/>
      <c r="AJ167" s="506"/>
      <c r="AK167" s="506"/>
      <c r="AL167" s="506"/>
      <c r="AM167" s="506"/>
      <c r="AN167" s="506"/>
      <c r="AO167" s="506"/>
      <c r="AP167" s="506"/>
      <c r="AQ167" s="506"/>
      <c r="AR167" s="506"/>
      <c r="AS167" s="506"/>
      <c r="AT167" s="506"/>
      <c r="AU167" s="506"/>
      <c r="AV167" s="506"/>
      <c r="AW167" s="506"/>
      <c r="AX167" s="506"/>
      <c r="AY167" s="506"/>
      <c r="AZ167" s="506"/>
      <c r="BA167" s="506"/>
      <c r="BB167" s="506"/>
      <c r="BC167" s="506"/>
      <c r="BD167" s="506"/>
      <c r="BE167" s="506"/>
      <c r="BF167" s="506"/>
      <c r="BG167" s="506"/>
      <c r="BH167" s="506"/>
      <c r="BI167" s="506"/>
    </row>
    <row r="168" spans="1:61" ht="12.95" customHeight="1" thickBot="1">
      <c r="A168" s="254" t="s">
        <v>2469</v>
      </c>
      <c r="B168" s="254" t="s">
        <v>92</v>
      </c>
      <c r="C168" s="204"/>
      <c r="D168" s="254"/>
      <c r="E168" s="502"/>
      <c r="F168" s="501"/>
      <c r="G168" s="506"/>
      <c r="H168" s="506"/>
      <c r="I168" s="506"/>
      <c r="J168" s="506"/>
      <c r="K168" s="506"/>
      <c r="L168" s="506"/>
      <c r="M168" s="506"/>
      <c r="N168" s="90"/>
      <c r="O168" s="90"/>
      <c r="P168" s="90"/>
      <c r="Q168" s="90"/>
      <c r="R168" s="90"/>
      <c r="S168" s="506"/>
      <c r="T168" s="506"/>
      <c r="U168" s="506"/>
      <c r="V168" s="506"/>
      <c r="W168" s="506"/>
      <c r="X168" s="506"/>
      <c r="Y168" s="506"/>
      <c r="Z168" s="506"/>
      <c r="AA168" s="506"/>
      <c r="AB168" s="506"/>
      <c r="AC168" s="506"/>
      <c r="AD168" s="506"/>
      <c r="AE168" s="506"/>
      <c r="AF168" s="506"/>
      <c r="AG168" s="506"/>
      <c r="AH168" s="506"/>
      <c r="AI168" s="506"/>
      <c r="AJ168" s="506"/>
      <c r="AK168" s="506"/>
      <c r="AL168" s="506"/>
      <c r="AM168" s="506"/>
      <c r="AN168" s="506"/>
      <c r="AO168" s="506"/>
      <c r="AP168" s="506"/>
      <c r="AQ168" s="506"/>
      <c r="AR168" s="506"/>
      <c r="AS168" s="506"/>
      <c r="AT168" s="506"/>
      <c r="AU168" s="506"/>
      <c r="AV168" s="506"/>
      <c r="AW168" s="506"/>
      <c r="AX168" s="506"/>
      <c r="AY168" s="506"/>
      <c r="AZ168" s="506"/>
      <c r="BA168" s="506"/>
      <c r="BB168" s="506"/>
      <c r="BC168" s="506"/>
      <c r="BD168" s="506"/>
      <c r="BE168" s="506"/>
      <c r="BF168" s="506"/>
      <c r="BG168" s="506"/>
      <c r="BH168" s="506"/>
      <c r="BI168" s="506"/>
    </row>
    <row r="169" spans="1:61" ht="12.95" customHeight="1">
      <c r="A169" s="254" t="s">
        <v>2071</v>
      </c>
      <c r="B169" s="254"/>
      <c r="C169" s="204"/>
      <c r="D169" s="254"/>
      <c r="E169" s="502"/>
      <c r="F169" s="501"/>
      <c r="G169" s="506"/>
      <c r="H169" s="506"/>
      <c r="I169" s="506"/>
      <c r="J169" s="506"/>
      <c r="K169" s="506"/>
      <c r="L169" s="506"/>
      <c r="M169" s="506"/>
      <c r="N169" s="506"/>
      <c r="O169" s="506"/>
      <c r="P169" s="506"/>
      <c r="Q169" s="506"/>
      <c r="R169" s="506"/>
      <c r="S169" s="506"/>
      <c r="T169" s="506"/>
      <c r="U169" s="506"/>
      <c r="V169" s="506"/>
      <c r="W169" s="506"/>
      <c r="X169" s="506"/>
      <c r="Y169" s="506"/>
      <c r="Z169" s="506"/>
      <c r="AA169" s="506"/>
      <c r="AB169" s="506"/>
      <c r="AC169" s="506"/>
      <c r="AD169" s="506"/>
      <c r="AE169" s="506"/>
      <c r="AF169" s="506"/>
      <c r="AG169" s="506"/>
      <c r="AH169" s="506"/>
      <c r="AI169" s="506"/>
      <c r="AJ169" s="506"/>
      <c r="AK169" s="506"/>
      <c r="AL169" s="506"/>
      <c r="AM169" s="506"/>
      <c r="AN169" s="506"/>
      <c r="AO169" s="506"/>
      <c r="AP169" s="506"/>
      <c r="AQ169" s="506"/>
      <c r="AR169" s="506"/>
      <c r="AS169" s="506"/>
      <c r="AT169" s="506"/>
      <c r="AU169" s="506"/>
      <c r="AV169" s="506"/>
      <c r="AW169" s="506"/>
      <c r="AX169" s="506"/>
      <c r="AY169" s="506"/>
      <c r="AZ169" s="506"/>
      <c r="BA169" s="506"/>
      <c r="BB169" s="506"/>
      <c r="BC169" s="506"/>
      <c r="BD169" s="506"/>
      <c r="BE169" s="506"/>
      <c r="BF169" s="506"/>
      <c r="BG169" s="506"/>
      <c r="BH169" s="506"/>
      <c r="BI169" s="506"/>
    </row>
    <row r="170" spans="1:61" ht="12.95" customHeight="1">
      <c r="A170" s="254" t="s">
        <v>2466</v>
      </c>
      <c r="B170" s="254" t="s">
        <v>92</v>
      </c>
      <c r="C170" s="204"/>
      <c r="D170" s="254"/>
      <c r="E170" s="502"/>
      <c r="F170" s="501"/>
      <c r="G170" s="506"/>
      <c r="H170" s="506"/>
      <c r="I170" s="506"/>
      <c r="J170" s="506"/>
      <c r="K170" s="506"/>
      <c r="L170" s="506"/>
      <c r="M170" s="506"/>
      <c r="N170" s="506">
        <v>242.39697000000001</v>
      </c>
      <c r="O170" s="506">
        <v>0</v>
      </c>
      <c r="P170" s="506">
        <v>242.39697000000001</v>
      </c>
      <c r="Q170" s="506">
        <v>1.0894606</v>
      </c>
      <c r="R170" s="506">
        <v>4078.0952000000002</v>
      </c>
      <c r="S170" s="506"/>
      <c r="T170" s="506"/>
      <c r="U170" s="506"/>
      <c r="V170" s="506"/>
      <c r="W170" s="506"/>
      <c r="X170" s="506"/>
      <c r="Y170" s="506"/>
      <c r="Z170" s="506"/>
      <c r="AA170" s="506"/>
      <c r="AB170" s="506"/>
      <c r="AC170" s="506"/>
      <c r="AD170" s="506"/>
      <c r="AE170" s="506"/>
      <c r="AF170" s="506"/>
      <c r="AG170" s="506"/>
      <c r="AH170" s="506"/>
      <c r="AI170" s="506"/>
      <c r="AJ170" s="506"/>
      <c r="AK170" s="506"/>
      <c r="AL170" s="506"/>
      <c r="AM170" s="506"/>
      <c r="AN170" s="506"/>
      <c r="AO170" s="506"/>
      <c r="AP170" s="506"/>
      <c r="AQ170" s="506"/>
      <c r="AR170" s="506"/>
      <c r="AS170" s="506"/>
      <c r="AT170" s="506"/>
      <c r="AU170" s="506"/>
      <c r="AV170" s="506"/>
      <c r="AW170" s="506"/>
      <c r="AX170" s="506"/>
      <c r="AY170" s="506"/>
      <c r="AZ170" s="506"/>
      <c r="BA170" s="506"/>
      <c r="BB170" s="506"/>
      <c r="BC170" s="506"/>
      <c r="BD170" s="506"/>
      <c r="BE170" s="506"/>
      <c r="BF170" s="506"/>
      <c r="BG170" s="506"/>
      <c r="BH170" s="506"/>
      <c r="BI170" s="506"/>
    </row>
    <row r="171" spans="1:61" ht="12.95" customHeight="1">
      <c r="A171" s="254" t="s">
        <v>2467</v>
      </c>
      <c r="B171" s="254" t="s">
        <v>92</v>
      </c>
      <c r="C171" s="204"/>
      <c r="D171" s="254"/>
      <c r="E171" s="502"/>
      <c r="F171" s="501"/>
      <c r="G171" s="506"/>
      <c r="H171" s="506"/>
      <c r="I171" s="506"/>
      <c r="J171" s="506"/>
      <c r="K171" s="506"/>
      <c r="L171" s="506"/>
      <c r="M171" s="506"/>
      <c r="N171" s="506">
        <v>209.82066</v>
      </c>
      <c r="O171" s="506">
        <v>0</v>
      </c>
      <c r="P171" s="506">
        <v>209.82066</v>
      </c>
      <c r="Q171" s="506">
        <v>0.94707922</v>
      </c>
      <c r="R171" s="506">
        <v>3485.7926000000002</v>
      </c>
      <c r="S171" s="506"/>
      <c r="T171" s="506"/>
      <c r="U171" s="506"/>
      <c r="V171" s="506"/>
      <c r="W171" s="506"/>
      <c r="X171" s="506"/>
      <c r="Y171" s="506"/>
      <c r="Z171" s="506"/>
      <c r="AA171" s="506"/>
      <c r="AB171" s="506"/>
      <c r="AC171" s="506"/>
      <c r="AD171" s="506"/>
      <c r="AE171" s="506"/>
      <c r="AF171" s="506"/>
      <c r="AG171" s="506"/>
      <c r="AH171" s="506"/>
      <c r="AI171" s="506"/>
      <c r="AJ171" s="506"/>
      <c r="AK171" s="506"/>
      <c r="AL171" s="506"/>
      <c r="AM171" s="506"/>
      <c r="AN171" s="506"/>
      <c r="AO171" s="506"/>
      <c r="AP171" s="506"/>
      <c r="AQ171" s="506"/>
      <c r="AR171" s="506"/>
      <c r="AS171" s="506"/>
      <c r="AT171" s="506"/>
      <c r="AU171" s="506"/>
      <c r="AV171" s="506"/>
      <c r="AW171" s="506"/>
      <c r="AX171" s="506"/>
      <c r="AY171" s="506"/>
      <c r="AZ171" s="506"/>
      <c r="BA171" s="506"/>
      <c r="BB171" s="506"/>
      <c r="BC171" s="506"/>
      <c r="BD171" s="506"/>
      <c r="BE171" s="506"/>
      <c r="BF171" s="506"/>
      <c r="BG171" s="506"/>
      <c r="BH171" s="506"/>
      <c r="BI171" s="506"/>
    </row>
    <row r="172" spans="1:61" ht="12.95" customHeight="1" thickBot="1">
      <c r="A172" s="254" t="s">
        <v>2468</v>
      </c>
      <c r="B172" s="254" t="s">
        <v>92</v>
      </c>
      <c r="C172" s="204"/>
      <c r="D172" s="254"/>
      <c r="E172" s="502"/>
      <c r="F172" s="501"/>
      <c r="G172" s="506"/>
      <c r="H172" s="506"/>
      <c r="I172" s="506"/>
      <c r="J172" s="506"/>
      <c r="K172" s="506"/>
      <c r="L172" s="506"/>
      <c r="M172" s="506"/>
      <c r="N172" s="506">
        <v>156.79995</v>
      </c>
      <c r="O172" s="506">
        <v>0</v>
      </c>
      <c r="P172" s="506">
        <v>156.79995</v>
      </c>
      <c r="Q172" s="506">
        <v>0.73308055000000005</v>
      </c>
      <c r="R172" s="506">
        <v>2561.9344000000001</v>
      </c>
      <c r="S172" s="506"/>
      <c r="T172" s="506"/>
      <c r="U172" s="506"/>
      <c r="V172" s="506"/>
      <c r="W172" s="506"/>
      <c r="X172" s="506"/>
      <c r="Y172" s="506"/>
      <c r="Z172" s="506"/>
      <c r="AA172" s="506"/>
      <c r="AB172" s="506"/>
      <c r="AC172" s="506"/>
      <c r="AD172" s="506"/>
      <c r="AE172" s="506"/>
      <c r="AF172" s="506"/>
      <c r="AG172" s="506"/>
      <c r="AH172" s="506"/>
      <c r="AI172" s="506"/>
      <c r="AJ172" s="506"/>
      <c r="AK172" s="506"/>
      <c r="AL172" s="506"/>
      <c r="AM172" s="506"/>
      <c r="AN172" s="506"/>
      <c r="AO172" s="506"/>
      <c r="AP172" s="506"/>
      <c r="AQ172" s="506"/>
      <c r="AR172" s="506"/>
      <c r="AS172" s="506"/>
      <c r="AT172" s="506"/>
      <c r="AU172" s="506"/>
      <c r="AV172" s="506"/>
      <c r="AW172" s="506"/>
      <c r="AX172" s="506"/>
      <c r="AY172" s="506"/>
      <c r="AZ172" s="506"/>
      <c r="BA172" s="506"/>
      <c r="BB172" s="506"/>
      <c r="BC172" s="506"/>
      <c r="BD172" s="506"/>
      <c r="BE172" s="506"/>
      <c r="BF172" s="506"/>
      <c r="BG172" s="506"/>
      <c r="BH172" s="506"/>
      <c r="BI172" s="506"/>
    </row>
    <row r="173" spans="1:61" ht="12.95" customHeight="1" thickBot="1">
      <c r="A173" s="254" t="s">
        <v>2159</v>
      </c>
      <c r="B173" s="254" t="s">
        <v>92</v>
      </c>
      <c r="C173" s="204"/>
      <c r="D173" s="254"/>
      <c r="E173" s="502"/>
      <c r="F173" s="501"/>
      <c r="G173" s="506"/>
      <c r="H173" s="506"/>
      <c r="I173" s="506"/>
      <c r="J173" s="506"/>
      <c r="K173" s="506"/>
      <c r="L173" s="506"/>
      <c r="M173" s="506"/>
      <c r="N173" s="90"/>
      <c r="O173" s="90"/>
      <c r="P173" s="90"/>
      <c r="Q173" s="90"/>
      <c r="R173" s="90"/>
      <c r="S173" s="506"/>
      <c r="T173" s="506"/>
      <c r="U173" s="506"/>
      <c r="V173" s="506"/>
      <c r="W173" s="506"/>
      <c r="X173" s="506"/>
      <c r="Y173" s="506"/>
      <c r="Z173" s="506"/>
      <c r="AA173" s="506"/>
      <c r="AB173" s="506"/>
      <c r="AC173" s="506"/>
      <c r="AD173" s="506"/>
      <c r="AE173" s="506"/>
      <c r="AF173" s="506"/>
      <c r="AG173" s="506"/>
      <c r="AH173" s="506"/>
      <c r="AI173" s="506"/>
      <c r="AJ173" s="506"/>
      <c r="AK173" s="506"/>
      <c r="AL173" s="506"/>
      <c r="AM173" s="506"/>
      <c r="AN173" s="506"/>
      <c r="AO173" s="506"/>
      <c r="AP173" s="506"/>
      <c r="AQ173" s="506"/>
      <c r="AR173" s="506"/>
      <c r="AS173" s="506"/>
      <c r="AT173" s="506"/>
      <c r="AU173" s="506"/>
      <c r="AV173" s="506"/>
      <c r="AW173" s="506"/>
      <c r="AX173" s="506"/>
      <c r="AY173" s="506"/>
      <c r="AZ173" s="506"/>
      <c r="BA173" s="506"/>
      <c r="BB173" s="506"/>
      <c r="BC173" s="506"/>
      <c r="BD173" s="506"/>
      <c r="BE173" s="506"/>
      <c r="BF173" s="506"/>
      <c r="BG173" s="506"/>
      <c r="BH173" s="506"/>
      <c r="BI173" s="506"/>
    </row>
    <row r="174" spans="1:61" ht="12.95" customHeight="1" thickTop="1" thickBot="1">
      <c r="A174" s="172" t="s">
        <v>2692</v>
      </c>
      <c r="B174" s="493"/>
      <c r="C174" s="491"/>
      <c r="D174" s="493"/>
      <c r="E174" s="555"/>
      <c r="F174" s="636" t="s">
        <v>2688</v>
      </c>
      <c r="G174" s="636"/>
      <c r="H174" s="636"/>
      <c r="I174" s="558"/>
      <c r="J174" s="558"/>
      <c r="K174" s="558"/>
      <c r="L174" s="558"/>
      <c r="M174" s="558"/>
      <c r="N174" s="558"/>
      <c r="O174" s="558"/>
      <c r="P174" s="558"/>
      <c r="Q174" s="558"/>
      <c r="R174" s="558"/>
      <c r="S174" s="558"/>
      <c r="T174" s="558"/>
      <c r="U174" s="558"/>
      <c r="V174" s="558"/>
      <c r="W174" s="558"/>
      <c r="X174" s="558"/>
      <c r="Y174" s="558"/>
      <c r="Z174" s="558"/>
      <c r="AA174" s="558"/>
      <c r="AB174" s="558"/>
      <c r="AC174" s="558"/>
      <c r="AD174" s="558"/>
      <c r="AE174" s="558"/>
      <c r="AF174" s="558"/>
      <c r="AG174" s="558"/>
      <c r="AH174" s="558"/>
      <c r="AI174" s="558"/>
      <c r="AJ174" s="558"/>
      <c r="AK174" s="558"/>
      <c r="AL174" s="558"/>
      <c r="AM174" s="558"/>
      <c r="AN174" s="558"/>
      <c r="AO174" s="558"/>
      <c r="AP174" s="558"/>
      <c r="AQ174" s="558"/>
      <c r="AR174" s="558"/>
      <c r="AS174" s="558"/>
      <c r="AT174" s="558"/>
      <c r="AU174" s="558"/>
      <c r="AV174" s="558"/>
      <c r="AW174" s="558"/>
      <c r="AX174" s="558"/>
      <c r="AY174" s="558"/>
      <c r="AZ174" s="558"/>
      <c r="BA174" s="558"/>
      <c r="BB174" s="558"/>
      <c r="BC174" s="558"/>
      <c r="BD174" s="558"/>
      <c r="BE174" s="558"/>
      <c r="BF174" s="558"/>
      <c r="BG174" s="558"/>
      <c r="BH174" s="558"/>
      <c r="BI174" s="558"/>
    </row>
    <row r="175" spans="1:61" ht="12.95" customHeight="1" thickTop="1">
      <c r="A175" s="254" t="s">
        <v>2071</v>
      </c>
      <c r="B175" s="254"/>
      <c r="C175" s="204"/>
      <c r="D175" s="254"/>
      <c r="E175" s="502"/>
      <c r="F175" s="501"/>
      <c r="G175" s="506"/>
      <c r="H175" s="506"/>
      <c r="I175" s="506"/>
      <c r="J175" s="506"/>
      <c r="K175" s="506"/>
      <c r="L175" s="506"/>
      <c r="M175" s="506"/>
      <c r="N175" s="506"/>
      <c r="O175" s="506"/>
      <c r="P175" s="506"/>
      <c r="Q175" s="506"/>
      <c r="R175" s="506"/>
      <c r="S175" s="506"/>
      <c r="T175" s="506"/>
      <c r="U175" s="506"/>
      <c r="V175" s="506"/>
      <c r="W175" s="506"/>
      <c r="X175" s="506"/>
      <c r="Y175" s="506"/>
      <c r="Z175" s="506"/>
      <c r="AA175" s="506"/>
      <c r="AB175" s="506"/>
      <c r="AC175" s="506"/>
      <c r="AD175" s="506"/>
      <c r="AE175" s="506"/>
      <c r="AF175" s="506"/>
      <c r="AG175" s="506"/>
      <c r="AH175" s="506"/>
      <c r="AI175" s="506"/>
      <c r="AJ175" s="506"/>
      <c r="AK175" s="506"/>
      <c r="AL175" s="506"/>
      <c r="AM175" s="506"/>
      <c r="AN175" s="506"/>
      <c r="AO175" s="506"/>
      <c r="AP175" s="506"/>
      <c r="AQ175" s="506"/>
      <c r="AR175" s="506"/>
      <c r="AS175" s="506"/>
      <c r="AT175" s="506"/>
      <c r="AU175" s="506"/>
      <c r="AV175" s="506"/>
      <c r="AW175" s="506"/>
      <c r="AX175" s="506"/>
      <c r="AY175" s="506"/>
      <c r="AZ175" s="506"/>
      <c r="BA175" s="506"/>
      <c r="BB175" s="506"/>
      <c r="BC175" s="506"/>
      <c r="BD175" s="506"/>
      <c r="BE175" s="506"/>
      <c r="BF175" s="506"/>
      <c r="BG175" s="506"/>
      <c r="BH175" s="506"/>
      <c r="BI175" s="506"/>
    </row>
    <row r="176" spans="1:61" ht="12.95" customHeight="1">
      <c r="A176" s="254" t="s">
        <v>1764</v>
      </c>
      <c r="B176" s="254" t="s">
        <v>92</v>
      </c>
      <c r="C176" s="204">
        <v>1</v>
      </c>
      <c r="D176" s="254" t="s">
        <v>1380</v>
      </c>
      <c r="E176" s="502">
        <v>1</v>
      </c>
      <c r="F176" s="501">
        <v>-24.037225891265599</v>
      </c>
      <c r="G176" s="506">
        <v>25</v>
      </c>
      <c r="H176" s="506">
        <v>5.13</v>
      </c>
      <c r="I176" s="506">
        <v>0</v>
      </c>
      <c r="J176" s="506">
        <v>0</v>
      </c>
      <c r="K176" s="506">
        <v>0</v>
      </c>
      <c r="L176" s="506">
        <v>45</v>
      </c>
      <c r="M176" s="506">
        <v>50.13</v>
      </c>
      <c r="N176" s="506">
        <v>4.4150606190564696</v>
      </c>
      <c r="O176" s="506">
        <v>-7.7694674680162201</v>
      </c>
      <c r="P176" s="506">
        <v>12.1845280870727</v>
      </c>
      <c r="Q176" s="506">
        <v>3.44140441022339E-2</v>
      </c>
      <c r="R176" s="506">
        <v>209.15174375781299</v>
      </c>
      <c r="S176" s="506">
        <v>92.132715193125406</v>
      </c>
      <c r="T176" s="506">
        <v>5.1563076787715699E-3</v>
      </c>
      <c r="U176" s="506">
        <v>1.8077388226748901E-2</v>
      </c>
      <c r="V176" s="506">
        <v>1.25859160801192E-6</v>
      </c>
      <c r="W176" s="506">
        <v>35.445688353859097</v>
      </c>
      <c r="X176" s="506">
        <v>9.6796950181181299E-2</v>
      </c>
      <c r="Y176" s="506">
        <v>609.64764403882498</v>
      </c>
      <c r="Z176" s="506">
        <v>100.99430462432601</v>
      </c>
      <c r="AA176" s="506">
        <v>1.1578732028055899E-2</v>
      </c>
      <c r="AB176" s="506">
        <v>5.1792914197439303E-2</v>
      </c>
      <c r="AC176" s="506">
        <v>3.66290274861041E-6</v>
      </c>
      <c r="AD176" s="506">
        <v>0</v>
      </c>
      <c r="AE176" s="506">
        <v>0</v>
      </c>
      <c r="AF176" s="506">
        <v>0</v>
      </c>
      <c r="AG176" s="506">
        <v>0</v>
      </c>
      <c r="AH176" s="506">
        <v>8.6035110255584697E-3</v>
      </c>
      <c r="AI176" s="506">
        <v>52.287935939453298</v>
      </c>
      <c r="AJ176" s="506">
        <v>3.4500000000000003E-2</v>
      </c>
      <c r="AK176" s="506">
        <v>9.4</v>
      </c>
      <c r="AL176" s="506">
        <v>37.5</v>
      </c>
      <c r="AM176" s="506">
        <v>117.4</v>
      </c>
      <c r="AN176" s="506">
        <v>5.13</v>
      </c>
      <c r="AO176" s="506">
        <v>0</v>
      </c>
      <c r="AP176" s="506">
        <v>0</v>
      </c>
      <c r="AQ176" s="506">
        <v>0.1</v>
      </c>
      <c r="AR176" s="506">
        <v>8.4500000000000006E-2</v>
      </c>
      <c r="AS176" s="506">
        <v>24.4</v>
      </c>
      <c r="AT176" s="506">
        <v>37.5</v>
      </c>
      <c r="AU176" s="506">
        <v>305</v>
      </c>
      <c r="AV176" s="506">
        <v>7.4999999999999997E-2</v>
      </c>
      <c r="AW176" s="506">
        <v>9.4999999999999998E-3</v>
      </c>
      <c r="AX176" s="506">
        <v>0</v>
      </c>
      <c r="AY176" s="506">
        <v>0</v>
      </c>
      <c r="AZ176" s="506">
        <v>0.11899999999999999</v>
      </c>
      <c r="BA176" s="506">
        <v>33.799999999999997</v>
      </c>
      <c r="BB176" s="506">
        <v>37.5</v>
      </c>
      <c r="BC176" s="506">
        <v>422.5</v>
      </c>
      <c r="BD176" s="506">
        <v>0.1</v>
      </c>
      <c r="BE176" s="506">
        <v>1.9E-2</v>
      </c>
      <c r="BF176" s="506">
        <v>0</v>
      </c>
      <c r="BG176" s="506">
        <v>0</v>
      </c>
      <c r="BH176" s="506">
        <v>14.526</v>
      </c>
      <c r="BI176" s="506">
        <v>2.5065</v>
      </c>
    </row>
    <row r="177" spans="1:61" ht="12.95" customHeight="1" thickBot="1">
      <c r="A177" s="254" t="s">
        <v>1456</v>
      </c>
      <c r="B177" s="254" t="s">
        <v>92</v>
      </c>
      <c r="C177" s="204">
        <v>2</v>
      </c>
      <c r="D177" s="254" t="s">
        <v>1381</v>
      </c>
      <c r="E177" s="502">
        <v>1</v>
      </c>
      <c r="F177" s="501">
        <v>-18.728472717619901</v>
      </c>
      <c r="G177" s="506">
        <v>25</v>
      </c>
      <c r="H177" s="506">
        <v>5.94</v>
      </c>
      <c r="I177" s="506">
        <v>0</v>
      </c>
      <c r="J177" s="506">
        <v>2.2999999999999998</v>
      </c>
      <c r="K177" s="506">
        <v>0</v>
      </c>
      <c r="L177" s="506">
        <v>0</v>
      </c>
      <c r="M177" s="506">
        <v>8.24</v>
      </c>
      <c r="N177" s="506">
        <v>6.7183004083898901</v>
      </c>
      <c r="O177" s="506">
        <v>-9.0013308520871806</v>
      </c>
      <c r="P177" s="506">
        <v>15.719631260477099</v>
      </c>
      <c r="Q177" s="506">
        <v>7.0608031227452794E-2</v>
      </c>
      <c r="R177" s="506">
        <v>212.122191519643</v>
      </c>
      <c r="S177" s="506">
        <v>137.58237181285401</v>
      </c>
      <c r="T177" s="506">
        <v>9.5666124680367608E-3</v>
      </c>
      <c r="U177" s="506">
        <v>2.8230699431551001E-2</v>
      </c>
      <c r="V177" s="506">
        <v>1.08499683837291E-6</v>
      </c>
      <c r="W177" s="506">
        <v>45.876066941331302</v>
      </c>
      <c r="X177" s="506">
        <v>0.20436125122123</v>
      </c>
      <c r="Y177" s="506">
        <v>615.74726302411204</v>
      </c>
      <c r="Z177" s="506">
        <v>209.64793117481901</v>
      </c>
      <c r="AA177" s="506">
        <v>2.41954057103369E-2</v>
      </c>
      <c r="AB177" s="506">
        <v>8.1867702998770803E-2</v>
      </c>
      <c r="AC177" s="506">
        <v>3.1242965330472499E-6</v>
      </c>
      <c r="AD177" s="506">
        <v>0</v>
      </c>
      <c r="AE177" s="506">
        <v>0</v>
      </c>
      <c r="AF177" s="506">
        <v>0</v>
      </c>
      <c r="AG177" s="506">
        <v>0</v>
      </c>
      <c r="AH177" s="506">
        <v>1.7652007806863199E-2</v>
      </c>
      <c r="AI177" s="506">
        <v>53.030547879910699</v>
      </c>
      <c r="AJ177" s="506">
        <v>1.1821428571428601E-2</v>
      </c>
      <c r="AK177" s="506">
        <v>2.4464285714285698</v>
      </c>
      <c r="AL177" s="506">
        <v>37.5</v>
      </c>
      <c r="AM177" s="506">
        <v>30.5803571428571</v>
      </c>
      <c r="AN177" s="506">
        <v>5.94</v>
      </c>
      <c r="AO177" s="506">
        <v>0</v>
      </c>
      <c r="AP177" s="506">
        <v>2.2999999999999998</v>
      </c>
      <c r="AQ177" s="506">
        <v>0</v>
      </c>
      <c r="AR177" s="506">
        <v>1.3464285714285699E-2</v>
      </c>
      <c r="AS177" s="506">
        <v>2.9392857142857101</v>
      </c>
      <c r="AT177" s="506">
        <v>37.5</v>
      </c>
      <c r="AU177" s="506">
        <v>36.741071428571402</v>
      </c>
      <c r="AV177" s="506">
        <v>0</v>
      </c>
      <c r="AW177" s="506">
        <v>1.0999999999999999E-2</v>
      </c>
      <c r="AX177" s="506">
        <v>2.4642857142857101E-3</v>
      </c>
      <c r="AY177" s="506">
        <v>0</v>
      </c>
      <c r="AZ177" s="506">
        <v>2.52857142857143E-2</v>
      </c>
      <c r="BA177" s="506">
        <v>5.3857142857142897</v>
      </c>
      <c r="BB177" s="506">
        <v>37.5</v>
      </c>
      <c r="BC177" s="506">
        <v>67.321428571428598</v>
      </c>
      <c r="BD177" s="506">
        <v>0</v>
      </c>
      <c r="BE177" s="506">
        <v>2.1999999999999999E-2</v>
      </c>
      <c r="BF177" s="506">
        <v>3.2857142857142898E-3</v>
      </c>
      <c r="BG177" s="506">
        <v>0</v>
      </c>
      <c r="BH177" s="506">
        <v>1.8779999999999999</v>
      </c>
      <c r="BI177" s="506">
        <v>0.41199999999999998</v>
      </c>
    </row>
    <row r="178" spans="1:61" ht="12.95" customHeight="1" thickBot="1">
      <c r="A178" s="254" t="s">
        <v>1900</v>
      </c>
      <c r="B178" s="254" t="s">
        <v>92</v>
      </c>
      <c r="C178" s="204"/>
      <c r="D178" s="254"/>
      <c r="E178" s="502"/>
      <c r="F178" s="501"/>
      <c r="G178" s="90"/>
      <c r="H178" s="90"/>
      <c r="I178" s="90"/>
      <c r="J178" s="90"/>
      <c r="K178" s="90"/>
      <c r="L178" s="90"/>
      <c r="M178" s="90"/>
      <c r="N178" s="90"/>
      <c r="O178" s="90"/>
      <c r="P178" s="90"/>
      <c r="Q178" s="90"/>
      <c r="R178" s="90"/>
      <c r="S178" s="90"/>
      <c r="T178" s="90"/>
      <c r="U178" s="90"/>
      <c r="V178" s="90"/>
      <c r="W178" s="90"/>
      <c r="X178" s="90"/>
      <c r="Y178" s="90"/>
      <c r="Z178" s="90"/>
      <c r="AA178" s="90"/>
      <c r="AB178" s="90"/>
      <c r="AC178" s="90"/>
      <c r="AD178" s="90"/>
      <c r="AE178" s="90"/>
      <c r="AF178" s="90"/>
      <c r="AG178" s="90"/>
      <c r="AH178" s="90"/>
      <c r="AI178" s="90"/>
      <c r="AJ178" s="90"/>
      <c r="AK178" s="90"/>
      <c r="AL178" s="90"/>
      <c r="AM178" s="90"/>
      <c r="AN178" s="90"/>
      <c r="AO178" s="90"/>
      <c r="AP178" s="90"/>
      <c r="AQ178" s="90"/>
      <c r="AR178" s="90"/>
      <c r="AS178" s="90"/>
      <c r="AT178" s="90"/>
      <c r="AU178" s="90"/>
      <c r="AV178" s="90"/>
      <c r="AW178" s="90"/>
      <c r="AX178" s="90"/>
      <c r="AY178" s="90"/>
      <c r="AZ178" s="90"/>
      <c r="BA178" s="90"/>
      <c r="BB178" s="90"/>
      <c r="BC178" s="90"/>
      <c r="BD178" s="90"/>
      <c r="BE178" s="90"/>
      <c r="BF178" s="90"/>
      <c r="BG178" s="90"/>
      <c r="BH178" s="90"/>
      <c r="BI178" s="506"/>
    </row>
    <row r="179" spans="1:61" ht="12.95" customHeight="1">
      <c r="A179" s="254" t="s">
        <v>1457</v>
      </c>
      <c r="B179" s="254" t="s">
        <v>92</v>
      </c>
      <c r="C179" s="204">
        <v>3</v>
      </c>
      <c r="D179" s="254" t="s">
        <v>1382</v>
      </c>
      <c r="E179" s="502">
        <v>1</v>
      </c>
      <c r="F179" s="501">
        <v>-35.014419694052798</v>
      </c>
      <c r="G179" s="506">
        <v>25</v>
      </c>
      <c r="H179" s="506">
        <v>0</v>
      </c>
      <c r="I179" s="506">
        <v>0.14000000000000001</v>
      </c>
      <c r="J179" s="506">
        <v>0</v>
      </c>
      <c r="K179" s="506">
        <v>0</v>
      </c>
      <c r="L179" s="506">
        <v>108</v>
      </c>
      <c r="M179" s="506">
        <v>108.14</v>
      </c>
      <c r="N179" s="506">
        <v>0.87512037512676599</v>
      </c>
      <c r="O179" s="506">
        <v>-2.96271451000004E-3</v>
      </c>
      <c r="P179" s="506">
        <v>0.87808308963676596</v>
      </c>
      <c r="Q179" s="506">
        <v>3.85767234528799E-3</v>
      </c>
      <c r="R179" s="506">
        <v>19.761117921631101</v>
      </c>
      <c r="S179" s="506">
        <v>0.59301730322242596</v>
      </c>
      <c r="T179" s="506">
        <v>5.93775792721851E-4</v>
      </c>
      <c r="U179" s="506">
        <v>1.4403907348656999E-3</v>
      </c>
      <c r="V179" s="506">
        <v>4.2367089978595901E-8</v>
      </c>
      <c r="W179" s="506">
        <v>2.6342492689102999</v>
      </c>
      <c r="X179" s="506">
        <v>1.1573017035864001E-2</v>
      </c>
      <c r="Y179" s="506">
        <v>59.283353764893199</v>
      </c>
      <c r="Z179" s="506">
        <v>1.7790519096672801</v>
      </c>
      <c r="AA179" s="506">
        <v>1.78132737816555E-3</v>
      </c>
      <c r="AB179" s="506">
        <v>4.3211722045971099E-3</v>
      </c>
      <c r="AC179" s="506">
        <v>1.2710126993578799E-7</v>
      </c>
      <c r="AD179" s="506">
        <v>0</v>
      </c>
      <c r="AE179" s="506">
        <v>0</v>
      </c>
      <c r="AF179" s="506">
        <v>0</v>
      </c>
      <c r="AG179" s="506">
        <v>0</v>
      </c>
      <c r="AH179" s="506">
        <v>9.6441808632199803E-4</v>
      </c>
      <c r="AI179" s="506">
        <v>4.9402794804077699</v>
      </c>
      <c r="AJ179" s="506">
        <v>6.0233333333333298E-2</v>
      </c>
      <c r="AK179" s="506">
        <v>3.07</v>
      </c>
      <c r="AL179" s="506">
        <v>25</v>
      </c>
      <c r="AM179" s="506">
        <v>38.274999999999999</v>
      </c>
      <c r="AN179" s="506">
        <v>0</v>
      </c>
      <c r="AO179" s="506">
        <v>0.14000000000000001</v>
      </c>
      <c r="AP179" s="506">
        <v>0</v>
      </c>
      <c r="AQ179" s="506">
        <v>0.1</v>
      </c>
      <c r="AR179" s="506">
        <v>0.1807</v>
      </c>
      <c r="AS179" s="506">
        <v>9.2100000000000009</v>
      </c>
      <c r="AT179" s="506">
        <v>25</v>
      </c>
      <c r="AU179" s="506">
        <v>115.02500000000001</v>
      </c>
      <c r="AV179" s="506">
        <v>0.18</v>
      </c>
      <c r="AW179" s="506">
        <v>6.9999999999999999E-4</v>
      </c>
      <c r="AX179" s="506">
        <v>0</v>
      </c>
      <c r="AY179" s="506">
        <v>0.1</v>
      </c>
      <c r="AZ179" s="506">
        <v>0.240933333333333</v>
      </c>
      <c r="BA179" s="506">
        <v>12.28</v>
      </c>
      <c r="BB179" s="506">
        <v>25</v>
      </c>
      <c r="BC179" s="506">
        <v>153.4</v>
      </c>
      <c r="BD179" s="506">
        <v>0.24</v>
      </c>
      <c r="BE179" s="506">
        <v>9.33333333333333E-4</v>
      </c>
      <c r="BF179" s="506">
        <v>0</v>
      </c>
      <c r="BG179" s="506">
        <v>0.1</v>
      </c>
      <c r="BH179" s="506">
        <v>5.4420000000000002</v>
      </c>
      <c r="BI179" s="506">
        <v>5.407</v>
      </c>
    </row>
    <row r="180" spans="1:61" ht="12.95" customHeight="1">
      <c r="A180" s="254" t="s">
        <v>1901</v>
      </c>
      <c r="B180" s="254" t="s">
        <v>92</v>
      </c>
      <c r="C180" s="204">
        <v>4</v>
      </c>
      <c r="D180" s="254" t="s">
        <v>1383</v>
      </c>
      <c r="E180" s="502">
        <v>1</v>
      </c>
      <c r="F180" s="501">
        <v>-17.727054021589598</v>
      </c>
      <c r="G180" s="506">
        <v>25</v>
      </c>
      <c r="H180" s="506">
        <v>0</v>
      </c>
      <c r="I180" s="506">
        <v>3.04</v>
      </c>
      <c r="J180" s="506">
        <v>0</v>
      </c>
      <c r="K180" s="506">
        <v>0</v>
      </c>
      <c r="L180" s="506">
        <v>108</v>
      </c>
      <c r="M180" s="506">
        <v>111.04</v>
      </c>
      <c r="N180" s="506">
        <v>13.261558387403801</v>
      </c>
      <c r="O180" s="506">
        <v>0</v>
      </c>
      <c r="P180" s="506">
        <v>13.261558387403801</v>
      </c>
      <c r="Q180" s="506">
        <v>4.9930425474666897E-2</v>
      </c>
      <c r="R180" s="506">
        <v>292.15888551662499</v>
      </c>
      <c r="S180" s="506">
        <v>3.1910490796266702</v>
      </c>
      <c r="T180" s="506">
        <v>2.5062987359207499E-2</v>
      </c>
      <c r="U180" s="506">
        <v>9.0039688079216005E-3</v>
      </c>
      <c r="V180" s="506">
        <v>2.1880730686625899E-7</v>
      </c>
      <c r="W180" s="506">
        <v>39.7846751622114</v>
      </c>
      <c r="X180" s="506">
        <v>0.149791276424001</v>
      </c>
      <c r="Y180" s="506">
        <v>876.476656549876</v>
      </c>
      <c r="Z180" s="506">
        <v>9.5731472388800007</v>
      </c>
      <c r="AA180" s="506">
        <v>7.5188962077622407E-2</v>
      </c>
      <c r="AB180" s="506">
        <v>2.70119064237648E-2</v>
      </c>
      <c r="AC180" s="506">
        <v>6.5642192059877805E-7</v>
      </c>
      <c r="AD180" s="506">
        <v>0</v>
      </c>
      <c r="AE180" s="506">
        <v>0</v>
      </c>
      <c r="AF180" s="506">
        <v>0</v>
      </c>
      <c r="AG180" s="506">
        <v>0</v>
      </c>
      <c r="AH180" s="506">
        <v>1.24826063686667E-2</v>
      </c>
      <c r="AI180" s="506">
        <v>73.039721379156404</v>
      </c>
      <c r="AJ180" s="506">
        <v>0.14000000000000001</v>
      </c>
      <c r="AK180" s="506">
        <v>27</v>
      </c>
      <c r="AL180" s="506">
        <v>25</v>
      </c>
      <c r="AM180" s="506">
        <v>337.4</v>
      </c>
      <c r="AN180" s="506">
        <v>0</v>
      </c>
      <c r="AO180" s="506">
        <v>3.04</v>
      </c>
      <c r="AP180" s="506">
        <v>0</v>
      </c>
      <c r="AQ180" s="506">
        <v>0.1</v>
      </c>
      <c r="AR180" s="506">
        <v>0.42</v>
      </c>
      <c r="AS180" s="506">
        <v>81</v>
      </c>
      <c r="AT180" s="506">
        <v>25</v>
      </c>
      <c r="AU180" s="506">
        <v>1012.5</v>
      </c>
      <c r="AV180" s="506">
        <v>0.18</v>
      </c>
      <c r="AW180" s="506">
        <v>0.24</v>
      </c>
      <c r="AX180" s="506">
        <v>0</v>
      </c>
      <c r="AY180" s="506">
        <v>0</v>
      </c>
      <c r="AZ180" s="506">
        <v>0.56000000000000005</v>
      </c>
      <c r="BA180" s="506">
        <v>108</v>
      </c>
      <c r="BB180" s="506">
        <v>25</v>
      </c>
      <c r="BC180" s="506">
        <v>1350</v>
      </c>
      <c r="BD180" s="506">
        <v>0.24</v>
      </c>
      <c r="BE180" s="506">
        <v>0.32</v>
      </c>
      <c r="BF180" s="506">
        <v>0</v>
      </c>
      <c r="BG180" s="506">
        <v>0</v>
      </c>
      <c r="BH180" s="506">
        <v>6.3120000000000003</v>
      </c>
      <c r="BI180" s="506">
        <v>5.5519999999999996</v>
      </c>
    </row>
    <row r="181" spans="1:61" ht="12.95" customHeight="1" thickBot="1">
      <c r="A181" s="254" t="s">
        <v>1481</v>
      </c>
      <c r="B181" s="254" t="s">
        <v>92</v>
      </c>
      <c r="C181" s="204">
        <v>5</v>
      </c>
      <c r="D181" s="254" t="s">
        <v>1384</v>
      </c>
      <c r="E181" s="502">
        <v>1</v>
      </c>
      <c r="F181" s="501">
        <v>-28.9510925128154</v>
      </c>
      <c r="G181" s="506">
        <v>25</v>
      </c>
      <c r="H181" s="506">
        <v>0</v>
      </c>
      <c r="I181" s="506">
        <v>0</v>
      </c>
      <c r="J181" s="506">
        <v>0</v>
      </c>
      <c r="K181" s="506">
        <v>115</v>
      </c>
      <c r="L181" s="506">
        <v>54</v>
      </c>
      <c r="M181" s="506">
        <v>169</v>
      </c>
      <c r="N181" s="506">
        <v>11.179720729861801</v>
      </c>
      <c r="O181" s="506">
        <v>-3.3574590059949599E-3</v>
      </c>
      <c r="P181" s="506">
        <v>11.1830781888678</v>
      </c>
      <c r="Q181" s="506">
        <v>2.21506316186066E-2</v>
      </c>
      <c r="R181" s="506">
        <v>76.966094491801897</v>
      </c>
      <c r="S181" s="506">
        <v>2.9251396448901099</v>
      </c>
      <c r="T181" s="506">
        <v>3.0506143889804898E-3</v>
      </c>
      <c r="U181" s="506">
        <v>1.34352903796699E-2</v>
      </c>
      <c r="V181" s="506">
        <v>2.6027398606978598E-7</v>
      </c>
      <c r="W181" s="506">
        <v>33.549234566603403</v>
      </c>
      <c r="X181" s="506">
        <v>6.6451894855819704E-2</v>
      </c>
      <c r="Y181" s="506">
        <v>230.898283475406</v>
      </c>
      <c r="Z181" s="506">
        <v>8.7754189346703306</v>
      </c>
      <c r="AA181" s="506">
        <v>9.1518431669414604E-3</v>
      </c>
      <c r="AB181" s="506">
        <v>4.0305871139009797E-2</v>
      </c>
      <c r="AC181" s="506">
        <v>7.8082195820935704E-7</v>
      </c>
      <c r="AD181" s="506">
        <v>0</v>
      </c>
      <c r="AE181" s="506">
        <v>0</v>
      </c>
      <c r="AF181" s="506">
        <v>0</v>
      </c>
      <c r="AG181" s="506">
        <v>0</v>
      </c>
      <c r="AH181" s="506">
        <v>5.5376579046516397E-3</v>
      </c>
      <c r="AI181" s="506">
        <v>19.241523622950499</v>
      </c>
      <c r="AJ181" s="506">
        <v>0.08</v>
      </c>
      <c r="AK181" s="506">
        <v>4</v>
      </c>
      <c r="AL181" s="506">
        <v>25</v>
      </c>
      <c r="AM181" s="506">
        <v>50</v>
      </c>
      <c r="AN181" s="506">
        <v>0</v>
      </c>
      <c r="AO181" s="506">
        <v>0</v>
      </c>
      <c r="AP181" s="506">
        <v>0</v>
      </c>
      <c r="AQ181" s="506">
        <v>0</v>
      </c>
      <c r="AR181" s="506">
        <v>0.24</v>
      </c>
      <c r="AS181" s="506">
        <v>12</v>
      </c>
      <c r="AT181" s="506">
        <v>25</v>
      </c>
      <c r="AU181" s="506">
        <v>149.9</v>
      </c>
      <c r="AV181" s="506">
        <v>0.24</v>
      </c>
      <c r="AW181" s="506">
        <v>0</v>
      </c>
      <c r="AX181" s="506">
        <v>0</v>
      </c>
      <c r="AY181" s="506">
        <v>0.1</v>
      </c>
      <c r="AZ181" s="506">
        <v>0.32</v>
      </c>
      <c r="BA181" s="506">
        <v>16</v>
      </c>
      <c r="BB181" s="506">
        <v>25</v>
      </c>
      <c r="BC181" s="506">
        <v>199.9</v>
      </c>
      <c r="BD181" s="506">
        <v>0.32</v>
      </c>
      <c r="BE181" s="506">
        <v>0</v>
      </c>
      <c r="BF181" s="506">
        <v>0</v>
      </c>
      <c r="BG181" s="506">
        <v>0.1</v>
      </c>
      <c r="BH181" s="506">
        <v>8.4499999999999993</v>
      </c>
      <c r="BI181" s="506">
        <v>8.4499999999999993</v>
      </c>
    </row>
    <row r="182" spans="1:61" ht="12.95" customHeight="1" thickBot="1">
      <c r="A182" s="254" t="s">
        <v>1902</v>
      </c>
      <c r="B182" s="254" t="s">
        <v>92</v>
      </c>
      <c r="C182" s="204"/>
      <c r="D182" s="254"/>
      <c r="E182" s="502"/>
      <c r="F182" s="501"/>
      <c r="G182" s="90"/>
      <c r="H182" s="90"/>
      <c r="I182" s="90"/>
      <c r="J182" s="90"/>
      <c r="K182" s="90"/>
      <c r="L182" s="90"/>
      <c r="M182" s="90"/>
      <c r="N182" s="90"/>
      <c r="O182" s="90"/>
      <c r="P182" s="90"/>
      <c r="Q182" s="90"/>
      <c r="R182" s="90"/>
      <c r="S182" s="90"/>
      <c r="T182" s="90"/>
      <c r="U182" s="90"/>
      <c r="V182" s="90"/>
      <c r="W182" s="90"/>
      <c r="X182" s="90"/>
      <c r="Y182" s="90"/>
      <c r="Z182" s="90"/>
      <c r="AA182" s="90"/>
      <c r="AB182" s="90"/>
      <c r="AC182" s="90"/>
      <c r="AD182" s="90"/>
      <c r="AE182" s="90"/>
      <c r="AF182" s="90"/>
      <c r="AG182" s="90"/>
      <c r="AH182" s="90"/>
      <c r="AI182" s="90"/>
      <c r="AJ182" s="90"/>
      <c r="AK182" s="90"/>
      <c r="AL182" s="90"/>
      <c r="AM182" s="90"/>
      <c r="AN182" s="90"/>
      <c r="AO182" s="90"/>
      <c r="AP182" s="90"/>
      <c r="AQ182" s="90"/>
      <c r="AR182" s="90"/>
      <c r="AS182" s="90"/>
      <c r="AT182" s="90"/>
      <c r="AU182" s="90"/>
      <c r="AV182" s="90"/>
      <c r="AW182" s="90"/>
      <c r="AX182" s="90"/>
      <c r="AY182" s="90"/>
      <c r="AZ182" s="90"/>
      <c r="BA182" s="90"/>
      <c r="BB182" s="90"/>
      <c r="BC182" s="90"/>
      <c r="BD182" s="90"/>
      <c r="BE182" s="90"/>
      <c r="BF182" s="90"/>
      <c r="BG182" s="90"/>
      <c r="BH182" s="90"/>
      <c r="BI182" s="506"/>
    </row>
    <row r="183" spans="1:61" ht="12.95" customHeight="1" thickTop="1" thickBot="1">
      <c r="A183" s="172" t="s">
        <v>2694</v>
      </c>
      <c r="B183" s="493"/>
      <c r="C183" s="491"/>
      <c r="D183" s="493"/>
      <c r="E183" s="555"/>
      <c r="F183" s="636" t="s">
        <v>2688</v>
      </c>
      <c r="G183" s="636"/>
      <c r="H183" s="636"/>
      <c r="I183" s="558"/>
      <c r="J183" s="558"/>
      <c r="K183" s="558"/>
      <c r="L183" s="558"/>
      <c r="M183" s="558"/>
      <c r="N183" s="558"/>
      <c r="O183" s="558"/>
      <c r="P183" s="558"/>
      <c r="Q183" s="558"/>
      <c r="R183" s="558"/>
      <c r="S183" s="558"/>
      <c r="T183" s="558"/>
      <c r="U183" s="558"/>
      <c r="V183" s="558"/>
      <c r="W183" s="558"/>
      <c r="X183" s="558"/>
      <c r="Y183" s="558"/>
      <c r="Z183" s="558"/>
      <c r="AA183" s="558"/>
      <c r="AB183" s="558"/>
      <c r="AC183" s="558"/>
      <c r="AD183" s="558"/>
      <c r="AE183" s="558"/>
      <c r="AF183" s="558"/>
      <c r="AG183" s="558"/>
      <c r="AH183" s="558"/>
      <c r="AI183" s="558"/>
      <c r="AJ183" s="558"/>
      <c r="AK183" s="558"/>
      <c r="AL183" s="558"/>
      <c r="AM183" s="558"/>
      <c r="AN183" s="558"/>
      <c r="AO183" s="558"/>
      <c r="AP183" s="558"/>
      <c r="AQ183" s="558"/>
      <c r="AR183" s="558"/>
      <c r="AS183" s="558"/>
      <c r="AT183" s="558"/>
      <c r="AU183" s="558"/>
      <c r="AV183" s="558"/>
      <c r="AW183" s="558"/>
      <c r="AX183" s="558"/>
      <c r="AY183" s="558"/>
      <c r="AZ183" s="558"/>
      <c r="BA183" s="558"/>
      <c r="BB183" s="558"/>
      <c r="BC183" s="558"/>
      <c r="BD183" s="558"/>
      <c r="BE183" s="558"/>
      <c r="BF183" s="558"/>
      <c r="BG183" s="558"/>
      <c r="BH183" s="558"/>
      <c r="BI183" s="558"/>
    </row>
    <row r="184" spans="1:61" ht="12.95" customHeight="1" thickTop="1">
      <c r="A184" s="254" t="s">
        <v>2071</v>
      </c>
      <c r="B184" s="254"/>
      <c r="C184" s="204"/>
      <c r="D184" s="254"/>
      <c r="E184" s="502"/>
      <c r="F184" s="501"/>
      <c r="G184" s="506"/>
      <c r="H184" s="506"/>
      <c r="I184" s="506"/>
      <c r="J184" s="506"/>
      <c r="K184" s="506"/>
      <c r="L184" s="506"/>
      <c r="M184" s="506"/>
      <c r="N184" s="506"/>
      <c r="O184" s="506"/>
      <c r="P184" s="506"/>
      <c r="Q184" s="506"/>
      <c r="R184" s="506"/>
      <c r="S184" s="506"/>
      <c r="T184" s="506"/>
      <c r="U184" s="506"/>
      <c r="V184" s="506"/>
      <c r="W184" s="506"/>
      <c r="X184" s="506"/>
      <c r="Y184" s="506"/>
      <c r="Z184" s="506"/>
      <c r="AA184" s="506"/>
      <c r="AB184" s="506"/>
      <c r="AC184" s="506"/>
      <c r="AD184" s="506"/>
      <c r="AE184" s="506"/>
      <c r="AF184" s="506"/>
      <c r="AG184" s="506"/>
      <c r="AH184" s="506"/>
      <c r="AI184" s="506"/>
      <c r="AJ184" s="506"/>
      <c r="AK184" s="506"/>
      <c r="AL184" s="506"/>
      <c r="AM184" s="506"/>
      <c r="AN184" s="506"/>
      <c r="AO184" s="506"/>
      <c r="AP184" s="506"/>
      <c r="AQ184" s="506"/>
      <c r="AR184" s="506"/>
      <c r="AS184" s="506"/>
      <c r="AT184" s="506"/>
      <c r="AU184" s="506"/>
      <c r="AV184" s="506"/>
      <c r="AW184" s="506"/>
      <c r="AX184" s="506"/>
      <c r="AY184" s="506"/>
      <c r="AZ184" s="506"/>
      <c r="BA184" s="506"/>
      <c r="BB184" s="506"/>
      <c r="BC184" s="506"/>
      <c r="BD184" s="506"/>
      <c r="BE184" s="506"/>
      <c r="BF184" s="506"/>
      <c r="BG184" s="506"/>
      <c r="BH184" s="506"/>
      <c r="BI184" s="506"/>
    </row>
    <row r="185" spans="1:61" ht="12.95" customHeight="1">
      <c r="A185" s="254" t="s">
        <v>1933</v>
      </c>
      <c r="B185" s="254" t="s">
        <v>92</v>
      </c>
      <c r="C185" s="204">
        <v>1</v>
      </c>
      <c r="D185" s="254" t="s">
        <v>1928</v>
      </c>
      <c r="E185" s="502">
        <v>1</v>
      </c>
      <c r="F185" s="501">
        <v>3.9609502462821502</v>
      </c>
      <c r="G185" s="506">
        <v>34</v>
      </c>
      <c r="H185" s="506">
        <v>0</v>
      </c>
      <c r="I185" s="506">
        <v>0</v>
      </c>
      <c r="J185" s="506">
        <v>0</v>
      </c>
      <c r="K185" s="506">
        <v>0</v>
      </c>
      <c r="L185" s="506">
        <v>20.2</v>
      </c>
      <c r="M185" s="506">
        <v>20.2</v>
      </c>
      <c r="N185" s="506">
        <v>24.952774223544498</v>
      </c>
      <c r="O185" s="506">
        <v>0</v>
      </c>
      <c r="P185" s="506">
        <v>24.952774223544498</v>
      </c>
      <c r="Q185" s="506">
        <v>0.19259316308212299</v>
      </c>
      <c r="R185" s="506">
        <v>313.69198394224998</v>
      </c>
      <c r="S185" s="506">
        <v>22.2538322270408</v>
      </c>
      <c r="T185" s="506">
        <v>1.06594757740286E-2</v>
      </c>
      <c r="U185" s="506">
        <v>3.0370569896016799E-2</v>
      </c>
      <c r="V185" s="506">
        <v>1.9681984231794701E-6</v>
      </c>
      <c r="W185" s="506">
        <v>49.905548447088997</v>
      </c>
      <c r="X185" s="506">
        <v>0.38518632616424597</v>
      </c>
      <c r="Y185" s="506">
        <v>627.38396788449995</v>
      </c>
      <c r="Z185" s="506">
        <v>44.507664454081599</v>
      </c>
      <c r="AA185" s="506">
        <v>2.1318951548057199E-2</v>
      </c>
      <c r="AB185" s="506">
        <v>6.0741139792033598E-2</v>
      </c>
      <c r="AC185" s="506">
        <v>3.9363968463589403E-6</v>
      </c>
      <c r="AD185" s="506">
        <v>0</v>
      </c>
      <c r="AE185" s="506">
        <v>0</v>
      </c>
      <c r="AF185" s="506">
        <v>0</v>
      </c>
      <c r="AG185" s="506">
        <v>24.952774223544498</v>
      </c>
      <c r="AH185" s="506">
        <v>0.19259316308212299</v>
      </c>
      <c r="AI185" s="506">
        <v>313.69198394224998</v>
      </c>
      <c r="AJ185" s="506">
        <v>1</v>
      </c>
      <c r="AK185" s="506">
        <v>0</v>
      </c>
      <c r="AL185" s="506">
        <v>0</v>
      </c>
      <c r="AM185" s="506">
        <v>0</v>
      </c>
      <c r="AN185" s="506">
        <v>0</v>
      </c>
      <c r="AO185" s="506">
        <v>0</v>
      </c>
      <c r="AP185" s="506">
        <v>0</v>
      </c>
      <c r="AQ185" s="506">
        <v>0</v>
      </c>
      <c r="AR185" s="506">
        <v>1.8571428571428601</v>
      </c>
      <c r="AS185" s="506">
        <v>0</v>
      </c>
      <c r="AT185" s="506">
        <v>0</v>
      </c>
      <c r="AU185" s="506">
        <v>0</v>
      </c>
      <c r="AV185" s="506">
        <v>0</v>
      </c>
      <c r="AW185" s="506">
        <v>0</v>
      </c>
      <c r="AX185" s="506">
        <v>0</v>
      </c>
      <c r="AY185" s="506">
        <v>0</v>
      </c>
      <c r="AZ185" s="506">
        <v>2.8571428571428599</v>
      </c>
      <c r="BA185" s="506">
        <v>0</v>
      </c>
      <c r="BB185" s="506">
        <v>0</v>
      </c>
      <c r="BC185" s="506">
        <v>0</v>
      </c>
      <c r="BD185" s="506">
        <v>0</v>
      </c>
      <c r="BE185" s="506">
        <v>0</v>
      </c>
      <c r="BF185" s="506">
        <v>0</v>
      </c>
      <c r="BG185" s="506">
        <v>0</v>
      </c>
      <c r="BH185" s="506">
        <v>6.06</v>
      </c>
      <c r="BI185" s="506"/>
    </row>
    <row r="186" spans="1:61" ht="12.95" customHeight="1">
      <c r="A186" s="254" t="s">
        <v>1934</v>
      </c>
      <c r="B186" s="254" t="s">
        <v>92</v>
      </c>
      <c r="C186" s="204">
        <v>2</v>
      </c>
      <c r="D186" s="254" t="s">
        <v>1929</v>
      </c>
      <c r="E186" s="502">
        <v>1</v>
      </c>
      <c r="F186" s="501">
        <v>11.7994162030979</v>
      </c>
      <c r="G186" s="506">
        <v>34</v>
      </c>
      <c r="H186" s="506">
        <v>0</v>
      </c>
      <c r="I186" s="506">
        <v>0</v>
      </c>
      <c r="J186" s="506">
        <v>0</v>
      </c>
      <c r="K186" s="506">
        <v>0</v>
      </c>
      <c r="L186" s="506">
        <v>20.2</v>
      </c>
      <c r="M186" s="506">
        <v>20.2</v>
      </c>
      <c r="N186" s="506">
        <v>30.473469387070299</v>
      </c>
      <c r="O186" s="506">
        <v>0</v>
      </c>
      <c r="P186" s="506">
        <v>30.473469387070299</v>
      </c>
      <c r="Q186" s="506">
        <v>0.21875957410698799</v>
      </c>
      <c r="R186" s="506">
        <v>416.57684272963297</v>
      </c>
      <c r="S186" s="506">
        <v>29.560647451613701</v>
      </c>
      <c r="T186" s="506">
        <v>1.1898000311177199E-2</v>
      </c>
      <c r="U186" s="506">
        <v>4.9318287113030899E-2</v>
      </c>
      <c r="V186" s="506">
        <v>2.21205768549442E-6</v>
      </c>
      <c r="W186" s="506">
        <v>60.946938774140598</v>
      </c>
      <c r="X186" s="506">
        <v>0.43751914821397597</v>
      </c>
      <c r="Y186" s="506">
        <v>833.15368545926594</v>
      </c>
      <c r="Z186" s="506">
        <v>59.121294903227401</v>
      </c>
      <c r="AA186" s="506">
        <v>2.3796000622354398E-2</v>
      </c>
      <c r="AB186" s="506">
        <v>9.8636574226061799E-2</v>
      </c>
      <c r="AC186" s="506">
        <v>4.42411537098884E-6</v>
      </c>
      <c r="AD186" s="506">
        <v>0</v>
      </c>
      <c r="AE186" s="506">
        <v>0</v>
      </c>
      <c r="AF186" s="506">
        <v>0</v>
      </c>
      <c r="AG186" s="506">
        <v>30.473469387070299</v>
      </c>
      <c r="AH186" s="506">
        <v>0.21875957410698799</v>
      </c>
      <c r="AI186" s="506">
        <v>416.57684272963297</v>
      </c>
      <c r="AJ186" s="506">
        <v>1</v>
      </c>
      <c r="AK186" s="506">
        <v>0</v>
      </c>
      <c r="AL186" s="506">
        <v>0</v>
      </c>
      <c r="AM186" s="506">
        <v>0</v>
      </c>
      <c r="AN186" s="506">
        <v>0</v>
      </c>
      <c r="AO186" s="506">
        <v>0</v>
      </c>
      <c r="AP186" s="506">
        <v>0</v>
      </c>
      <c r="AQ186" s="506">
        <v>0</v>
      </c>
      <c r="AR186" s="506">
        <v>1.8571428571428601</v>
      </c>
      <c r="AS186" s="506">
        <v>0</v>
      </c>
      <c r="AT186" s="506">
        <v>0</v>
      </c>
      <c r="AU186" s="506">
        <v>0</v>
      </c>
      <c r="AV186" s="506">
        <v>0</v>
      </c>
      <c r="AW186" s="506">
        <v>0</v>
      </c>
      <c r="AX186" s="506">
        <v>0</v>
      </c>
      <c r="AY186" s="506">
        <v>0</v>
      </c>
      <c r="AZ186" s="506">
        <v>2.8571428571428599</v>
      </c>
      <c r="BA186" s="506">
        <v>0</v>
      </c>
      <c r="BB186" s="506">
        <v>0</v>
      </c>
      <c r="BC186" s="506">
        <v>0</v>
      </c>
      <c r="BD186" s="506">
        <v>0</v>
      </c>
      <c r="BE186" s="506">
        <v>0</v>
      </c>
      <c r="BF186" s="506">
        <v>0</v>
      </c>
      <c r="BG186" s="506">
        <v>0</v>
      </c>
      <c r="BH186" s="506">
        <v>6.06</v>
      </c>
      <c r="BI186" s="506"/>
    </row>
    <row r="187" spans="1:61" ht="12.95" customHeight="1">
      <c r="A187" s="254" t="s">
        <v>1935</v>
      </c>
      <c r="B187" s="254" t="s">
        <v>92</v>
      </c>
      <c r="C187" s="204">
        <v>3</v>
      </c>
      <c r="D187" s="254" t="s">
        <v>1930</v>
      </c>
      <c r="E187" s="502">
        <v>1</v>
      </c>
      <c r="F187" s="501">
        <v>29.7522683309762</v>
      </c>
      <c r="G187" s="506">
        <v>34</v>
      </c>
      <c r="H187" s="506">
        <v>0</v>
      </c>
      <c r="I187" s="506">
        <v>0</v>
      </c>
      <c r="J187" s="506">
        <v>0</v>
      </c>
      <c r="K187" s="506">
        <v>0</v>
      </c>
      <c r="L187" s="506">
        <v>30.6</v>
      </c>
      <c r="M187" s="506">
        <v>30.6</v>
      </c>
      <c r="N187" s="506">
        <v>40.772555730393599</v>
      </c>
      <c r="O187" s="506">
        <v>0</v>
      </c>
      <c r="P187" s="506">
        <v>40.772555730393599</v>
      </c>
      <c r="Q187" s="506">
        <v>0.311184401451232</v>
      </c>
      <c r="R187" s="506">
        <v>533.96766547238894</v>
      </c>
      <c r="S187" s="506">
        <v>25.711302901137</v>
      </c>
      <c r="T187" s="506">
        <v>1.7324512720109798E-2</v>
      </c>
      <c r="U187" s="506">
        <v>5.7258193078632599E-2</v>
      </c>
      <c r="V187" s="506">
        <v>2.9988942006988199E-6</v>
      </c>
      <c r="W187" s="506">
        <v>81.545111460787197</v>
      </c>
      <c r="X187" s="506">
        <v>0.62236880290246399</v>
      </c>
      <c r="Y187" s="506">
        <v>1067.9353309447799</v>
      </c>
      <c r="Z187" s="506">
        <v>51.422605802273999</v>
      </c>
      <c r="AA187" s="506">
        <v>3.4649025440219597E-2</v>
      </c>
      <c r="AB187" s="506">
        <v>0.114516386157265</v>
      </c>
      <c r="AC187" s="506">
        <v>5.9977884013976398E-6</v>
      </c>
      <c r="AD187" s="506">
        <v>0</v>
      </c>
      <c r="AE187" s="506">
        <v>0</v>
      </c>
      <c r="AF187" s="506">
        <v>0</v>
      </c>
      <c r="AG187" s="506">
        <v>40.772555730393599</v>
      </c>
      <c r="AH187" s="506">
        <v>0.311184401451232</v>
      </c>
      <c r="AI187" s="506">
        <v>533.96766547238894</v>
      </c>
      <c r="AJ187" s="506">
        <v>1</v>
      </c>
      <c r="AK187" s="506">
        <v>0</v>
      </c>
      <c r="AL187" s="506">
        <v>0</v>
      </c>
      <c r="AM187" s="506">
        <v>0</v>
      </c>
      <c r="AN187" s="506">
        <v>0</v>
      </c>
      <c r="AO187" s="506">
        <v>0</v>
      </c>
      <c r="AP187" s="506">
        <v>0</v>
      </c>
      <c r="AQ187" s="506">
        <v>0</v>
      </c>
      <c r="AR187" s="506">
        <v>1.8571428571428601</v>
      </c>
      <c r="AS187" s="506">
        <v>0</v>
      </c>
      <c r="AT187" s="506">
        <v>0</v>
      </c>
      <c r="AU187" s="506">
        <v>0</v>
      </c>
      <c r="AV187" s="506">
        <v>0</v>
      </c>
      <c r="AW187" s="506">
        <v>0</v>
      </c>
      <c r="AX187" s="506">
        <v>0</v>
      </c>
      <c r="AY187" s="506">
        <v>0</v>
      </c>
      <c r="AZ187" s="506">
        <v>2.8571428571428599</v>
      </c>
      <c r="BA187" s="506">
        <v>0</v>
      </c>
      <c r="BB187" s="506">
        <v>0</v>
      </c>
      <c r="BC187" s="506">
        <v>0</v>
      </c>
      <c r="BD187" s="506">
        <v>0</v>
      </c>
      <c r="BE187" s="506">
        <v>0</v>
      </c>
      <c r="BF187" s="506">
        <v>0</v>
      </c>
      <c r="BG187" s="506">
        <v>0</v>
      </c>
      <c r="BH187" s="506">
        <v>9.18</v>
      </c>
      <c r="BI187" s="506"/>
    </row>
    <row r="188" spans="1:61" ht="12.95" customHeight="1" thickBot="1">
      <c r="A188" s="254" t="s">
        <v>1936</v>
      </c>
      <c r="B188" s="254" t="s">
        <v>92</v>
      </c>
      <c r="C188" s="204">
        <v>4</v>
      </c>
      <c r="D188" s="254" t="s">
        <v>1931</v>
      </c>
      <c r="E188" s="502">
        <v>1</v>
      </c>
      <c r="F188" s="501">
        <v>48.8660252362113</v>
      </c>
      <c r="G188" s="506">
        <v>34</v>
      </c>
      <c r="H188" s="506">
        <v>0</v>
      </c>
      <c r="I188" s="506">
        <v>0</v>
      </c>
      <c r="J188" s="506">
        <v>0</v>
      </c>
      <c r="K188" s="506">
        <v>0</v>
      </c>
      <c r="L188" s="506">
        <v>30.700000850390001</v>
      </c>
      <c r="M188" s="506">
        <v>30.700000850390001</v>
      </c>
      <c r="N188" s="506">
        <v>54.276780772415002</v>
      </c>
      <c r="O188" s="506">
        <v>0</v>
      </c>
      <c r="P188" s="506">
        <v>54.276780772415002</v>
      </c>
      <c r="Q188" s="506">
        <v>0.37492460978056902</v>
      </c>
      <c r="R188" s="506">
        <v>784.89841410198903</v>
      </c>
      <c r="S188" s="506">
        <v>43.645973298896998</v>
      </c>
      <c r="T188" s="506">
        <v>2.0612524894722799E-2</v>
      </c>
      <c r="U188" s="506">
        <v>0.10228878616382001</v>
      </c>
      <c r="V188" s="506">
        <v>3.5951631403430501E-6</v>
      </c>
      <c r="W188" s="506">
        <v>108.55356154483</v>
      </c>
      <c r="X188" s="506">
        <v>0.74984921956113804</v>
      </c>
      <c r="Y188" s="506">
        <v>1569.7968282039801</v>
      </c>
      <c r="Z188" s="506">
        <v>87.291946597793995</v>
      </c>
      <c r="AA188" s="506">
        <v>4.1225049789445599E-2</v>
      </c>
      <c r="AB188" s="506">
        <v>0.20457757232764001</v>
      </c>
      <c r="AC188" s="506">
        <v>7.1903262806861001E-6</v>
      </c>
      <c r="AD188" s="506">
        <v>0</v>
      </c>
      <c r="AE188" s="506">
        <v>0</v>
      </c>
      <c r="AF188" s="506">
        <v>0</v>
      </c>
      <c r="AG188" s="506">
        <v>0</v>
      </c>
      <c r="AH188" s="506">
        <v>9.3731152445142296E-2</v>
      </c>
      <c r="AI188" s="506">
        <v>196.224603525497</v>
      </c>
      <c r="AJ188" s="506">
        <v>1</v>
      </c>
      <c r="AK188" s="506">
        <v>0</v>
      </c>
      <c r="AL188" s="506">
        <v>0</v>
      </c>
      <c r="AM188" s="506">
        <v>0</v>
      </c>
      <c r="AN188" s="506">
        <v>0</v>
      </c>
      <c r="AO188" s="506">
        <v>0</v>
      </c>
      <c r="AP188" s="506">
        <v>0</v>
      </c>
      <c r="AQ188" s="506">
        <v>0</v>
      </c>
      <c r="AR188" s="506">
        <v>1.8571428571428601</v>
      </c>
      <c r="AS188" s="506">
        <v>0</v>
      </c>
      <c r="AT188" s="506">
        <v>0</v>
      </c>
      <c r="AU188" s="506">
        <v>0</v>
      </c>
      <c r="AV188" s="506">
        <v>0</v>
      </c>
      <c r="AW188" s="506">
        <v>0</v>
      </c>
      <c r="AX188" s="506">
        <v>0</v>
      </c>
      <c r="AY188" s="506">
        <v>0</v>
      </c>
      <c r="AZ188" s="506">
        <v>2.8571428571428599</v>
      </c>
      <c r="BA188" s="506">
        <v>0</v>
      </c>
      <c r="BB188" s="506">
        <v>0</v>
      </c>
      <c r="BC188" s="506">
        <v>0</v>
      </c>
      <c r="BD188" s="506">
        <v>0</v>
      </c>
      <c r="BE188" s="506">
        <v>0</v>
      </c>
      <c r="BF188" s="506">
        <v>0</v>
      </c>
      <c r="BG188" s="506">
        <v>0</v>
      </c>
      <c r="BH188" s="506">
        <v>9.2100002551170004</v>
      </c>
      <c r="BI188" s="506"/>
    </row>
    <row r="189" spans="1:61" ht="12.95" customHeight="1" thickBot="1">
      <c r="A189" s="254" t="s">
        <v>1932</v>
      </c>
      <c r="B189" s="254" t="s">
        <v>92</v>
      </c>
      <c r="C189" s="204"/>
      <c r="D189" s="254"/>
      <c r="E189" s="502"/>
      <c r="F189" s="501"/>
      <c r="G189" s="90"/>
      <c r="H189" s="90"/>
      <c r="I189" s="90"/>
      <c r="J189" s="90"/>
      <c r="K189" s="90"/>
      <c r="L189" s="90"/>
      <c r="M189" s="90"/>
      <c r="N189" s="90"/>
      <c r="O189" s="90"/>
      <c r="P189" s="90"/>
      <c r="Q189" s="90"/>
      <c r="R189" s="90"/>
      <c r="S189" s="90"/>
      <c r="T189" s="90"/>
      <c r="U189" s="90"/>
      <c r="V189" s="90"/>
      <c r="W189" s="90"/>
      <c r="X189" s="90"/>
      <c r="Y189" s="90"/>
      <c r="Z189" s="90"/>
      <c r="AA189" s="90"/>
      <c r="AB189" s="90"/>
      <c r="AC189" s="90"/>
      <c r="AD189" s="90"/>
      <c r="AE189" s="90"/>
      <c r="AF189" s="90"/>
      <c r="AG189" s="90"/>
      <c r="AH189" s="90"/>
      <c r="AI189" s="90"/>
      <c r="AJ189" s="90"/>
      <c r="AK189" s="90"/>
      <c r="AL189" s="90"/>
      <c r="AM189" s="90"/>
      <c r="AN189" s="90"/>
      <c r="AO189" s="90"/>
      <c r="AP189" s="90"/>
      <c r="AQ189" s="90"/>
      <c r="AR189" s="90"/>
      <c r="AS189" s="90"/>
      <c r="AT189" s="90"/>
      <c r="AU189" s="90"/>
      <c r="AV189" s="90"/>
      <c r="AW189" s="90"/>
      <c r="AX189" s="90"/>
      <c r="AY189" s="90"/>
      <c r="AZ189" s="90"/>
      <c r="BA189" s="90"/>
      <c r="BB189" s="90"/>
      <c r="BC189" s="90"/>
      <c r="BD189" s="90"/>
      <c r="BE189" s="90"/>
      <c r="BF189" s="90"/>
      <c r="BG189" s="90"/>
      <c r="BH189" s="90"/>
      <c r="BI189" s="506"/>
    </row>
    <row r="190" spans="1:61" ht="12.95" customHeight="1">
      <c r="A190" s="254" t="s">
        <v>2071</v>
      </c>
      <c r="B190" s="254"/>
      <c r="C190" s="204"/>
      <c r="D190" s="254"/>
      <c r="E190" s="502"/>
      <c r="F190" s="501"/>
      <c r="G190" s="506"/>
      <c r="H190" s="506"/>
      <c r="I190" s="506"/>
      <c r="J190" s="506"/>
      <c r="K190" s="506"/>
      <c r="L190" s="506"/>
      <c r="M190" s="506"/>
      <c r="N190" s="506"/>
      <c r="O190" s="506"/>
      <c r="P190" s="506"/>
      <c r="Q190" s="506"/>
      <c r="R190" s="506"/>
      <c r="S190" s="506"/>
      <c r="T190" s="506"/>
      <c r="U190" s="506"/>
      <c r="V190" s="506"/>
      <c r="W190" s="506"/>
      <c r="X190" s="506"/>
      <c r="Y190" s="506"/>
      <c r="Z190" s="506"/>
      <c r="AA190" s="506"/>
      <c r="AB190" s="506"/>
      <c r="AC190" s="506"/>
      <c r="AD190" s="506"/>
      <c r="AE190" s="506"/>
      <c r="AF190" s="506"/>
      <c r="AG190" s="506"/>
      <c r="AH190" s="506"/>
      <c r="AI190" s="506"/>
      <c r="AJ190" s="506"/>
      <c r="AK190" s="506"/>
      <c r="AL190" s="506"/>
      <c r="AM190" s="506"/>
      <c r="AN190" s="506"/>
      <c r="AO190" s="506"/>
      <c r="AP190" s="506"/>
      <c r="AQ190" s="506"/>
      <c r="AR190" s="506"/>
      <c r="AS190" s="506"/>
      <c r="AT190" s="506"/>
      <c r="AU190" s="506"/>
      <c r="AV190" s="506"/>
      <c r="AW190" s="506"/>
      <c r="AX190" s="506"/>
      <c r="AY190" s="506"/>
      <c r="AZ190" s="506"/>
      <c r="BA190" s="506"/>
      <c r="BB190" s="506"/>
      <c r="BC190" s="506"/>
      <c r="BD190" s="506"/>
      <c r="BE190" s="506"/>
      <c r="BF190" s="506"/>
      <c r="BG190" s="506"/>
      <c r="BH190" s="506"/>
      <c r="BI190" s="506"/>
    </row>
    <row r="191" spans="1:61" ht="12.95" customHeight="1">
      <c r="A191" s="254" t="s">
        <v>1945</v>
      </c>
      <c r="B191" s="254" t="s">
        <v>92</v>
      </c>
      <c r="C191" s="204">
        <v>5</v>
      </c>
      <c r="D191" s="254" t="s">
        <v>1937</v>
      </c>
      <c r="E191" s="502">
        <v>1</v>
      </c>
      <c r="F191" s="501">
        <v>281.83029427414698</v>
      </c>
      <c r="G191" s="506">
        <v>34</v>
      </c>
      <c r="H191" s="506">
        <v>0</v>
      </c>
      <c r="I191" s="506">
        <v>0</v>
      </c>
      <c r="J191" s="506">
        <v>35.120539999999998</v>
      </c>
      <c r="K191" s="506">
        <v>0</v>
      </c>
      <c r="L191" s="506">
        <v>0</v>
      </c>
      <c r="M191" s="506">
        <v>35.120539999999998</v>
      </c>
      <c r="N191" s="506">
        <v>256.15424934590101</v>
      </c>
      <c r="O191" s="506">
        <v>0</v>
      </c>
      <c r="P191" s="506">
        <v>256.15424934590101</v>
      </c>
      <c r="Q191" s="506">
        <v>1.12072611462148</v>
      </c>
      <c r="R191" s="506">
        <v>3781.2331230089699</v>
      </c>
      <c r="S191" s="506">
        <v>486.65699937041398</v>
      </c>
      <c r="T191" s="506">
        <v>0.114999383682287</v>
      </c>
      <c r="U191" s="506">
        <v>0.46458931218788002</v>
      </c>
      <c r="V191" s="506">
        <v>1.7705026677700699E-5</v>
      </c>
      <c r="W191" s="506">
        <v>512.30849869180201</v>
      </c>
      <c r="X191" s="506">
        <v>2.2414522292429599</v>
      </c>
      <c r="Y191" s="506">
        <v>7562.4662460179397</v>
      </c>
      <c r="Z191" s="506">
        <v>973.31399874082797</v>
      </c>
      <c r="AA191" s="506">
        <v>0.229998767364574</v>
      </c>
      <c r="AB191" s="506">
        <v>0.92917862437576004</v>
      </c>
      <c r="AC191" s="506">
        <v>3.5410053355401397E-5</v>
      </c>
      <c r="AD191" s="506">
        <v>0</v>
      </c>
      <c r="AE191" s="506">
        <v>0</v>
      </c>
      <c r="AF191" s="506">
        <v>0</v>
      </c>
      <c r="AG191" s="506">
        <v>256.15424934590101</v>
      </c>
      <c r="AH191" s="506">
        <v>1.12072611462148</v>
      </c>
      <c r="AI191" s="506">
        <v>3781.2331230089699</v>
      </c>
      <c r="AJ191" s="506">
        <v>1</v>
      </c>
      <c r="AK191" s="506">
        <v>0</v>
      </c>
      <c r="AL191" s="506">
        <v>0</v>
      </c>
      <c r="AM191" s="506">
        <v>0</v>
      </c>
      <c r="AN191" s="506">
        <v>0</v>
      </c>
      <c r="AO191" s="506">
        <v>0</v>
      </c>
      <c r="AP191" s="506">
        <v>0</v>
      </c>
      <c r="AQ191" s="506">
        <v>0</v>
      </c>
      <c r="AR191" s="506">
        <v>1.8571428571428601</v>
      </c>
      <c r="AS191" s="506">
        <v>0</v>
      </c>
      <c r="AT191" s="506">
        <v>0</v>
      </c>
      <c r="AU191" s="506">
        <v>0</v>
      </c>
      <c r="AV191" s="506">
        <v>0</v>
      </c>
      <c r="AW191" s="506">
        <v>0</v>
      </c>
      <c r="AX191" s="506">
        <v>0</v>
      </c>
      <c r="AY191" s="506">
        <v>0</v>
      </c>
      <c r="AZ191" s="506">
        <v>2.8571428571428599</v>
      </c>
      <c r="BA191" s="506">
        <v>0</v>
      </c>
      <c r="BB191" s="506">
        <v>0</v>
      </c>
      <c r="BC191" s="506">
        <v>0</v>
      </c>
      <c r="BD191" s="506">
        <v>0</v>
      </c>
      <c r="BE191" s="506">
        <v>0</v>
      </c>
      <c r="BF191" s="506">
        <v>0</v>
      </c>
      <c r="BG191" s="506">
        <v>0</v>
      </c>
      <c r="BH191" s="506">
        <v>10.536162000000001</v>
      </c>
      <c r="BI191" s="506"/>
    </row>
    <row r="192" spans="1:61" ht="12.95" customHeight="1">
      <c r="A192" s="254" t="s">
        <v>1946</v>
      </c>
      <c r="B192" s="254" t="s">
        <v>92</v>
      </c>
      <c r="C192" s="204">
        <v>6</v>
      </c>
      <c r="D192" s="254" t="s">
        <v>1938</v>
      </c>
      <c r="E192" s="502">
        <v>1</v>
      </c>
      <c r="F192" s="501">
        <v>31.445301124308699</v>
      </c>
      <c r="G192" s="506">
        <v>34</v>
      </c>
      <c r="H192" s="506">
        <v>111.7244566</v>
      </c>
      <c r="I192" s="506">
        <v>0</v>
      </c>
      <c r="J192" s="506">
        <v>0</v>
      </c>
      <c r="K192" s="506">
        <v>0</v>
      </c>
      <c r="L192" s="506">
        <v>0</v>
      </c>
      <c r="M192" s="506">
        <v>111.7244566</v>
      </c>
      <c r="N192" s="506">
        <v>-105.309486535766</v>
      </c>
      <c r="O192" s="506">
        <v>-172.73695489622</v>
      </c>
      <c r="P192" s="506">
        <v>67.427468360454199</v>
      </c>
      <c r="Q192" s="506">
        <v>0.33813262078996498</v>
      </c>
      <c r="R192" s="506">
        <v>1207.3759832482301</v>
      </c>
      <c r="S192" s="506">
        <v>2228.4486813940298</v>
      </c>
      <c r="T192" s="506">
        <v>5.3443990739161097E-2</v>
      </c>
      <c r="U192" s="506">
        <v>0.17919995481696599</v>
      </c>
      <c r="V192" s="506">
        <v>4.4981573630736402E-6</v>
      </c>
      <c r="W192" s="506">
        <v>134.854936720908</v>
      </c>
      <c r="X192" s="506">
        <v>0.67626524157992995</v>
      </c>
      <c r="Y192" s="506">
        <v>2414.7519664964602</v>
      </c>
      <c r="Z192" s="506">
        <v>4456.8973627880596</v>
      </c>
      <c r="AA192" s="506">
        <v>0.106887981478322</v>
      </c>
      <c r="AB192" s="506">
        <v>0.35839990963393198</v>
      </c>
      <c r="AC192" s="506">
        <v>8.9963147261472804E-6</v>
      </c>
      <c r="AD192" s="506">
        <v>0</v>
      </c>
      <c r="AE192" s="506">
        <v>0</v>
      </c>
      <c r="AF192" s="506">
        <v>0</v>
      </c>
      <c r="AG192" s="506">
        <v>-105.309486535766</v>
      </c>
      <c r="AH192" s="506">
        <v>0.33813262078996498</v>
      </c>
      <c r="AI192" s="506">
        <v>1207.3759832482301</v>
      </c>
      <c r="AJ192" s="506">
        <v>1</v>
      </c>
      <c r="AK192" s="506">
        <v>0</v>
      </c>
      <c r="AL192" s="506">
        <v>0</v>
      </c>
      <c r="AM192" s="506">
        <v>0</v>
      </c>
      <c r="AN192" s="506">
        <v>0</v>
      </c>
      <c r="AO192" s="506">
        <v>0</v>
      </c>
      <c r="AP192" s="506">
        <v>0</v>
      </c>
      <c r="AQ192" s="506">
        <v>0</v>
      </c>
      <c r="AR192" s="506">
        <v>1.8571428571428601</v>
      </c>
      <c r="AS192" s="506">
        <v>0</v>
      </c>
      <c r="AT192" s="506">
        <v>0</v>
      </c>
      <c r="AU192" s="506">
        <v>0</v>
      </c>
      <c r="AV192" s="506">
        <v>0</v>
      </c>
      <c r="AW192" s="506">
        <v>0</v>
      </c>
      <c r="AX192" s="506">
        <v>0</v>
      </c>
      <c r="AY192" s="506">
        <v>0</v>
      </c>
      <c r="AZ192" s="506">
        <v>2.8571428571428599</v>
      </c>
      <c r="BA192" s="506">
        <v>0</v>
      </c>
      <c r="BB192" s="506">
        <v>0</v>
      </c>
      <c r="BC192" s="506">
        <v>0</v>
      </c>
      <c r="BD192" s="506">
        <v>0</v>
      </c>
      <c r="BE192" s="506">
        <v>0</v>
      </c>
      <c r="BF192" s="506">
        <v>0</v>
      </c>
      <c r="BG192" s="506">
        <v>0</v>
      </c>
      <c r="BH192" s="506">
        <v>33.517336980000003</v>
      </c>
      <c r="BI192" s="506"/>
    </row>
    <row r="193" spans="1:61" ht="12.95" customHeight="1">
      <c r="A193" s="254" t="s">
        <v>1947</v>
      </c>
      <c r="B193" s="254" t="s">
        <v>92</v>
      </c>
      <c r="C193" s="204">
        <v>7</v>
      </c>
      <c r="D193" s="254" t="s">
        <v>1939</v>
      </c>
      <c r="E193" s="502">
        <v>1</v>
      </c>
      <c r="F193" s="501">
        <v>30.421907174627901</v>
      </c>
      <c r="G193" s="506">
        <v>34</v>
      </c>
      <c r="H193" s="506">
        <v>89.758793600000004</v>
      </c>
      <c r="I193" s="506">
        <v>0</v>
      </c>
      <c r="J193" s="506">
        <v>0</v>
      </c>
      <c r="K193" s="506">
        <v>0</v>
      </c>
      <c r="L193" s="506">
        <v>0</v>
      </c>
      <c r="M193" s="506">
        <v>89.758793600000004</v>
      </c>
      <c r="N193" s="506">
        <v>-74.266932486601902</v>
      </c>
      <c r="O193" s="506">
        <v>-137.115009679038</v>
      </c>
      <c r="P193" s="506">
        <v>62.848077192435703</v>
      </c>
      <c r="Q193" s="506">
        <v>0.31232172226156402</v>
      </c>
      <c r="R193" s="506">
        <v>1124.70498862559</v>
      </c>
      <c r="S193" s="506">
        <v>1782.3107571436699</v>
      </c>
      <c r="T193" s="506">
        <v>4.5769686919459901E-2</v>
      </c>
      <c r="U193" s="506">
        <v>0.16744394792626899</v>
      </c>
      <c r="V193" s="506">
        <v>4.0554361841538196E-6</v>
      </c>
      <c r="W193" s="506">
        <v>125.69615438487099</v>
      </c>
      <c r="X193" s="506">
        <v>0.62464344452312803</v>
      </c>
      <c r="Y193" s="506">
        <v>2249.40997725118</v>
      </c>
      <c r="Z193" s="506">
        <v>3564.6215142873398</v>
      </c>
      <c r="AA193" s="506">
        <v>9.1539373838919802E-2</v>
      </c>
      <c r="AB193" s="506">
        <v>0.33488789585253798</v>
      </c>
      <c r="AC193" s="506">
        <v>8.1108723683076393E-6</v>
      </c>
      <c r="AD193" s="506">
        <v>0</v>
      </c>
      <c r="AE193" s="506">
        <v>0</v>
      </c>
      <c r="AF193" s="506">
        <v>0</v>
      </c>
      <c r="AG193" s="506">
        <v>-74.266932486601902</v>
      </c>
      <c r="AH193" s="506">
        <v>0.31232172226156402</v>
      </c>
      <c r="AI193" s="506">
        <v>1124.70498862559</v>
      </c>
      <c r="AJ193" s="506">
        <v>1</v>
      </c>
      <c r="AK193" s="506">
        <v>0</v>
      </c>
      <c r="AL193" s="506">
        <v>0</v>
      </c>
      <c r="AM193" s="506">
        <v>0</v>
      </c>
      <c r="AN193" s="506">
        <v>0</v>
      </c>
      <c r="AO193" s="506">
        <v>0</v>
      </c>
      <c r="AP193" s="506">
        <v>0</v>
      </c>
      <c r="AQ193" s="506">
        <v>0</v>
      </c>
      <c r="AR193" s="506">
        <v>1.8571428571428601</v>
      </c>
      <c r="AS193" s="506">
        <v>0</v>
      </c>
      <c r="AT193" s="506">
        <v>0</v>
      </c>
      <c r="AU193" s="506">
        <v>0</v>
      </c>
      <c r="AV193" s="506">
        <v>0</v>
      </c>
      <c r="AW193" s="506">
        <v>0</v>
      </c>
      <c r="AX193" s="506">
        <v>0</v>
      </c>
      <c r="AY193" s="506">
        <v>0</v>
      </c>
      <c r="AZ193" s="506">
        <v>2.8571428571428599</v>
      </c>
      <c r="BA193" s="506">
        <v>0</v>
      </c>
      <c r="BB193" s="506">
        <v>0</v>
      </c>
      <c r="BC193" s="506">
        <v>0</v>
      </c>
      <c r="BD193" s="506">
        <v>0</v>
      </c>
      <c r="BE193" s="506">
        <v>0</v>
      </c>
      <c r="BF193" s="506">
        <v>0</v>
      </c>
      <c r="BG193" s="506">
        <v>0</v>
      </c>
      <c r="BH193" s="506">
        <v>26.927638080000001</v>
      </c>
      <c r="BI193" s="506"/>
    </row>
    <row r="194" spans="1:61" ht="12.95" customHeight="1">
      <c r="A194" s="254" t="s">
        <v>1948</v>
      </c>
      <c r="B194" s="254" t="s">
        <v>92</v>
      </c>
      <c r="C194" s="204">
        <v>8</v>
      </c>
      <c r="D194" s="254" t="s">
        <v>1940</v>
      </c>
      <c r="E194" s="502">
        <v>1</v>
      </c>
      <c r="F194" s="501">
        <v>89.761394992836799</v>
      </c>
      <c r="G194" s="506">
        <v>34</v>
      </c>
      <c r="H194" s="506">
        <v>42.748376999999998</v>
      </c>
      <c r="I194" s="506">
        <v>0</v>
      </c>
      <c r="J194" s="506">
        <v>42.748376999999998</v>
      </c>
      <c r="K194" s="506">
        <v>0</v>
      </c>
      <c r="L194" s="506">
        <v>0</v>
      </c>
      <c r="M194" s="506">
        <v>85.496753999999996</v>
      </c>
      <c r="N194" s="506">
        <v>-9.8912570653298193</v>
      </c>
      <c r="O194" s="506">
        <v>-119.43296401852901</v>
      </c>
      <c r="P194" s="506">
        <v>109.541706953199</v>
      </c>
      <c r="Q194" s="506">
        <v>0.52260753514576297</v>
      </c>
      <c r="R194" s="506">
        <v>1741.8679945286999</v>
      </c>
      <c r="S194" s="506">
        <v>1707.3421496451001</v>
      </c>
      <c r="T194" s="506">
        <v>7.7086042739127295E-2</v>
      </c>
      <c r="U194" s="506">
        <v>0.250831128575141</v>
      </c>
      <c r="V194" s="506">
        <v>7.1785985725562902E-6</v>
      </c>
      <c r="W194" s="506">
        <v>219.08341390639799</v>
      </c>
      <c r="X194" s="506">
        <v>1.0452150702915299</v>
      </c>
      <c r="Y194" s="506">
        <v>3483.7359890573998</v>
      </c>
      <c r="Z194" s="506">
        <v>3414.6842992902002</v>
      </c>
      <c r="AA194" s="506">
        <v>0.15417208547825501</v>
      </c>
      <c r="AB194" s="506">
        <v>0.50166225715028201</v>
      </c>
      <c r="AC194" s="506">
        <v>1.4357197145112601E-5</v>
      </c>
      <c r="AD194" s="506">
        <v>0</v>
      </c>
      <c r="AE194" s="506">
        <v>0</v>
      </c>
      <c r="AF194" s="506">
        <v>0</v>
      </c>
      <c r="AG194" s="506">
        <v>-9.8912570653298193</v>
      </c>
      <c r="AH194" s="506">
        <v>0.52260753514576297</v>
      </c>
      <c r="AI194" s="506">
        <v>1741.8679945286999</v>
      </c>
      <c r="AJ194" s="506">
        <v>1</v>
      </c>
      <c r="AK194" s="506">
        <v>0</v>
      </c>
      <c r="AL194" s="506">
        <v>0</v>
      </c>
      <c r="AM194" s="506">
        <v>0</v>
      </c>
      <c r="AN194" s="506">
        <v>0</v>
      </c>
      <c r="AO194" s="506">
        <v>0</v>
      </c>
      <c r="AP194" s="506">
        <v>0</v>
      </c>
      <c r="AQ194" s="506">
        <v>0</v>
      </c>
      <c r="AR194" s="506">
        <v>1.8571428571428601</v>
      </c>
      <c r="AS194" s="506">
        <v>0</v>
      </c>
      <c r="AT194" s="506">
        <v>0</v>
      </c>
      <c r="AU194" s="506">
        <v>0</v>
      </c>
      <c r="AV194" s="506">
        <v>0</v>
      </c>
      <c r="AW194" s="506">
        <v>0</v>
      </c>
      <c r="AX194" s="506">
        <v>0</v>
      </c>
      <c r="AY194" s="506">
        <v>0</v>
      </c>
      <c r="AZ194" s="506">
        <v>2.8571428571428599</v>
      </c>
      <c r="BA194" s="506">
        <v>0</v>
      </c>
      <c r="BB194" s="506">
        <v>0</v>
      </c>
      <c r="BC194" s="506">
        <v>0</v>
      </c>
      <c r="BD194" s="506">
        <v>0</v>
      </c>
      <c r="BE194" s="506">
        <v>0</v>
      </c>
      <c r="BF194" s="506">
        <v>0</v>
      </c>
      <c r="BG194" s="506">
        <v>0</v>
      </c>
      <c r="BH194" s="506">
        <v>25.649026200000002</v>
      </c>
      <c r="BI194" s="506"/>
    </row>
    <row r="195" spans="1:61" ht="12.95" customHeight="1">
      <c r="A195" s="254" t="s">
        <v>1949</v>
      </c>
      <c r="B195" s="254" t="s">
        <v>92</v>
      </c>
      <c r="C195" s="204">
        <v>9</v>
      </c>
      <c r="D195" s="254" t="s">
        <v>1941</v>
      </c>
      <c r="E195" s="502">
        <v>1</v>
      </c>
      <c r="F195" s="501">
        <v>88.691233146427805</v>
      </c>
      <c r="G195" s="506">
        <v>34</v>
      </c>
      <c r="H195" s="506">
        <v>35.643097500000003</v>
      </c>
      <c r="I195" s="506">
        <v>0</v>
      </c>
      <c r="J195" s="506">
        <v>35.643097500000003</v>
      </c>
      <c r="K195" s="506">
        <v>0</v>
      </c>
      <c r="L195" s="506">
        <v>0</v>
      </c>
      <c r="M195" s="506">
        <v>71.286195000000006</v>
      </c>
      <c r="N195" s="506">
        <v>10.287540338594701</v>
      </c>
      <c r="O195" s="506">
        <v>-95.959504601021294</v>
      </c>
      <c r="P195" s="506">
        <v>106.247044939616</v>
      </c>
      <c r="Q195" s="506">
        <v>0.50311065608531003</v>
      </c>
      <c r="R195" s="506">
        <v>1686.85666835862</v>
      </c>
      <c r="S195" s="506">
        <v>1406.1252819747999</v>
      </c>
      <c r="T195" s="506">
        <v>6.9712065874924706E-2</v>
      </c>
      <c r="U195" s="506">
        <v>0.24227245517312801</v>
      </c>
      <c r="V195" s="506">
        <v>6.8886380563305499E-6</v>
      </c>
      <c r="W195" s="506">
        <v>212.49408987923201</v>
      </c>
      <c r="X195" s="506">
        <v>1.0062213121706201</v>
      </c>
      <c r="Y195" s="506">
        <v>3373.7133367172401</v>
      </c>
      <c r="Z195" s="506">
        <v>2812.2505639495998</v>
      </c>
      <c r="AA195" s="506">
        <v>0.139424131749849</v>
      </c>
      <c r="AB195" s="506">
        <v>0.48454491034625602</v>
      </c>
      <c r="AC195" s="506">
        <v>1.37772761126611E-5</v>
      </c>
      <c r="AD195" s="506">
        <v>0</v>
      </c>
      <c r="AE195" s="506">
        <v>0</v>
      </c>
      <c r="AF195" s="506">
        <v>0</v>
      </c>
      <c r="AG195" s="506">
        <v>10.287540338594701</v>
      </c>
      <c r="AH195" s="506">
        <v>0.50311065608531003</v>
      </c>
      <c r="AI195" s="506">
        <v>1686.85666835862</v>
      </c>
      <c r="AJ195" s="506">
        <v>1</v>
      </c>
      <c r="AK195" s="506">
        <v>0</v>
      </c>
      <c r="AL195" s="506">
        <v>0</v>
      </c>
      <c r="AM195" s="506">
        <v>0</v>
      </c>
      <c r="AN195" s="506">
        <v>0</v>
      </c>
      <c r="AO195" s="506">
        <v>0</v>
      </c>
      <c r="AP195" s="506">
        <v>0</v>
      </c>
      <c r="AQ195" s="506">
        <v>0</v>
      </c>
      <c r="AR195" s="506">
        <v>1.8571428571428601</v>
      </c>
      <c r="AS195" s="506">
        <v>0</v>
      </c>
      <c r="AT195" s="506">
        <v>0</v>
      </c>
      <c r="AU195" s="506">
        <v>0</v>
      </c>
      <c r="AV195" s="506">
        <v>0</v>
      </c>
      <c r="AW195" s="506">
        <v>0</v>
      </c>
      <c r="AX195" s="506">
        <v>0</v>
      </c>
      <c r="AY195" s="506">
        <v>0</v>
      </c>
      <c r="AZ195" s="506">
        <v>2.8571428571428599</v>
      </c>
      <c r="BA195" s="506">
        <v>0</v>
      </c>
      <c r="BB195" s="506">
        <v>0</v>
      </c>
      <c r="BC195" s="506">
        <v>0</v>
      </c>
      <c r="BD195" s="506">
        <v>0</v>
      </c>
      <c r="BE195" s="506">
        <v>0</v>
      </c>
      <c r="BF195" s="506">
        <v>0</v>
      </c>
      <c r="BG195" s="506">
        <v>0</v>
      </c>
      <c r="BH195" s="506">
        <v>21.385858500000001</v>
      </c>
      <c r="BI195" s="506"/>
    </row>
    <row r="196" spans="1:61" ht="12.95" customHeight="1">
      <c r="A196" s="254" t="s">
        <v>1950</v>
      </c>
      <c r="B196" s="254" t="s">
        <v>92</v>
      </c>
      <c r="C196" s="204">
        <v>10</v>
      </c>
      <c r="D196" s="254" t="s">
        <v>1942</v>
      </c>
      <c r="E196" s="502">
        <v>1</v>
      </c>
      <c r="F196" s="501">
        <v>222.44743682735</v>
      </c>
      <c r="G196" s="506">
        <v>34</v>
      </c>
      <c r="H196" s="506">
        <v>0</v>
      </c>
      <c r="I196" s="506">
        <v>94.111079219999993</v>
      </c>
      <c r="J196" s="506">
        <v>0</v>
      </c>
      <c r="K196" s="506">
        <v>0</v>
      </c>
      <c r="L196" s="506">
        <v>0</v>
      </c>
      <c r="M196" s="506">
        <v>94.111079219999993</v>
      </c>
      <c r="N196" s="506">
        <v>191.33817628834001</v>
      </c>
      <c r="O196" s="506">
        <v>0</v>
      </c>
      <c r="P196" s="506">
        <v>191.33817628834001</v>
      </c>
      <c r="Q196" s="506">
        <v>0.74251967007900899</v>
      </c>
      <c r="R196" s="506">
        <v>3836.65354306277</v>
      </c>
      <c r="S196" s="506">
        <v>254.954889991589</v>
      </c>
      <c r="T196" s="506">
        <v>0.14109133507452001</v>
      </c>
      <c r="U196" s="506">
        <v>0.31533552467244402</v>
      </c>
      <c r="V196" s="506">
        <v>8.1919448811755196E-6</v>
      </c>
      <c r="W196" s="506">
        <v>382.67635257668002</v>
      </c>
      <c r="X196" s="506">
        <v>1.48503934015802</v>
      </c>
      <c r="Y196" s="506">
        <v>7673.3070861255401</v>
      </c>
      <c r="Z196" s="506">
        <v>509.909779983178</v>
      </c>
      <c r="AA196" s="506">
        <v>0.28218267014904003</v>
      </c>
      <c r="AB196" s="506">
        <v>0.63067104934488805</v>
      </c>
      <c r="AC196" s="506">
        <v>1.6383889762350998E-5</v>
      </c>
      <c r="AD196" s="506">
        <v>0</v>
      </c>
      <c r="AE196" s="506">
        <v>0</v>
      </c>
      <c r="AF196" s="506">
        <v>0</v>
      </c>
      <c r="AG196" s="506">
        <v>191.33817628834001</v>
      </c>
      <c r="AH196" s="506">
        <v>0.74251967007900899</v>
      </c>
      <c r="AI196" s="506">
        <v>3836.65354306277</v>
      </c>
      <c r="AJ196" s="506">
        <v>1</v>
      </c>
      <c r="AK196" s="506">
        <v>0</v>
      </c>
      <c r="AL196" s="506">
        <v>0</v>
      </c>
      <c r="AM196" s="506">
        <v>0</v>
      </c>
      <c r="AN196" s="506">
        <v>0</v>
      </c>
      <c r="AO196" s="506">
        <v>0</v>
      </c>
      <c r="AP196" s="506">
        <v>0</v>
      </c>
      <c r="AQ196" s="506">
        <v>0</v>
      </c>
      <c r="AR196" s="506">
        <v>1.8571428571428601</v>
      </c>
      <c r="AS196" s="506">
        <v>0</v>
      </c>
      <c r="AT196" s="506">
        <v>0</v>
      </c>
      <c r="AU196" s="506">
        <v>0</v>
      </c>
      <c r="AV196" s="506">
        <v>0</v>
      </c>
      <c r="AW196" s="506">
        <v>0</v>
      </c>
      <c r="AX196" s="506">
        <v>0</v>
      </c>
      <c r="AY196" s="506">
        <v>0</v>
      </c>
      <c r="AZ196" s="506">
        <v>2.8571428571428599</v>
      </c>
      <c r="BA196" s="506">
        <v>0</v>
      </c>
      <c r="BB196" s="506">
        <v>0</v>
      </c>
      <c r="BC196" s="506">
        <v>0</v>
      </c>
      <c r="BD196" s="506">
        <v>0</v>
      </c>
      <c r="BE196" s="506">
        <v>0</v>
      </c>
      <c r="BF196" s="506">
        <v>0</v>
      </c>
      <c r="BG196" s="506">
        <v>0</v>
      </c>
      <c r="BH196" s="506">
        <v>28.233323765999998</v>
      </c>
      <c r="BI196" s="506"/>
    </row>
    <row r="197" spans="1:61" ht="12.95" customHeight="1" thickBot="1">
      <c r="A197" s="254" t="s">
        <v>1951</v>
      </c>
      <c r="B197" s="254" t="s">
        <v>92</v>
      </c>
      <c r="C197" s="204">
        <v>11</v>
      </c>
      <c r="D197" s="254" t="s">
        <v>1943</v>
      </c>
      <c r="E197" s="502">
        <v>1</v>
      </c>
      <c r="F197" s="501">
        <v>177.16705718631101</v>
      </c>
      <c r="G197" s="506">
        <v>34</v>
      </c>
      <c r="H197" s="506">
        <v>0</v>
      </c>
      <c r="I197" s="506">
        <v>93.727676520000003</v>
      </c>
      <c r="J197" s="506">
        <v>0</v>
      </c>
      <c r="K197" s="506">
        <v>0</v>
      </c>
      <c r="L197" s="506">
        <v>0</v>
      </c>
      <c r="M197" s="506">
        <v>93.727676520000003</v>
      </c>
      <c r="N197" s="506">
        <v>152.69777621040501</v>
      </c>
      <c r="O197" s="506">
        <v>0</v>
      </c>
      <c r="P197" s="506">
        <v>152.69777621040501</v>
      </c>
      <c r="Q197" s="506">
        <v>0.55946144311986301</v>
      </c>
      <c r="R197" s="506">
        <v>3403.67706205786</v>
      </c>
      <c r="S197" s="506">
        <v>150.89624623878501</v>
      </c>
      <c r="T197" s="506">
        <v>0.12716777988823599</v>
      </c>
      <c r="U197" s="506">
        <v>0.238289843871618</v>
      </c>
      <c r="V197" s="506">
        <v>4.7722968108028899E-6</v>
      </c>
      <c r="W197" s="506">
        <v>305.39555242081002</v>
      </c>
      <c r="X197" s="506">
        <v>1.11892288623973</v>
      </c>
      <c r="Y197" s="506">
        <v>6807.35412411572</v>
      </c>
      <c r="Z197" s="506">
        <v>301.79249247757002</v>
      </c>
      <c r="AA197" s="506">
        <v>0.25433555977647199</v>
      </c>
      <c r="AB197" s="506">
        <v>0.476579687743236</v>
      </c>
      <c r="AC197" s="506">
        <v>9.5445936216057799E-6</v>
      </c>
      <c r="AD197" s="506">
        <v>0</v>
      </c>
      <c r="AE197" s="506">
        <v>0</v>
      </c>
      <c r="AF197" s="506">
        <v>0</v>
      </c>
      <c r="AG197" s="506">
        <v>152.69777621040501</v>
      </c>
      <c r="AH197" s="506">
        <v>0.55946144311986301</v>
      </c>
      <c r="AI197" s="506">
        <v>3403.67706205786</v>
      </c>
      <c r="AJ197" s="506">
        <v>1</v>
      </c>
      <c r="AK197" s="506">
        <v>0</v>
      </c>
      <c r="AL197" s="506">
        <v>0</v>
      </c>
      <c r="AM197" s="506">
        <v>0</v>
      </c>
      <c r="AN197" s="506">
        <v>0</v>
      </c>
      <c r="AO197" s="506">
        <v>0</v>
      </c>
      <c r="AP197" s="506">
        <v>0</v>
      </c>
      <c r="AQ197" s="506">
        <v>0</v>
      </c>
      <c r="AR197" s="506">
        <v>1.8571428571428601</v>
      </c>
      <c r="AS197" s="506">
        <v>0</v>
      </c>
      <c r="AT197" s="506">
        <v>0</v>
      </c>
      <c r="AU197" s="506">
        <v>0</v>
      </c>
      <c r="AV197" s="506">
        <v>0</v>
      </c>
      <c r="AW197" s="506">
        <v>0</v>
      </c>
      <c r="AX197" s="506">
        <v>0</v>
      </c>
      <c r="AY197" s="506">
        <v>0</v>
      </c>
      <c r="AZ197" s="506">
        <v>2.8571428571428599</v>
      </c>
      <c r="BA197" s="506">
        <v>0</v>
      </c>
      <c r="BB197" s="506">
        <v>0</v>
      </c>
      <c r="BC197" s="506">
        <v>0</v>
      </c>
      <c r="BD197" s="506">
        <v>0</v>
      </c>
      <c r="BE197" s="506">
        <v>0</v>
      </c>
      <c r="BF197" s="506">
        <v>0</v>
      </c>
      <c r="BG197" s="506">
        <v>0</v>
      </c>
      <c r="BH197" s="506">
        <v>28.118302956000001</v>
      </c>
      <c r="BI197" s="506"/>
    </row>
    <row r="198" spans="1:61" ht="12.95" customHeight="1" thickBot="1">
      <c r="A198" s="254" t="s">
        <v>1944</v>
      </c>
      <c r="B198" s="254" t="s">
        <v>92</v>
      </c>
      <c r="C198" s="204"/>
      <c r="D198" s="254"/>
      <c r="E198" s="502"/>
      <c r="F198" s="501"/>
      <c r="G198" s="90"/>
      <c r="H198" s="90"/>
      <c r="I198" s="90"/>
      <c r="J198" s="90"/>
      <c r="K198" s="90"/>
      <c r="L198" s="90"/>
      <c r="M198" s="90"/>
      <c r="N198" s="90"/>
      <c r="O198" s="90"/>
      <c r="P198" s="90"/>
      <c r="Q198" s="90"/>
      <c r="R198" s="90"/>
      <c r="S198" s="90"/>
      <c r="T198" s="90"/>
      <c r="U198" s="90"/>
      <c r="V198" s="90"/>
      <c r="W198" s="90"/>
      <c r="X198" s="90"/>
      <c r="Y198" s="90"/>
      <c r="Z198" s="90"/>
      <c r="AA198" s="90"/>
      <c r="AB198" s="90"/>
      <c r="AC198" s="90"/>
      <c r="AD198" s="90"/>
      <c r="AE198" s="90"/>
      <c r="AF198" s="90"/>
      <c r="AG198" s="90"/>
      <c r="AH198" s="90"/>
      <c r="AI198" s="90"/>
      <c r="AJ198" s="90"/>
      <c r="AK198" s="90"/>
      <c r="AL198" s="90"/>
      <c r="AM198" s="90"/>
      <c r="AN198" s="90"/>
      <c r="AO198" s="90"/>
      <c r="AP198" s="90"/>
      <c r="AQ198" s="90"/>
      <c r="AR198" s="90"/>
      <c r="AS198" s="90"/>
      <c r="AT198" s="90"/>
      <c r="AU198" s="90"/>
      <c r="AV198" s="90"/>
      <c r="AW198" s="90"/>
      <c r="AX198" s="90"/>
      <c r="AY198" s="90"/>
      <c r="AZ198" s="90"/>
      <c r="BA198" s="90"/>
      <c r="BB198" s="90"/>
      <c r="BC198" s="90"/>
      <c r="BD198" s="90"/>
      <c r="BE198" s="90"/>
      <c r="BF198" s="90"/>
      <c r="BG198" s="90"/>
      <c r="BH198" s="90"/>
      <c r="BI198" s="506"/>
    </row>
    <row r="199" spans="1:61" ht="12.95" customHeight="1">
      <c r="A199" s="254" t="s">
        <v>2071</v>
      </c>
      <c r="B199" s="254"/>
      <c r="C199" s="204"/>
      <c r="D199" s="254"/>
      <c r="E199" s="502"/>
      <c r="F199" s="501"/>
      <c r="G199" s="506"/>
      <c r="H199" s="506"/>
      <c r="I199" s="506"/>
      <c r="J199" s="506"/>
      <c r="K199" s="506"/>
      <c r="L199" s="506"/>
      <c r="M199" s="506"/>
      <c r="N199" s="506"/>
      <c r="O199" s="506"/>
      <c r="P199" s="506"/>
      <c r="Q199" s="506"/>
      <c r="R199" s="506"/>
      <c r="S199" s="506"/>
      <c r="T199" s="506"/>
      <c r="U199" s="506"/>
      <c r="V199" s="506"/>
      <c r="W199" s="506"/>
      <c r="X199" s="506"/>
      <c r="Y199" s="506"/>
      <c r="Z199" s="506"/>
      <c r="AA199" s="506"/>
      <c r="AB199" s="506"/>
      <c r="AC199" s="506"/>
      <c r="AD199" s="506"/>
      <c r="AE199" s="506"/>
      <c r="AF199" s="506"/>
      <c r="AG199" s="506"/>
      <c r="AH199" s="506"/>
      <c r="AI199" s="506"/>
      <c r="AJ199" s="506"/>
      <c r="AK199" s="506"/>
      <c r="AL199" s="506"/>
      <c r="AM199" s="506"/>
      <c r="AN199" s="506"/>
      <c r="AO199" s="506"/>
      <c r="AP199" s="506"/>
      <c r="AQ199" s="506"/>
      <c r="AR199" s="506"/>
      <c r="AS199" s="506"/>
      <c r="AT199" s="506"/>
      <c r="AU199" s="506"/>
      <c r="AV199" s="506"/>
      <c r="AW199" s="506"/>
      <c r="AX199" s="506"/>
      <c r="AY199" s="506"/>
      <c r="AZ199" s="506"/>
      <c r="BA199" s="506"/>
      <c r="BB199" s="506"/>
      <c r="BC199" s="506"/>
      <c r="BD199" s="506"/>
      <c r="BE199" s="506"/>
      <c r="BF199" s="506"/>
      <c r="BG199" s="506"/>
      <c r="BH199" s="506"/>
      <c r="BI199" s="506"/>
    </row>
    <row r="200" spans="1:61" ht="12.95" customHeight="1">
      <c r="A200" s="254" t="s">
        <v>1458</v>
      </c>
      <c r="B200" s="254" t="s">
        <v>93</v>
      </c>
      <c r="C200" s="204">
        <v>1</v>
      </c>
      <c r="D200" s="254" t="s">
        <v>1385</v>
      </c>
      <c r="E200" s="502">
        <v>3.3333333333333299</v>
      </c>
      <c r="F200" s="501">
        <v>5.9341273465524402</v>
      </c>
      <c r="G200" s="506">
        <v>35</v>
      </c>
      <c r="H200" s="506">
        <v>0</v>
      </c>
      <c r="I200" s="506">
        <v>18</v>
      </c>
      <c r="J200" s="506">
        <v>0</v>
      </c>
      <c r="K200" s="506">
        <v>0</v>
      </c>
      <c r="L200" s="506">
        <v>78.033333333333303</v>
      </c>
      <c r="M200" s="506">
        <v>96.033333333333303</v>
      </c>
      <c r="N200" s="506">
        <v>103.27826387315601</v>
      </c>
      <c r="O200" s="506">
        <v>-2.3896402807614001E-2</v>
      </c>
      <c r="P200" s="506">
        <v>103.302160275964</v>
      </c>
      <c r="Q200" s="506">
        <v>0.37646453349784398</v>
      </c>
      <c r="R200" s="506">
        <v>2204.49661463142</v>
      </c>
      <c r="S200" s="506">
        <v>33.674187594690302</v>
      </c>
      <c r="T200" s="506">
        <v>0.17791983086454299</v>
      </c>
      <c r="U200" s="506">
        <v>9.1731103670730396E-2</v>
      </c>
      <c r="V200" s="506">
        <v>3.8620164159174201E-6</v>
      </c>
      <c r="W200" s="506">
        <v>116.079191001255</v>
      </c>
      <c r="X200" s="506">
        <v>0.443189154728652</v>
      </c>
      <c r="Y200" s="506">
        <v>2477.01059771668</v>
      </c>
      <c r="Z200" s="506">
        <v>40.705461289564802</v>
      </c>
      <c r="AA200" s="506">
        <v>0.18679689889749401</v>
      </c>
      <c r="AB200" s="506">
        <v>0.10940108803835399</v>
      </c>
      <c r="AC200" s="506">
        <v>5.2340504528379704E-6</v>
      </c>
      <c r="AD200" s="506">
        <v>0</v>
      </c>
      <c r="AE200" s="506">
        <v>0</v>
      </c>
      <c r="AF200" s="506">
        <v>0</v>
      </c>
      <c r="AG200" s="506">
        <v>0</v>
      </c>
      <c r="AH200" s="506">
        <v>9.4116133374460897E-2</v>
      </c>
      <c r="AI200" s="506">
        <v>551.12415365785603</v>
      </c>
      <c r="AJ200" s="506">
        <v>24.374144444444401</v>
      </c>
      <c r="AK200" s="506">
        <v>2193.2841111111102</v>
      </c>
      <c r="AL200" s="506">
        <v>87.5</v>
      </c>
      <c r="AM200" s="506">
        <v>91386.504629629606</v>
      </c>
      <c r="AN200" s="506">
        <v>0</v>
      </c>
      <c r="AO200" s="506">
        <v>18</v>
      </c>
      <c r="AP200" s="506">
        <v>0</v>
      </c>
      <c r="AQ200" s="506">
        <v>0.1</v>
      </c>
      <c r="AR200" s="506">
        <v>24.388033333333301</v>
      </c>
      <c r="AS200" s="506">
        <v>2193.7563333333301</v>
      </c>
      <c r="AT200" s="506">
        <v>87.5</v>
      </c>
      <c r="AU200" s="506">
        <v>91406.180555555606</v>
      </c>
      <c r="AV200" s="506">
        <v>5.4699999999999999E-2</v>
      </c>
      <c r="AW200" s="506">
        <v>24.3333333333333</v>
      </c>
      <c r="AX200" s="506">
        <v>0</v>
      </c>
      <c r="AY200" s="506">
        <v>0.1</v>
      </c>
      <c r="AZ200" s="506">
        <v>48.762177777777801</v>
      </c>
      <c r="BA200" s="506">
        <v>4387.0404444444403</v>
      </c>
      <c r="BB200" s="506">
        <v>87.5</v>
      </c>
      <c r="BC200" s="506">
        <v>182793.01851851901</v>
      </c>
      <c r="BD200" s="506">
        <v>9.5511111111111102E-2</v>
      </c>
      <c r="BE200" s="506">
        <v>48.6666666666667</v>
      </c>
      <c r="BF200" s="506">
        <v>0</v>
      </c>
      <c r="BG200" s="506">
        <v>0.1</v>
      </c>
      <c r="BH200" s="506">
        <v>16.5766666666667</v>
      </c>
      <c r="BI200" s="506">
        <v>3.1516666666666699</v>
      </c>
    </row>
    <row r="201" spans="1:61" ht="12.95" customHeight="1">
      <c r="A201" s="254" t="s">
        <v>1459</v>
      </c>
      <c r="B201" s="254" t="s">
        <v>93</v>
      </c>
      <c r="C201" s="204">
        <v>2</v>
      </c>
      <c r="D201" s="254" t="s">
        <v>1386</v>
      </c>
      <c r="E201" s="502">
        <v>3.3333333333333299</v>
      </c>
      <c r="F201" s="501">
        <v>3.4639171507664699</v>
      </c>
      <c r="G201" s="506">
        <v>35</v>
      </c>
      <c r="H201" s="506">
        <v>0</v>
      </c>
      <c r="I201" s="506">
        <v>0</v>
      </c>
      <c r="J201" s="506">
        <v>0</v>
      </c>
      <c r="K201" s="506">
        <v>0</v>
      </c>
      <c r="L201" s="506">
        <v>193.03333333333299</v>
      </c>
      <c r="M201" s="506">
        <v>193.03333333333299</v>
      </c>
      <c r="N201" s="506">
        <v>143.92480715731801</v>
      </c>
      <c r="O201" s="506">
        <v>-2.3896402807614001E-2</v>
      </c>
      <c r="P201" s="506">
        <v>143.94870356012601</v>
      </c>
      <c r="Q201" s="506">
        <v>0.354041279861255</v>
      </c>
      <c r="R201" s="506">
        <v>1843.93589317837</v>
      </c>
      <c r="S201" s="506">
        <v>109.16253080983201</v>
      </c>
      <c r="T201" s="506">
        <v>4.5451382083296299E-2</v>
      </c>
      <c r="U201" s="506">
        <v>0.15123606294561601</v>
      </c>
      <c r="V201" s="506">
        <v>1.0396902574775E-5</v>
      </c>
      <c r="W201" s="506">
        <v>156.72573428541699</v>
      </c>
      <c r="X201" s="506">
        <v>0.42076590109206402</v>
      </c>
      <c r="Y201" s="506">
        <v>2116.4498762636299</v>
      </c>
      <c r="Z201" s="506">
        <v>116.19380450470599</v>
      </c>
      <c r="AA201" s="506">
        <v>5.4328450116247803E-2</v>
      </c>
      <c r="AB201" s="506">
        <v>0.16890604731323999</v>
      </c>
      <c r="AC201" s="506">
        <v>1.17689366116956E-5</v>
      </c>
      <c r="AD201" s="506">
        <v>0</v>
      </c>
      <c r="AE201" s="506">
        <v>0</v>
      </c>
      <c r="AF201" s="506">
        <v>0</v>
      </c>
      <c r="AG201" s="506">
        <v>0</v>
      </c>
      <c r="AH201" s="506">
        <v>8.8510319965313805E-2</v>
      </c>
      <c r="AI201" s="506">
        <v>460.98397329459198</v>
      </c>
      <c r="AJ201" s="506">
        <v>24.374144444444401</v>
      </c>
      <c r="AK201" s="506">
        <v>2193.2841111111102</v>
      </c>
      <c r="AL201" s="506">
        <v>87.5</v>
      </c>
      <c r="AM201" s="506">
        <v>91386.837962963007</v>
      </c>
      <c r="AN201" s="506">
        <v>0</v>
      </c>
      <c r="AO201" s="506">
        <v>0</v>
      </c>
      <c r="AP201" s="506">
        <v>0</v>
      </c>
      <c r="AQ201" s="506">
        <v>0</v>
      </c>
      <c r="AR201" s="506">
        <v>24.388033333333301</v>
      </c>
      <c r="AS201" s="506">
        <v>2193.7563333333301</v>
      </c>
      <c r="AT201" s="506">
        <v>87.5</v>
      </c>
      <c r="AU201" s="506">
        <v>91406.180555555606</v>
      </c>
      <c r="AV201" s="506">
        <v>1.0547</v>
      </c>
      <c r="AW201" s="506">
        <v>23.3333333333333</v>
      </c>
      <c r="AX201" s="506">
        <v>0</v>
      </c>
      <c r="AY201" s="506">
        <v>0.1</v>
      </c>
      <c r="AZ201" s="506">
        <v>48.762177777777801</v>
      </c>
      <c r="BA201" s="506">
        <v>4387.0404444444403</v>
      </c>
      <c r="BB201" s="506">
        <v>87.5</v>
      </c>
      <c r="BC201" s="506">
        <v>182793.01851851901</v>
      </c>
      <c r="BD201" s="506">
        <v>2.0955111111111102</v>
      </c>
      <c r="BE201" s="506">
        <v>46.6666666666667</v>
      </c>
      <c r="BF201" s="506">
        <v>0</v>
      </c>
      <c r="BG201" s="506">
        <v>0.1</v>
      </c>
      <c r="BH201" s="506">
        <v>16.5766666666667</v>
      </c>
      <c r="BI201" s="506">
        <v>3.1516666666666699</v>
      </c>
    </row>
    <row r="202" spans="1:61" ht="12.95" customHeight="1">
      <c r="A202" s="254" t="s">
        <v>1480</v>
      </c>
      <c r="B202" s="254" t="s">
        <v>93</v>
      </c>
      <c r="C202" s="204">
        <v>3</v>
      </c>
      <c r="D202" s="254" t="s">
        <v>1387</v>
      </c>
      <c r="E202" s="502">
        <v>3.3333333333333299</v>
      </c>
      <c r="F202" s="501">
        <v>87.452602347541301</v>
      </c>
      <c r="G202" s="506">
        <v>35</v>
      </c>
      <c r="H202" s="506">
        <v>0</v>
      </c>
      <c r="I202" s="506">
        <v>0</v>
      </c>
      <c r="J202" s="506">
        <v>0</v>
      </c>
      <c r="K202" s="506">
        <v>0</v>
      </c>
      <c r="L202" s="506">
        <v>208.03333333333299</v>
      </c>
      <c r="M202" s="506">
        <v>208.03333333333299</v>
      </c>
      <c r="N202" s="506">
        <v>279.72377690962003</v>
      </c>
      <c r="O202" s="506">
        <v>-2.6992433876925799E-2</v>
      </c>
      <c r="P202" s="506">
        <v>279.75076934349698</v>
      </c>
      <c r="Q202" s="506">
        <v>1.94461676486104</v>
      </c>
      <c r="R202" s="506">
        <v>3201.5076240951898</v>
      </c>
      <c r="S202" s="506">
        <v>122.567543081241</v>
      </c>
      <c r="T202" s="506">
        <v>0.67197861607701004</v>
      </c>
      <c r="U202" s="506">
        <v>0.44984835546801399</v>
      </c>
      <c r="V202" s="506">
        <v>1.05000363150211E-5</v>
      </c>
      <c r="W202" s="506">
        <v>292.527800068788</v>
      </c>
      <c r="X202" s="506">
        <v>2.0113413860918499</v>
      </c>
      <c r="Y202" s="506">
        <v>3474.0216071804498</v>
      </c>
      <c r="Z202" s="506">
        <v>129.598816776115</v>
      </c>
      <c r="AA202" s="506">
        <v>0.680855684109962</v>
      </c>
      <c r="AB202" s="506">
        <v>0.46751833983563801</v>
      </c>
      <c r="AC202" s="506">
        <v>1.1872070351941601E-5</v>
      </c>
      <c r="AD202" s="506">
        <v>0</v>
      </c>
      <c r="AE202" s="506">
        <v>0</v>
      </c>
      <c r="AF202" s="506">
        <v>0</v>
      </c>
      <c r="AG202" s="506">
        <v>0</v>
      </c>
      <c r="AH202" s="506">
        <v>0.48615419121526099</v>
      </c>
      <c r="AI202" s="506">
        <v>800.37690602379803</v>
      </c>
      <c r="AJ202" s="506">
        <v>24.374144444444401</v>
      </c>
      <c r="AK202" s="506">
        <v>2193.2841111111102</v>
      </c>
      <c r="AL202" s="506">
        <v>87.5</v>
      </c>
      <c r="AM202" s="506">
        <v>91386.837962963007</v>
      </c>
      <c r="AN202" s="506">
        <v>0</v>
      </c>
      <c r="AO202" s="506">
        <v>0</v>
      </c>
      <c r="AP202" s="506">
        <v>0</v>
      </c>
      <c r="AQ202" s="506">
        <v>0</v>
      </c>
      <c r="AR202" s="506">
        <v>24.388033333333301</v>
      </c>
      <c r="AS202" s="506">
        <v>2193.7563333333301</v>
      </c>
      <c r="AT202" s="506">
        <v>87.5</v>
      </c>
      <c r="AU202" s="506">
        <v>91406.180555555606</v>
      </c>
      <c r="AV202" s="506">
        <v>1.0547</v>
      </c>
      <c r="AW202" s="506">
        <v>23.3333333333333</v>
      </c>
      <c r="AX202" s="506">
        <v>0</v>
      </c>
      <c r="AY202" s="506">
        <v>0.1</v>
      </c>
      <c r="AZ202" s="506">
        <v>48.762177777777801</v>
      </c>
      <c r="BA202" s="506">
        <v>4387.0404444444403</v>
      </c>
      <c r="BB202" s="506">
        <v>87.5</v>
      </c>
      <c r="BC202" s="506">
        <v>182793.01851851901</v>
      </c>
      <c r="BD202" s="506">
        <v>2.0955111111111102</v>
      </c>
      <c r="BE202" s="506">
        <v>46.6666666666667</v>
      </c>
      <c r="BF202" s="506">
        <v>0</v>
      </c>
      <c r="BG202" s="506">
        <v>0.1</v>
      </c>
      <c r="BH202" s="506">
        <v>16.5766666666667</v>
      </c>
      <c r="BI202" s="506">
        <v>3.1516666666666699</v>
      </c>
    </row>
    <row r="203" spans="1:61" ht="12.95" customHeight="1" thickBot="1">
      <c r="A203" s="254" t="s">
        <v>1766</v>
      </c>
      <c r="B203" s="254" t="s">
        <v>92</v>
      </c>
      <c r="C203" s="204">
        <v>4</v>
      </c>
      <c r="D203" s="254" t="s">
        <v>1611</v>
      </c>
      <c r="E203" s="502">
        <v>1</v>
      </c>
      <c r="F203" s="501">
        <v>-33.393063447727101</v>
      </c>
      <c r="G203" s="506">
        <v>35</v>
      </c>
      <c r="H203" s="506">
        <v>0</v>
      </c>
      <c r="I203" s="506">
        <v>0</v>
      </c>
      <c r="J203" s="506">
        <v>0</v>
      </c>
      <c r="K203" s="506">
        <v>0</v>
      </c>
      <c r="L203" s="506">
        <v>3.5</v>
      </c>
      <c r="M203" s="506">
        <v>3.5</v>
      </c>
      <c r="N203" s="506">
        <v>1.8590613885213401</v>
      </c>
      <c r="O203" s="506">
        <v>-3.2820137993652102E-3</v>
      </c>
      <c r="P203" s="506">
        <v>1.8623434023207099</v>
      </c>
      <c r="Q203" s="506">
        <v>9.7486680906858896E-3</v>
      </c>
      <c r="R203" s="506">
        <v>39.918117262837796</v>
      </c>
      <c r="S203" s="506">
        <v>0.99702005125572801</v>
      </c>
      <c r="T203" s="506">
        <v>1.3132068777303701E-3</v>
      </c>
      <c r="U203" s="506">
        <v>2.51206087942116E-3</v>
      </c>
      <c r="V203" s="506">
        <v>1.97503911486567E-7</v>
      </c>
      <c r="W203" s="506">
        <v>5.5870302069621296</v>
      </c>
      <c r="X203" s="506">
        <v>2.9246004272057698E-2</v>
      </c>
      <c r="Y203" s="506">
        <v>119.75435178851301</v>
      </c>
      <c r="Z203" s="506">
        <v>2.9910601537671901</v>
      </c>
      <c r="AA203" s="506">
        <v>3.9396206331911102E-3</v>
      </c>
      <c r="AB203" s="506">
        <v>7.53618263826348E-3</v>
      </c>
      <c r="AC203" s="506">
        <v>5.9251173445970198E-7</v>
      </c>
      <c r="AD203" s="506">
        <v>0</v>
      </c>
      <c r="AE203" s="506">
        <v>0</v>
      </c>
      <c r="AF203" s="506">
        <v>0</v>
      </c>
      <c r="AG203" s="506">
        <v>1.8590613885213401</v>
      </c>
      <c r="AH203" s="506">
        <v>9.7486680906858896E-3</v>
      </c>
      <c r="AI203" s="506">
        <v>39.918117262837796</v>
      </c>
      <c r="AJ203" s="506">
        <v>1.9444444444444401E-3</v>
      </c>
      <c r="AK203" s="506">
        <v>0.194444444444444</v>
      </c>
      <c r="AL203" s="506">
        <v>12.5</v>
      </c>
      <c r="AM203" s="506">
        <v>2.4305555555555598</v>
      </c>
      <c r="AN203" s="506">
        <v>0</v>
      </c>
      <c r="AO203" s="506">
        <v>0</v>
      </c>
      <c r="AP203" s="506">
        <v>0</v>
      </c>
      <c r="AQ203" s="506">
        <v>0</v>
      </c>
      <c r="AR203" s="506">
        <v>5.8333333333333301E-3</v>
      </c>
      <c r="AS203" s="506">
        <v>0.58333333333333304</v>
      </c>
      <c r="AT203" s="506">
        <v>12.5</v>
      </c>
      <c r="AU203" s="506">
        <v>7.19166666666667</v>
      </c>
      <c r="AV203" s="506">
        <v>5.8333333333333301E-3</v>
      </c>
      <c r="AW203" s="506">
        <v>0</v>
      </c>
      <c r="AX203" s="506">
        <v>0</v>
      </c>
      <c r="AY203" s="506">
        <v>0.1</v>
      </c>
      <c r="AZ203" s="506">
        <v>7.7777777777777802E-3</v>
      </c>
      <c r="BA203" s="506">
        <v>0.77777777777777801</v>
      </c>
      <c r="BB203" s="506">
        <v>12.5</v>
      </c>
      <c r="BC203" s="506">
        <v>9.62222222222222</v>
      </c>
      <c r="BD203" s="506">
        <v>7.7777777777777802E-3</v>
      </c>
      <c r="BE203" s="506">
        <v>0</v>
      </c>
      <c r="BF203" s="506">
        <v>0</v>
      </c>
      <c r="BG203" s="506">
        <v>0.1</v>
      </c>
      <c r="BH203" s="506">
        <v>0.35</v>
      </c>
      <c r="BI203" s="506">
        <v>0.17499999999999999</v>
      </c>
    </row>
    <row r="204" spans="1:61" ht="12.95" customHeight="1" thickBot="1">
      <c r="A204" s="254" t="s">
        <v>1765</v>
      </c>
      <c r="B204" s="254" t="s">
        <v>93</v>
      </c>
      <c r="C204" s="204"/>
      <c r="D204" s="254"/>
      <c r="E204" s="502"/>
      <c r="F204" s="501"/>
      <c r="G204" s="90"/>
      <c r="H204" s="90"/>
      <c r="I204" s="90"/>
      <c r="J204" s="90"/>
      <c r="K204" s="90"/>
      <c r="L204" s="90"/>
      <c r="M204" s="90"/>
      <c r="N204" s="90"/>
      <c r="O204" s="90"/>
      <c r="P204" s="90"/>
      <c r="Q204" s="90"/>
      <c r="R204" s="90"/>
      <c r="S204" s="90"/>
      <c r="T204" s="90"/>
      <c r="U204" s="90"/>
      <c r="V204" s="90"/>
      <c r="W204" s="90"/>
      <c r="X204" s="90"/>
      <c r="Y204" s="90"/>
      <c r="Z204" s="90"/>
      <c r="AA204" s="90"/>
      <c r="AB204" s="90"/>
      <c r="AC204" s="90"/>
      <c r="AD204" s="90"/>
      <c r="AE204" s="90"/>
      <c r="AF204" s="90"/>
      <c r="AG204" s="90"/>
      <c r="AH204" s="90"/>
      <c r="AI204" s="90"/>
      <c r="AJ204" s="90"/>
      <c r="AK204" s="90"/>
      <c r="AL204" s="90"/>
      <c r="AM204" s="90"/>
      <c r="AN204" s="90"/>
      <c r="AO204" s="90"/>
      <c r="AP204" s="90"/>
      <c r="AQ204" s="90"/>
      <c r="AR204" s="90"/>
      <c r="AS204" s="90"/>
      <c r="AT204" s="90"/>
      <c r="AU204" s="90"/>
      <c r="AV204" s="90"/>
      <c r="AW204" s="90"/>
      <c r="AX204" s="90"/>
      <c r="AY204" s="90"/>
      <c r="AZ204" s="90"/>
      <c r="BA204" s="90"/>
      <c r="BB204" s="90"/>
      <c r="BC204" s="90"/>
      <c r="BD204" s="90"/>
      <c r="BE204" s="90"/>
      <c r="BF204" s="90"/>
      <c r="BG204" s="90"/>
      <c r="BH204" s="90"/>
      <c r="BI204" s="506"/>
    </row>
    <row r="205" spans="1:61" ht="12.95" customHeight="1">
      <c r="A205" s="254" t="s">
        <v>2071</v>
      </c>
      <c r="B205" s="254"/>
      <c r="C205" s="204"/>
      <c r="D205" s="254"/>
      <c r="E205" s="502"/>
      <c r="F205" s="501"/>
      <c r="G205" s="506"/>
      <c r="H205" s="506"/>
      <c r="I205" s="506"/>
      <c r="J205" s="506"/>
      <c r="K205" s="506"/>
      <c r="L205" s="506"/>
      <c r="M205" s="506"/>
      <c r="N205" s="506"/>
      <c r="O205" s="506"/>
      <c r="P205" s="506"/>
      <c r="Q205" s="506"/>
      <c r="R205" s="506"/>
      <c r="S205" s="506"/>
      <c r="T205" s="506"/>
      <c r="U205" s="506"/>
      <c r="V205" s="506"/>
      <c r="W205" s="506"/>
      <c r="X205" s="506"/>
      <c r="Y205" s="506"/>
      <c r="Z205" s="506"/>
      <c r="AA205" s="506"/>
      <c r="AB205" s="506"/>
      <c r="AC205" s="506"/>
      <c r="AD205" s="506"/>
      <c r="AE205" s="506"/>
      <c r="AF205" s="506"/>
      <c r="AG205" s="506"/>
      <c r="AH205" s="506"/>
      <c r="AI205" s="506"/>
      <c r="AJ205" s="506"/>
      <c r="AK205" s="506"/>
      <c r="AL205" s="506"/>
      <c r="AM205" s="506"/>
      <c r="AN205" s="506"/>
      <c r="AO205" s="506"/>
      <c r="AP205" s="506"/>
      <c r="AQ205" s="506"/>
      <c r="AR205" s="506"/>
      <c r="AS205" s="506"/>
      <c r="AT205" s="506"/>
      <c r="AU205" s="506"/>
      <c r="AV205" s="506"/>
      <c r="AW205" s="506"/>
      <c r="AX205" s="506"/>
      <c r="AY205" s="506"/>
      <c r="AZ205" s="506"/>
      <c r="BA205" s="506"/>
      <c r="BB205" s="506"/>
      <c r="BC205" s="506"/>
      <c r="BD205" s="506"/>
      <c r="BE205" s="506"/>
      <c r="BF205" s="506"/>
      <c r="BG205" s="506"/>
      <c r="BH205" s="506"/>
      <c r="BI205" s="506"/>
    </row>
    <row r="206" spans="1:61" ht="12.95" customHeight="1">
      <c r="A206" s="254" t="s">
        <v>1767</v>
      </c>
      <c r="B206" s="254" t="s">
        <v>92</v>
      </c>
      <c r="C206" s="204">
        <v>4</v>
      </c>
      <c r="D206" s="254" t="s">
        <v>1388</v>
      </c>
      <c r="E206" s="502">
        <v>1</v>
      </c>
      <c r="F206" s="501">
        <v>-7.9921260592824197</v>
      </c>
      <c r="G206" s="506">
        <v>50</v>
      </c>
      <c r="H206" s="506">
        <v>0</v>
      </c>
      <c r="I206" s="506">
        <v>0</v>
      </c>
      <c r="J206" s="506">
        <v>1.7</v>
      </c>
      <c r="K206" s="506">
        <v>0</v>
      </c>
      <c r="L206" s="506">
        <v>16</v>
      </c>
      <c r="M206" s="506">
        <v>17.7</v>
      </c>
      <c r="N206" s="506">
        <v>25.587197727013201</v>
      </c>
      <c r="O206" s="506">
        <v>-1.05300910637775</v>
      </c>
      <c r="P206" s="506">
        <v>26.640206833390899</v>
      </c>
      <c r="Q206" s="506">
        <v>9.6210050160559196E-2</v>
      </c>
      <c r="R206" s="506">
        <v>337.46002894422497</v>
      </c>
      <c r="S206" s="506">
        <v>50.144931745460198</v>
      </c>
      <c r="T206" s="506">
        <v>1.33397021832551E-2</v>
      </c>
      <c r="U206" s="506">
        <v>4.9186005305718199E-2</v>
      </c>
      <c r="V206" s="506">
        <v>1.3728649317980501E-6</v>
      </c>
      <c r="W206" s="506">
        <v>26.640206833390899</v>
      </c>
      <c r="X206" s="506">
        <v>9.6210050160559196E-2</v>
      </c>
      <c r="Y206" s="506">
        <v>337.46002894422497</v>
      </c>
      <c r="Z206" s="506">
        <v>50.144931745460198</v>
      </c>
      <c r="AA206" s="506">
        <v>1.33397021832551E-2</v>
      </c>
      <c r="AB206" s="506">
        <v>4.9186005305718199E-2</v>
      </c>
      <c r="AC206" s="506">
        <v>1.3728649317980501E-6</v>
      </c>
      <c r="AD206" s="506">
        <v>0</v>
      </c>
      <c r="AE206" s="506">
        <v>0</v>
      </c>
      <c r="AF206" s="506">
        <v>0</v>
      </c>
      <c r="AG206" s="506">
        <v>0</v>
      </c>
      <c r="AH206" s="506">
        <v>2.4052512540139799E-2</v>
      </c>
      <c r="AI206" s="506">
        <v>84.365007236056201</v>
      </c>
      <c r="AJ206" s="506">
        <v>8.6071428571428601E-3</v>
      </c>
      <c r="AK206" s="506">
        <v>2.58214285714286</v>
      </c>
      <c r="AL206" s="506">
        <v>25</v>
      </c>
      <c r="AM206" s="506">
        <v>32.276785714285701</v>
      </c>
      <c r="AN206" s="506">
        <v>0</v>
      </c>
      <c r="AO206" s="506">
        <v>0</v>
      </c>
      <c r="AP206" s="506">
        <v>1.7</v>
      </c>
      <c r="AQ206" s="506">
        <v>0</v>
      </c>
      <c r="AR206" s="506">
        <v>16</v>
      </c>
      <c r="AS206" s="506">
        <v>4800</v>
      </c>
      <c r="AT206" s="506">
        <v>25</v>
      </c>
      <c r="AU206" s="506">
        <v>59999.9</v>
      </c>
      <c r="AV206" s="506">
        <v>16</v>
      </c>
      <c r="AW206" s="506">
        <v>0</v>
      </c>
      <c r="AX206" s="506">
        <v>0</v>
      </c>
      <c r="AY206" s="506">
        <v>0.1</v>
      </c>
      <c r="AZ206" s="506">
        <v>16.008607142857102</v>
      </c>
      <c r="BA206" s="506">
        <v>4802.5821428571398</v>
      </c>
      <c r="BB206" s="506">
        <v>25</v>
      </c>
      <c r="BC206" s="506">
        <v>60032.176785714299</v>
      </c>
      <c r="BD206" s="506">
        <v>16.007999999999999</v>
      </c>
      <c r="BE206" s="506">
        <v>0</v>
      </c>
      <c r="BF206" s="506">
        <v>6.0714285714285699E-4</v>
      </c>
      <c r="BG206" s="506">
        <v>0.1</v>
      </c>
      <c r="BH206" s="506">
        <v>5.31</v>
      </c>
      <c r="BI206" s="506">
        <v>0.88500000000000001</v>
      </c>
    </row>
    <row r="207" spans="1:61" ht="12.95" customHeight="1">
      <c r="A207" s="254" t="s">
        <v>1768</v>
      </c>
      <c r="B207" s="254" t="s">
        <v>92</v>
      </c>
      <c r="C207" s="204">
        <v>5</v>
      </c>
      <c r="D207" s="254" t="s">
        <v>1389</v>
      </c>
      <c r="E207" s="502">
        <v>1</v>
      </c>
      <c r="F207" s="501">
        <v>-20.5441796404975</v>
      </c>
      <c r="G207" s="506">
        <v>50</v>
      </c>
      <c r="H207" s="506">
        <v>1.62</v>
      </c>
      <c r="I207" s="506">
        <v>0</v>
      </c>
      <c r="J207" s="506">
        <v>0</v>
      </c>
      <c r="K207" s="506">
        <v>0</v>
      </c>
      <c r="L207" s="506">
        <v>16</v>
      </c>
      <c r="M207" s="506">
        <v>17.62</v>
      </c>
      <c r="N207" s="506">
        <v>13.165229595225901</v>
      </c>
      <c r="O207" s="506">
        <v>-3.4967179194768798</v>
      </c>
      <c r="P207" s="506">
        <v>16.661947514702799</v>
      </c>
      <c r="Q207" s="506">
        <v>5.00210633910987E-2</v>
      </c>
      <c r="R207" s="506">
        <v>207.76420924454899</v>
      </c>
      <c r="S207" s="506">
        <v>51.243427847342303</v>
      </c>
      <c r="T207" s="506">
        <v>8.8195145718368197E-3</v>
      </c>
      <c r="U207" s="506">
        <v>3.0884511491782202E-2</v>
      </c>
      <c r="V207" s="506">
        <v>7.4632864067538604E-7</v>
      </c>
      <c r="W207" s="506">
        <v>16.661947514702799</v>
      </c>
      <c r="X207" s="506">
        <v>5.00210633910987E-2</v>
      </c>
      <c r="Y207" s="506">
        <v>207.76420924454899</v>
      </c>
      <c r="Z207" s="506">
        <v>51.243427847342303</v>
      </c>
      <c r="AA207" s="506">
        <v>8.8195145718368197E-3</v>
      </c>
      <c r="AB207" s="506">
        <v>3.0884511491782202E-2</v>
      </c>
      <c r="AC207" s="506">
        <v>7.4632864067538604E-7</v>
      </c>
      <c r="AD207" s="506">
        <v>0</v>
      </c>
      <c r="AE207" s="506">
        <v>0</v>
      </c>
      <c r="AF207" s="506">
        <v>0</v>
      </c>
      <c r="AG207" s="506">
        <v>0</v>
      </c>
      <c r="AH207" s="506">
        <v>1.2505265847774699E-2</v>
      </c>
      <c r="AI207" s="506">
        <v>51.941052311137398</v>
      </c>
      <c r="AJ207" s="506">
        <v>1.0999999999999999E-2</v>
      </c>
      <c r="AK207" s="506">
        <v>3</v>
      </c>
      <c r="AL207" s="506">
        <v>25</v>
      </c>
      <c r="AM207" s="506">
        <v>37.5</v>
      </c>
      <c r="AN207" s="506">
        <v>1.62</v>
      </c>
      <c r="AO207" s="506">
        <v>0</v>
      </c>
      <c r="AP207" s="506">
        <v>0</v>
      </c>
      <c r="AQ207" s="506">
        <v>0</v>
      </c>
      <c r="AR207" s="506">
        <v>16</v>
      </c>
      <c r="AS207" s="506">
        <v>4800</v>
      </c>
      <c r="AT207" s="506">
        <v>25</v>
      </c>
      <c r="AU207" s="506">
        <v>59999.9</v>
      </c>
      <c r="AV207" s="506">
        <v>16</v>
      </c>
      <c r="AW207" s="506">
        <v>0</v>
      </c>
      <c r="AX207" s="506">
        <v>0</v>
      </c>
      <c r="AY207" s="506">
        <v>0.1</v>
      </c>
      <c r="AZ207" s="506">
        <v>16.010999999999999</v>
      </c>
      <c r="BA207" s="506">
        <v>4803</v>
      </c>
      <c r="BB207" s="506">
        <v>25</v>
      </c>
      <c r="BC207" s="506">
        <v>60037.4</v>
      </c>
      <c r="BD207" s="506">
        <v>16.007999999999999</v>
      </c>
      <c r="BE207" s="506">
        <v>3.0000000000000001E-3</v>
      </c>
      <c r="BF207" s="506">
        <v>0</v>
      </c>
      <c r="BG207" s="506">
        <v>0.1</v>
      </c>
      <c r="BH207" s="506">
        <v>5.1239999999999997</v>
      </c>
      <c r="BI207" s="506">
        <v>0.88100000000000001</v>
      </c>
    </row>
    <row r="208" spans="1:61" ht="12.95" customHeight="1">
      <c r="A208" s="254" t="s">
        <v>1769</v>
      </c>
      <c r="B208" s="254" t="s">
        <v>92</v>
      </c>
      <c r="C208" s="204">
        <v>6</v>
      </c>
      <c r="D208" s="254" t="s">
        <v>1390</v>
      </c>
      <c r="E208" s="502">
        <v>1</v>
      </c>
      <c r="F208" s="501">
        <v>-7.15201912485111</v>
      </c>
      <c r="G208" s="506">
        <v>50</v>
      </c>
      <c r="H208" s="506">
        <v>0</v>
      </c>
      <c r="I208" s="506">
        <v>0</v>
      </c>
      <c r="J208" s="506">
        <v>4</v>
      </c>
      <c r="K208" s="506">
        <v>0</v>
      </c>
      <c r="L208" s="506">
        <v>0</v>
      </c>
      <c r="M208" s="506">
        <v>4</v>
      </c>
      <c r="N208" s="506">
        <v>23.871822935527099</v>
      </c>
      <c r="O208" s="506">
        <v>-1.8036479599999201E-2</v>
      </c>
      <c r="P208" s="506">
        <v>23.889859415127098</v>
      </c>
      <c r="Q208" s="506">
        <v>0.11107446377663301</v>
      </c>
      <c r="R208" s="506">
        <v>311.78245647030002</v>
      </c>
      <c r="S208" s="506">
        <v>62.5808169572</v>
      </c>
      <c r="T208" s="506">
        <v>1.2081007757488899E-2</v>
      </c>
      <c r="U208" s="506">
        <v>4.3968561475319599E-2</v>
      </c>
      <c r="V208" s="506">
        <v>1.51613693592653E-6</v>
      </c>
      <c r="W208" s="506">
        <v>23.889859415127098</v>
      </c>
      <c r="X208" s="506">
        <v>0.11107446377663301</v>
      </c>
      <c r="Y208" s="506">
        <v>311.78245647030002</v>
      </c>
      <c r="Z208" s="506">
        <v>62.5808169572</v>
      </c>
      <c r="AA208" s="506">
        <v>1.2081007757488899E-2</v>
      </c>
      <c r="AB208" s="506">
        <v>4.3968561475319599E-2</v>
      </c>
      <c r="AC208" s="506">
        <v>1.51613693592653E-6</v>
      </c>
      <c r="AD208" s="506">
        <v>0</v>
      </c>
      <c r="AE208" s="506">
        <v>0</v>
      </c>
      <c r="AF208" s="506">
        <v>0</v>
      </c>
      <c r="AG208" s="506">
        <v>0</v>
      </c>
      <c r="AH208" s="506">
        <v>2.77686159441582E-2</v>
      </c>
      <c r="AI208" s="506">
        <v>77.945614117575005</v>
      </c>
      <c r="AJ208" s="506">
        <v>1.4285714285714301E-3</v>
      </c>
      <c r="AK208" s="506">
        <v>0.42857142857142899</v>
      </c>
      <c r="AL208" s="506">
        <v>25</v>
      </c>
      <c r="AM208" s="506">
        <v>5.3571428571428603</v>
      </c>
      <c r="AN208" s="506">
        <v>0</v>
      </c>
      <c r="AO208" s="506">
        <v>0</v>
      </c>
      <c r="AP208" s="506">
        <v>4</v>
      </c>
      <c r="AQ208" s="506">
        <v>0</v>
      </c>
      <c r="AR208" s="506">
        <v>0</v>
      </c>
      <c r="AS208" s="506">
        <v>0</v>
      </c>
      <c r="AT208" s="506">
        <v>25</v>
      </c>
      <c r="AU208" s="506">
        <v>0</v>
      </c>
      <c r="AV208" s="506">
        <v>0</v>
      </c>
      <c r="AW208" s="506">
        <v>0</v>
      </c>
      <c r="AX208" s="506">
        <v>0</v>
      </c>
      <c r="AY208" s="506">
        <v>0</v>
      </c>
      <c r="AZ208" s="506">
        <v>1.4285714285714301E-3</v>
      </c>
      <c r="BA208" s="506">
        <v>0.42857142857142899</v>
      </c>
      <c r="BB208" s="506">
        <v>25</v>
      </c>
      <c r="BC208" s="506">
        <v>5.2571428571428598</v>
      </c>
      <c r="BD208" s="506">
        <v>0</v>
      </c>
      <c r="BE208" s="506">
        <v>0</v>
      </c>
      <c r="BF208" s="506">
        <v>1.4285714285714301E-3</v>
      </c>
      <c r="BG208" s="506">
        <v>0.1</v>
      </c>
      <c r="BH208" s="506">
        <v>1.2</v>
      </c>
      <c r="BI208" s="506">
        <v>0.2</v>
      </c>
    </row>
    <row r="209" spans="1:61" ht="12.95" customHeight="1" thickBot="1">
      <c r="A209" s="254" t="s">
        <v>1770</v>
      </c>
      <c r="B209" s="254" t="s">
        <v>92</v>
      </c>
      <c r="C209" s="204">
        <v>7</v>
      </c>
      <c r="D209" s="254" t="s">
        <v>1391</v>
      </c>
      <c r="E209" s="502">
        <v>1</v>
      </c>
      <c r="F209" s="501">
        <v>-35.602864453050103</v>
      </c>
      <c r="G209" s="506">
        <v>50</v>
      </c>
      <c r="H209" s="506">
        <v>19.5</v>
      </c>
      <c r="I209" s="506">
        <v>0</v>
      </c>
      <c r="J209" s="506">
        <v>0</v>
      </c>
      <c r="K209" s="506">
        <v>0</v>
      </c>
      <c r="L209" s="506">
        <v>0</v>
      </c>
      <c r="M209" s="506">
        <v>19.5</v>
      </c>
      <c r="N209" s="506">
        <v>-30.545983189154001</v>
      </c>
      <c r="O209" s="506">
        <v>-34.807938157383298</v>
      </c>
      <c r="P209" s="506">
        <v>4.2619549682292197</v>
      </c>
      <c r="Q209" s="506">
        <v>2.5761912380781699E-2</v>
      </c>
      <c r="R209" s="506">
        <v>71.5963328311407</v>
      </c>
      <c r="S209" s="506">
        <v>445.19891251451497</v>
      </c>
      <c r="T209" s="506">
        <v>1.0437999400573401E-2</v>
      </c>
      <c r="U209" s="506">
        <v>1.1517061291092199E-2</v>
      </c>
      <c r="V209" s="506">
        <v>3.5423193428742098E-7</v>
      </c>
      <c r="W209" s="506">
        <v>4.2619549682292197</v>
      </c>
      <c r="X209" s="506">
        <v>2.5761912380781699E-2</v>
      </c>
      <c r="Y209" s="506">
        <v>71.5963328311407</v>
      </c>
      <c r="Z209" s="506">
        <v>445.19891251451497</v>
      </c>
      <c r="AA209" s="506">
        <v>1.0437999400573401E-2</v>
      </c>
      <c r="AB209" s="506">
        <v>1.1517061291092199E-2</v>
      </c>
      <c r="AC209" s="506">
        <v>3.5423193428742098E-7</v>
      </c>
      <c r="AD209" s="506">
        <v>0</v>
      </c>
      <c r="AE209" s="506">
        <v>0</v>
      </c>
      <c r="AF209" s="506">
        <v>0</v>
      </c>
      <c r="AG209" s="506">
        <v>0</v>
      </c>
      <c r="AH209" s="506">
        <v>6.4404780951954196E-3</v>
      </c>
      <c r="AI209" s="506">
        <v>17.8990832077852</v>
      </c>
      <c r="AJ209" s="506">
        <v>3.2500000000000001E-2</v>
      </c>
      <c r="AK209" s="506">
        <v>6.5</v>
      </c>
      <c r="AL209" s="506">
        <v>25</v>
      </c>
      <c r="AM209" s="506">
        <v>81.25</v>
      </c>
      <c r="AN209" s="506">
        <v>19.5</v>
      </c>
      <c r="AO209" s="506">
        <v>0</v>
      </c>
      <c r="AP209" s="506">
        <v>0</v>
      </c>
      <c r="AQ209" s="506">
        <v>0</v>
      </c>
      <c r="AR209" s="506">
        <v>0</v>
      </c>
      <c r="AS209" s="506">
        <v>0</v>
      </c>
      <c r="AT209" s="506">
        <v>25</v>
      </c>
      <c r="AU209" s="506">
        <v>0</v>
      </c>
      <c r="AV209" s="506">
        <v>0</v>
      </c>
      <c r="AW209" s="506">
        <v>0</v>
      </c>
      <c r="AX209" s="506">
        <v>0</v>
      </c>
      <c r="AY209" s="506">
        <v>0</v>
      </c>
      <c r="AZ209" s="506">
        <v>3.2500000000000001E-2</v>
      </c>
      <c r="BA209" s="506">
        <v>6.5</v>
      </c>
      <c r="BB209" s="506">
        <v>25</v>
      </c>
      <c r="BC209" s="506">
        <v>81.150000000000006</v>
      </c>
      <c r="BD209" s="506">
        <v>0</v>
      </c>
      <c r="BE209" s="506">
        <v>3.2500000000000001E-2</v>
      </c>
      <c r="BF209" s="506">
        <v>0</v>
      </c>
      <c r="BG209" s="506">
        <v>0.1</v>
      </c>
      <c r="BH209" s="506">
        <v>3.9</v>
      </c>
      <c r="BI209" s="506">
        <v>0.97499999999999998</v>
      </c>
    </row>
    <row r="210" spans="1:61" ht="12.95" customHeight="1" thickBot="1">
      <c r="A210" s="254" t="s">
        <v>1771</v>
      </c>
      <c r="B210" s="254" t="s">
        <v>92</v>
      </c>
      <c r="C210" s="204"/>
      <c r="D210" s="254"/>
      <c r="E210" s="502"/>
      <c r="F210" s="501"/>
      <c r="G210" s="90"/>
      <c r="H210" s="90"/>
      <c r="I210" s="90"/>
      <c r="J210" s="90"/>
      <c r="K210" s="90"/>
      <c r="L210" s="90"/>
      <c r="M210" s="90"/>
      <c r="N210" s="90"/>
      <c r="O210" s="90"/>
      <c r="P210" s="90"/>
      <c r="Q210" s="90"/>
      <c r="R210" s="90"/>
      <c r="S210" s="90"/>
      <c r="T210" s="90"/>
      <c r="U210" s="90"/>
      <c r="V210" s="90"/>
      <c r="W210" s="90"/>
      <c r="X210" s="90"/>
      <c r="Y210" s="90"/>
      <c r="Z210" s="90"/>
      <c r="AA210" s="90"/>
      <c r="AB210" s="90"/>
      <c r="AC210" s="90"/>
      <c r="AD210" s="90"/>
      <c r="AE210" s="90"/>
      <c r="AF210" s="90"/>
      <c r="AG210" s="90"/>
      <c r="AH210" s="90"/>
      <c r="AI210" s="90"/>
      <c r="AJ210" s="90"/>
      <c r="AK210" s="90"/>
      <c r="AL210" s="90"/>
      <c r="AM210" s="90"/>
      <c r="AN210" s="90"/>
      <c r="AO210" s="90"/>
      <c r="AP210" s="90"/>
      <c r="AQ210" s="90"/>
      <c r="AR210" s="90"/>
      <c r="AS210" s="90"/>
      <c r="AT210" s="90"/>
      <c r="AU210" s="90"/>
      <c r="AV210" s="90"/>
      <c r="AW210" s="90"/>
      <c r="AX210" s="90"/>
      <c r="AY210" s="90"/>
      <c r="AZ210" s="90"/>
      <c r="BA210" s="90"/>
      <c r="BB210" s="90"/>
      <c r="BC210" s="90"/>
      <c r="BD210" s="90"/>
      <c r="BE210" s="90"/>
      <c r="BF210" s="90"/>
      <c r="BG210" s="90"/>
      <c r="BH210" s="90"/>
      <c r="BI210" s="506"/>
    </row>
    <row r="211" spans="1:61" ht="12.95" customHeight="1">
      <c r="A211" s="254" t="s">
        <v>2071</v>
      </c>
      <c r="B211" s="254"/>
      <c r="C211" s="204"/>
      <c r="D211" s="254"/>
      <c r="E211" s="502"/>
      <c r="F211" s="501"/>
      <c r="G211" s="506"/>
      <c r="H211" s="506"/>
      <c r="I211" s="506"/>
      <c r="J211" s="506"/>
      <c r="K211" s="506"/>
      <c r="L211" s="506"/>
      <c r="M211" s="506"/>
      <c r="N211" s="506"/>
      <c r="O211" s="506"/>
      <c r="P211" s="506"/>
      <c r="Q211" s="506"/>
      <c r="R211" s="506"/>
      <c r="S211" s="506"/>
      <c r="T211" s="506"/>
      <c r="U211" s="506"/>
      <c r="V211" s="506"/>
      <c r="W211" s="506"/>
      <c r="X211" s="506"/>
      <c r="Y211" s="506"/>
      <c r="Z211" s="506"/>
      <c r="AA211" s="506"/>
      <c r="AB211" s="506"/>
      <c r="AC211" s="506"/>
      <c r="AD211" s="506"/>
      <c r="AE211" s="506"/>
      <c r="AF211" s="506"/>
      <c r="AG211" s="506"/>
      <c r="AH211" s="506"/>
      <c r="AI211" s="506"/>
      <c r="AJ211" s="506"/>
      <c r="AK211" s="506"/>
      <c r="AL211" s="506"/>
      <c r="AM211" s="506"/>
      <c r="AN211" s="506"/>
      <c r="AO211" s="506"/>
      <c r="AP211" s="506"/>
      <c r="AQ211" s="506"/>
      <c r="AR211" s="506"/>
      <c r="AS211" s="506"/>
      <c r="AT211" s="506"/>
      <c r="AU211" s="506"/>
      <c r="AV211" s="506"/>
      <c r="AW211" s="506"/>
      <c r="AX211" s="506"/>
      <c r="AY211" s="506"/>
      <c r="AZ211" s="506"/>
      <c r="BA211" s="506"/>
      <c r="BB211" s="506"/>
      <c r="BC211" s="506"/>
      <c r="BD211" s="506"/>
      <c r="BE211" s="506"/>
      <c r="BF211" s="506"/>
      <c r="BG211" s="506"/>
      <c r="BH211" s="506"/>
      <c r="BI211" s="506"/>
    </row>
    <row r="212" spans="1:61" ht="12.95" customHeight="1">
      <c r="A212" s="254" t="s">
        <v>1772</v>
      </c>
      <c r="B212" s="254" t="s">
        <v>93</v>
      </c>
      <c r="C212" s="204">
        <v>8</v>
      </c>
      <c r="D212" s="254" t="s">
        <v>1392</v>
      </c>
      <c r="E212" s="502">
        <v>3.3333333333333299</v>
      </c>
      <c r="F212" s="501">
        <v>-2.1789261589942002</v>
      </c>
      <c r="G212" s="506">
        <v>50</v>
      </c>
      <c r="H212" s="506">
        <v>48.985333333333301</v>
      </c>
      <c r="I212" s="506">
        <v>0.66666666666666696</v>
      </c>
      <c r="J212" s="506">
        <v>0</v>
      </c>
      <c r="K212" s="506">
        <v>0</v>
      </c>
      <c r="L212" s="506">
        <v>29.01</v>
      </c>
      <c r="M212" s="506">
        <v>78.662000000000006</v>
      </c>
      <c r="N212" s="506">
        <v>2.0189587179250998</v>
      </c>
      <c r="O212" s="506">
        <v>-81.544706276656797</v>
      </c>
      <c r="P212" s="506">
        <v>83.563664994581998</v>
      </c>
      <c r="Q212" s="506">
        <v>0.57085244306327598</v>
      </c>
      <c r="R212" s="506">
        <v>1121.9361515911901</v>
      </c>
      <c r="S212" s="506">
        <v>459.44338279923699</v>
      </c>
      <c r="T212" s="506">
        <v>0.17877731268278099</v>
      </c>
      <c r="U212" s="506">
        <v>0.11460958969521599</v>
      </c>
      <c r="V212" s="506">
        <v>9.8861775358306207E-6</v>
      </c>
      <c r="W212" s="506">
        <v>77.950192268177304</v>
      </c>
      <c r="X212" s="506">
        <v>0.54113211696487495</v>
      </c>
      <c r="Y212" s="506">
        <v>1011.97307085665</v>
      </c>
      <c r="Z212" s="506">
        <v>44.667146664940397</v>
      </c>
      <c r="AA212" s="506">
        <v>0.170400524443764</v>
      </c>
      <c r="AB212" s="506">
        <v>0.102937686845143</v>
      </c>
      <c r="AC212" s="506">
        <v>9.4374114115227604E-6</v>
      </c>
      <c r="AD212" s="506">
        <v>0</v>
      </c>
      <c r="AE212" s="506">
        <v>0</v>
      </c>
      <c r="AF212" s="506">
        <v>0</v>
      </c>
      <c r="AG212" s="506">
        <v>0</v>
      </c>
      <c r="AH212" s="506">
        <v>0.142713110765819</v>
      </c>
      <c r="AI212" s="506">
        <v>280.48403789779599</v>
      </c>
      <c r="AJ212" s="506">
        <v>1.05401360544218</v>
      </c>
      <c r="AK212" s="506">
        <v>94.351224489795896</v>
      </c>
      <c r="AL212" s="506">
        <v>62.5</v>
      </c>
      <c r="AM212" s="506">
        <v>3930.9676870748299</v>
      </c>
      <c r="AN212" s="506">
        <v>48.985333333333301</v>
      </c>
      <c r="AO212" s="506">
        <v>0.66666666666666696</v>
      </c>
      <c r="AP212" s="506">
        <v>0</v>
      </c>
      <c r="AQ212" s="506">
        <v>0.1</v>
      </c>
      <c r="AR212" s="506">
        <v>1.0210136054421799</v>
      </c>
      <c r="AS212" s="506">
        <v>91.891224489795903</v>
      </c>
      <c r="AT212" s="506">
        <v>62.5</v>
      </c>
      <c r="AU212" s="506">
        <v>3828.8010204081602</v>
      </c>
      <c r="AV212" s="506">
        <v>0.96699999999999997</v>
      </c>
      <c r="AW212" s="506">
        <v>5.4013605442176899E-2</v>
      </c>
      <c r="AX212" s="506">
        <v>0</v>
      </c>
      <c r="AY212" s="506">
        <v>0</v>
      </c>
      <c r="AZ212" s="506">
        <v>2.0750272108843499</v>
      </c>
      <c r="BA212" s="506">
        <v>186.24244897959201</v>
      </c>
      <c r="BB212" s="506">
        <v>62.5</v>
      </c>
      <c r="BC212" s="506">
        <v>7760.1020408163204</v>
      </c>
      <c r="BD212" s="506">
        <v>1.9339999999999999</v>
      </c>
      <c r="BE212" s="506">
        <v>0.14102721088435399</v>
      </c>
      <c r="BF212" s="506">
        <v>0</v>
      </c>
      <c r="BG212" s="506">
        <v>0</v>
      </c>
      <c r="BH212" s="506">
        <v>22.7486</v>
      </c>
      <c r="BI212" s="506">
        <v>3.9331</v>
      </c>
    </row>
    <row r="213" spans="1:61" ht="12.95" customHeight="1">
      <c r="A213" s="254" t="s">
        <v>1773</v>
      </c>
      <c r="B213" s="254" t="s">
        <v>93</v>
      </c>
      <c r="C213" s="204">
        <v>9</v>
      </c>
      <c r="D213" s="254" t="s">
        <v>1393</v>
      </c>
      <c r="E213" s="502">
        <v>3.3333333333333299</v>
      </c>
      <c r="F213" s="501">
        <v>11.905428156747901</v>
      </c>
      <c r="G213" s="506">
        <v>50</v>
      </c>
      <c r="H213" s="506">
        <v>131.18033333333301</v>
      </c>
      <c r="I213" s="506">
        <v>0.66666666666666696</v>
      </c>
      <c r="J213" s="506">
        <v>0</v>
      </c>
      <c r="K213" s="506">
        <v>0</v>
      </c>
      <c r="L213" s="506">
        <v>0</v>
      </c>
      <c r="M213" s="506">
        <v>131.84700000000001</v>
      </c>
      <c r="N213" s="506">
        <v>-47.744252325970699</v>
      </c>
      <c r="O213" s="506">
        <v>-192.392997095872</v>
      </c>
      <c r="P213" s="506">
        <v>144.64874476990099</v>
      </c>
      <c r="Q213" s="506">
        <v>0.55078100398720997</v>
      </c>
      <c r="R213" s="506">
        <v>2859.4733946891402</v>
      </c>
      <c r="S213" s="506">
        <v>1734.8943760346101</v>
      </c>
      <c r="T213" s="506">
        <v>7.9303374108122396E-2</v>
      </c>
      <c r="U213" s="506">
        <v>0.179554316871509</v>
      </c>
      <c r="V213" s="506">
        <v>1.77155231842485E-5</v>
      </c>
      <c r="W213" s="506">
        <v>139.03527204349601</v>
      </c>
      <c r="X213" s="506">
        <v>0.52106067788880905</v>
      </c>
      <c r="Y213" s="506">
        <v>2749.5103139546</v>
      </c>
      <c r="Z213" s="506">
        <v>1320.1181399003101</v>
      </c>
      <c r="AA213" s="506">
        <v>7.0926585869105996E-2</v>
      </c>
      <c r="AB213" s="506">
        <v>0.167882414021436</v>
      </c>
      <c r="AC213" s="506">
        <v>1.7266757059940599E-5</v>
      </c>
      <c r="AD213" s="506">
        <v>0</v>
      </c>
      <c r="AE213" s="506">
        <v>0</v>
      </c>
      <c r="AF213" s="506">
        <v>0</v>
      </c>
      <c r="AG213" s="506">
        <v>0</v>
      </c>
      <c r="AH213" s="506">
        <v>0.13769525099680199</v>
      </c>
      <c r="AI213" s="506">
        <v>714.86834867228504</v>
      </c>
      <c r="AJ213" s="506">
        <v>1.05401360544218</v>
      </c>
      <c r="AK213" s="506">
        <v>94.351224489795896</v>
      </c>
      <c r="AL213" s="506">
        <v>62.5</v>
      </c>
      <c r="AM213" s="506">
        <v>3930.9676870748299</v>
      </c>
      <c r="AN213" s="506">
        <v>131.18033333333301</v>
      </c>
      <c r="AO213" s="506">
        <v>0.66666666666666696</v>
      </c>
      <c r="AP213" s="506">
        <v>0</v>
      </c>
      <c r="AQ213" s="506">
        <v>0.1</v>
      </c>
      <c r="AR213" s="506">
        <v>1.0210136054421799</v>
      </c>
      <c r="AS213" s="506">
        <v>91.891224489795903</v>
      </c>
      <c r="AT213" s="506">
        <v>62.5</v>
      </c>
      <c r="AU213" s="506">
        <v>3828.4676870748299</v>
      </c>
      <c r="AV213" s="506">
        <v>0</v>
      </c>
      <c r="AW213" s="506">
        <v>1.0210136054421799</v>
      </c>
      <c r="AX213" s="506">
        <v>0</v>
      </c>
      <c r="AY213" s="506">
        <v>0.1</v>
      </c>
      <c r="AZ213" s="506">
        <v>2.0750272108843499</v>
      </c>
      <c r="BA213" s="506">
        <v>186.24244897959201</v>
      </c>
      <c r="BB213" s="506">
        <v>62.5</v>
      </c>
      <c r="BC213" s="506">
        <v>7759.7687074829901</v>
      </c>
      <c r="BD213" s="506">
        <v>0</v>
      </c>
      <c r="BE213" s="506">
        <v>2.0750272108843499</v>
      </c>
      <c r="BF213" s="506">
        <v>0</v>
      </c>
      <c r="BG213" s="506">
        <v>0.1</v>
      </c>
      <c r="BH213" s="506">
        <v>38.704099999999997</v>
      </c>
      <c r="BI213" s="506">
        <v>6.5923499999999997</v>
      </c>
    </row>
    <row r="214" spans="1:61" ht="12.95" customHeight="1">
      <c r="A214" s="254" t="s">
        <v>1774</v>
      </c>
      <c r="B214" s="254" t="s">
        <v>93</v>
      </c>
      <c r="C214" s="204">
        <v>10</v>
      </c>
      <c r="D214" s="254" t="s">
        <v>1394</v>
      </c>
      <c r="E214" s="502">
        <v>3.3333333333333299</v>
      </c>
      <c r="F214" s="501">
        <v>-16.2913438012421</v>
      </c>
      <c r="G214" s="506">
        <v>50</v>
      </c>
      <c r="H214" s="506">
        <v>77.995333333333306</v>
      </c>
      <c r="I214" s="506">
        <v>0.66666666666666696</v>
      </c>
      <c r="J214" s="506">
        <v>0</v>
      </c>
      <c r="K214" s="506">
        <v>0</v>
      </c>
      <c r="L214" s="506">
        <v>0</v>
      </c>
      <c r="M214" s="506">
        <v>78.662000000000006</v>
      </c>
      <c r="N214" s="506">
        <v>-38.520655535309501</v>
      </c>
      <c r="O214" s="506">
        <v>-128.19028635873599</v>
      </c>
      <c r="P214" s="506">
        <v>89.669630823426203</v>
      </c>
      <c r="Q214" s="506">
        <v>0.28046667613494702</v>
      </c>
      <c r="R214" s="506">
        <v>1074.9355263458799</v>
      </c>
      <c r="S214" s="506">
        <v>452.00991910751799</v>
      </c>
      <c r="T214" s="506">
        <v>5.2360789515056301E-2</v>
      </c>
      <c r="U214" s="506">
        <v>7.2773642999446594E-2</v>
      </c>
      <c r="V214" s="506">
        <v>1.1733295235317601E-5</v>
      </c>
      <c r="W214" s="506">
        <v>84.056158097021495</v>
      </c>
      <c r="X214" s="506">
        <v>0.25074635003654699</v>
      </c>
      <c r="Y214" s="506">
        <v>964.97244561134505</v>
      </c>
      <c r="Z214" s="506">
        <v>37.233682973221498</v>
      </c>
      <c r="AA214" s="506">
        <v>4.3984001276039901E-2</v>
      </c>
      <c r="AB214" s="506">
        <v>6.1101740149373002E-2</v>
      </c>
      <c r="AC214" s="506">
        <v>1.12845291110097E-5</v>
      </c>
      <c r="AD214" s="506">
        <v>0</v>
      </c>
      <c r="AE214" s="506">
        <v>0</v>
      </c>
      <c r="AF214" s="506">
        <v>0</v>
      </c>
      <c r="AG214" s="506">
        <v>0</v>
      </c>
      <c r="AH214" s="506">
        <v>7.0116669033736895E-2</v>
      </c>
      <c r="AI214" s="506">
        <v>268.73388158646998</v>
      </c>
      <c r="AJ214" s="506">
        <v>1.05401360544218</v>
      </c>
      <c r="AK214" s="506">
        <v>94.351224489795896</v>
      </c>
      <c r="AL214" s="506">
        <v>62.5</v>
      </c>
      <c r="AM214" s="506">
        <v>3930.9676870748299</v>
      </c>
      <c r="AN214" s="506">
        <v>77.995333333333306</v>
      </c>
      <c r="AO214" s="506">
        <v>0.66666666666666696</v>
      </c>
      <c r="AP214" s="506">
        <v>0</v>
      </c>
      <c r="AQ214" s="506">
        <v>0.1</v>
      </c>
      <c r="AR214" s="506">
        <v>1.0210136054421799</v>
      </c>
      <c r="AS214" s="506">
        <v>91.891224489795903</v>
      </c>
      <c r="AT214" s="506">
        <v>62.5</v>
      </c>
      <c r="AU214" s="506">
        <v>3828.4676870748299</v>
      </c>
      <c r="AV214" s="506">
        <v>0</v>
      </c>
      <c r="AW214" s="506">
        <v>1.0210136054421799</v>
      </c>
      <c r="AX214" s="506">
        <v>0</v>
      </c>
      <c r="AY214" s="506">
        <v>0.1</v>
      </c>
      <c r="AZ214" s="506">
        <v>2.0750272108843499</v>
      </c>
      <c r="BA214" s="506">
        <v>186.24244897959201</v>
      </c>
      <c r="BB214" s="506">
        <v>62.5</v>
      </c>
      <c r="BC214" s="506">
        <v>7759.7687074829901</v>
      </c>
      <c r="BD214" s="506">
        <v>0</v>
      </c>
      <c r="BE214" s="506">
        <v>2.0750272108843499</v>
      </c>
      <c r="BF214" s="506">
        <v>0</v>
      </c>
      <c r="BG214" s="506">
        <v>0.1</v>
      </c>
      <c r="BH214" s="506">
        <v>22.7486</v>
      </c>
      <c r="BI214" s="506">
        <v>3.9331</v>
      </c>
    </row>
    <row r="215" spans="1:61" ht="12.95" customHeight="1">
      <c r="A215" s="254" t="s">
        <v>1775</v>
      </c>
      <c r="B215" s="254" t="s">
        <v>93</v>
      </c>
      <c r="C215" s="204">
        <v>11</v>
      </c>
      <c r="D215" s="254" t="s">
        <v>1395</v>
      </c>
      <c r="E215" s="502">
        <v>3.3333333333333299</v>
      </c>
      <c r="F215" s="501">
        <v>-18.712419331187</v>
      </c>
      <c r="G215" s="506">
        <v>50</v>
      </c>
      <c r="H215" s="506">
        <v>102.17033333333301</v>
      </c>
      <c r="I215" s="506">
        <v>0.66666666666666696</v>
      </c>
      <c r="J215" s="506">
        <v>0</v>
      </c>
      <c r="K215" s="506">
        <v>0</v>
      </c>
      <c r="L215" s="506">
        <v>0</v>
      </c>
      <c r="M215" s="506">
        <v>102.837</v>
      </c>
      <c r="N215" s="506">
        <v>-101.161139353574</v>
      </c>
      <c r="O215" s="506">
        <v>-158.43300130267599</v>
      </c>
      <c r="P215" s="506">
        <v>57.271861949102501</v>
      </c>
      <c r="Q215" s="506">
        <v>0.34590566769391201</v>
      </c>
      <c r="R215" s="506">
        <v>884.27442620685702</v>
      </c>
      <c r="S215" s="506">
        <v>510.83705997239099</v>
      </c>
      <c r="T215" s="506">
        <v>4.6971817456046901E-2</v>
      </c>
      <c r="U215" s="506">
        <v>9.9338761060275504E-2</v>
      </c>
      <c r="V215" s="506">
        <v>1.0154390410125901E-5</v>
      </c>
      <c r="W215" s="506">
        <v>51.658389222697799</v>
      </c>
      <c r="X215" s="506">
        <v>0.31618534159551098</v>
      </c>
      <c r="Y215" s="506">
        <v>774.31134547232102</v>
      </c>
      <c r="Z215" s="506">
        <v>96.060823838093995</v>
      </c>
      <c r="AA215" s="506">
        <v>3.8595029217030397E-2</v>
      </c>
      <c r="AB215" s="506">
        <v>8.7666858210201801E-2</v>
      </c>
      <c r="AC215" s="506">
        <v>9.7056242858180405E-6</v>
      </c>
      <c r="AD215" s="506">
        <v>0</v>
      </c>
      <c r="AE215" s="506">
        <v>0</v>
      </c>
      <c r="AF215" s="506">
        <v>0</v>
      </c>
      <c r="AG215" s="506">
        <v>0</v>
      </c>
      <c r="AH215" s="506">
        <v>8.6476416923477906E-2</v>
      </c>
      <c r="AI215" s="506">
        <v>221.068606551714</v>
      </c>
      <c r="AJ215" s="506">
        <v>1.05401360544218</v>
      </c>
      <c r="AK215" s="506">
        <v>94.351224489795896</v>
      </c>
      <c r="AL215" s="506">
        <v>62.5</v>
      </c>
      <c r="AM215" s="506">
        <v>3930.9676870748299</v>
      </c>
      <c r="AN215" s="506">
        <v>102.17033333333301</v>
      </c>
      <c r="AO215" s="506">
        <v>0.66666666666666696</v>
      </c>
      <c r="AP215" s="506">
        <v>0</v>
      </c>
      <c r="AQ215" s="506">
        <v>0.1</v>
      </c>
      <c r="AR215" s="506">
        <v>1.0210136054421799</v>
      </c>
      <c r="AS215" s="506">
        <v>91.891224489795903</v>
      </c>
      <c r="AT215" s="506">
        <v>62.5</v>
      </c>
      <c r="AU215" s="506">
        <v>3828.4676870748299</v>
      </c>
      <c r="AV215" s="506">
        <v>0</v>
      </c>
      <c r="AW215" s="506">
        <v>1.0210136054421799</v>
      </c>
      <c r="AX215" s="506">
        <v>0</v>
      </c>
      <c r="AY215" s="506">
        <v>0.1</v>
      </c>
      <c r="AZ215" s="506">
        <v>2.0750272108843499</v>
      </c>
      <c r="BA215" s="506">
        <v>186.24244897959201</v>
      </c>
      <c r="BB215" s="506">
        <v>62.5</v>
      </c>
      <c r="BC215" s="506">
        <v>7759.7687074829901</v>
      </c>
      <c r="BD215" s="506">
        <v>0</v>
      </c>
      <c r="BE215" s="506">
        <v>2.0750272108843499</v>
      </c>
      <c r="BF215" s="506">
        <v>0</v>
      </c>
      <c r="BG215" s="506">
        <v>0.1</v>
      </c>
      <c r="BH215" s="506">
        <v>30.001100000000001</v>
      </c>
      <c r="BI215" s="506">
        <v>5.1418499999999998</v>
      </c>
    </row>
    <row r="216" spans="1:61" ht="12.95" customHeight="1">
      <c r="A216" s="254" t="s">
        <v>1776</v>
      </c>
      <c r="B216" s="254" t="s">
        <v>93</v>
      </c>
      <c r="C216" s="204">
        <v>12</v>
      </c>
      <c r="D216" s="254" t="s">
        <v>1396</v>
      </c>
      <c r="E216" s="502">
        <v>3.3333333333333299</v>
      </c>
      <c r="F216" s="501">
        <v>-10.3518179400305</v>
      </c>
      <c r="G216" s="506">
        <v>50</v>
      </c>
      <c r="H216" s="506">
        <v>62.052</v>
      </c>
      <c r="I216" s="506">
        <v>0.266666666666667</v>
      </c>
      <c r="J216" s="506">
        <v>0.66666666666666696</v>
      </c>
      <c r="K216" s="506">
        <v>0</v>
      </c>
      <c r="L216" s="506">
        <v>29.01</v>
      </c>
      <c r="M216" s="506">
        <v>91.995333333333306</v>
      </c>
      <c r="N216" s="506">
        <v>-27.465087909645799</v>
      </c>
      <c r="O216" s="506">
        <v>-95.654700321603201</v>
      </c>
      <c r="P216" s="506">
        <v>68.189612411957498</v>
      </c>
      <c r="Q216" s="506">
        <v>0.47242166824064602</v>
      </c>
      <c r="R216" s="506">
        <v>845.79030591592402</v>
      </c>
      <c r="S216" s="506">
        <v>1178.2192963272601</v>
      </c>
      <c r="T216" s="506">
        <v>0.17321501005649001</v>
      </c>
      <c r="U216" s="506">
        <v>0.11468582768661501</v>
      </c>
      <c r="V216" s="506">
        <v>2.9596543372088602E-6</v>
      </c>
      <c r="W216" s="506">
        <v>62.576139685552803</v>
      </c>
      <c r="X216" s="506">
        <v>0.44270134214224599</v>
      </c>
      <c r="Y216" s="506">
        <v>735.82722518138803</v>
      </c>
      <c r="Z216" s="506">
        <v>763.44306019295902</v>
      </c>
      <c r="AA216" s="506">
        <v>0.16483822181747301</v>
      </c>
      <c r="AB216" s="506">
        <v>0.103013924836541</v>
      </c>
      <c r="AC216" s="506">
        <v>2.5108882129009999E-6</v>
      </c>
      <c r="AD216" s="506">
        <v>0</v>
      </c>
      <c r="AE216" s="506">
        <v>0</v>
      </c>
      <c r="AF216" s="506">
        <v>0</v>
      </c>
      <c r="AG216" s="506">
        <v>0</v>
      </c>
      <c r="AH216" s="506">
        <v>0.118105417060162</v>
      </c>
      <c r="AI216" s="506">
        <v>211.44757647898101</v>
      </c>
      <c r="AJ216" s="506">
        <v>1.0803575789290101</v>
      </c>
      <c r="AK216" s="506">
        <v>94.3221821036107</v>
      </c>
      <c r="AL216" s="506">
        <v>75</v>
      </c>
      <c r="AM216" s="506">
        <v>3929.7575876504402</v>
      </c>
      <c r="AN216" s="506">
        <v>62.052</v>
      </c>
      <c r="AO216" s="506">
        <v>0.266666666666667</v>
      </c>
      <c r="AP216" s="506">
        <v>8.5470085470085497E-5</v>
      </c>
      <c r="AQ216" s="506">
        <v>0.1</v>
      </c>
      <c r="AR216" s="506">
        <v>1.0473575789290099</v>
      </c>
      <c r="AS216" s="506">
        <v>91.862182103610706</v>
      </c>
      <c r="AT216" s="506">
        <v>75</v>
      </c>
      <c r="AU216" s="506">
        <v>3827.5909209837801</v>
      </c>
      <c r="AV216" s="506">
        <v>0.96699999999999997</v>
      </c>
      <c r="AW216" s="506">
        <v>8.0272108843537401E-2</v>
      </c>
      <c r="AX216" s="506">
        <v>8.5470085470085497E-5</v>
      </c>
      <c r="AY216" s="506">
        <v>0</v>
      </c>
      <c r="AZ216" s="506">
        <v>2.12771515785801</v>
      </c>
      <c r="BA216" s="506">
        <v>186.18436420722099</v>
      </c>
      <c r="BB216" s="506">
        <v>75</v>
      </c>
      <c r="BC216" s="506">
        <v>7757.6818419675501</v>
      </c>
      <c r="BD216" s="506">
        <v>1.9339999999999999</v>
      </c>
      <c r="BE216" s="506">
        <v>0.193544217687075</v>
      </c>
      <c r="BF216" s="506">
        <v>1.7094017094017099E-4</v>
      </c>
      <c r="BG216" s="506">
        <v>0</v>
      </c>
      <c r="BH216" s="506">
        <v>22.2286</v>
      </c>
      <c r="BI216" s="506">
        <v>4.5664333333333298</v>
      </c>
    </row>
    <row r="217" spans="1:61" ht="12.95" customHeight="1">
      <c r="A217" s="254" t="s">
        <v>1777</v>
      </c>
      <c r="B217" s="254" t="s">
        <v>93</v>
      </c>
      <c r="C217" s="204">
        <v>13</v>
      </c>
      <c r="D217" s="254" t="s">
        <v>1397</v>
      </c>
      <c r="E217" s="502">
        <v>3.3333333333333299</v>
      </c>
      <c r="F217" s="501">
        <v>3.7325363757115602</v>
      </c>
      <c r="G217" s="506">
        <v>50</v>
      </c>
      <c r="H217" s="506">
        <v>144.24700000000001</v>
      </c>
      <c r="I217" s="506">
        <v>0.266666666666667</v>
      </c>
      <c r="J217" s="506">
        <v>0.66666666666666696</v>
      </c>
      <c r="K217" s="506">
        <v>0</v>
      </c>
      <c r="L217" s="506">
        <v>0</v>
      </c>
      <c r="M217" s="506">
        <v>145.18033333333301</v>
      </c>
      <c r="N217" s="506">
        <v>-77.228298953541696</v>
      </c>
      <c r="O217" s="506">
        <v>-206.50299114081801</v>
      </c>
      <c r="P217" s="506">
        <v>129.274692187276</v>
      </c>
      <c r="Q217" s="506">
        <v>0.45235022916458001</v>
      </c>
      <c r="R217" s="506">
        <v>2583.3275490138799</v>
      </c>
      <c r="S217" s="506">
        <v>2453.6702895626299</v>
      </c>
      <c r="T217" s="506">
        <v>7.3741071481831205E-2</v>
      </c>
      <c r="U217" s="506">
        <v>0.17963055486290799</v>
      </c>
      <c r="V217" s="506">
        <v>1.0788999985626701E-5</v>
      </c>
      <c r="W217" s="506">
        <v>123.661219460872</v>
      </c>
      <c r="X217" s="506">
        <v>0.42262990306617998</v>
      </c>
      <c r="Y217" s="506">
        <v>2473.3644682793401</v>
      </c>
      <c r="Z217" s="506">
        <v>2038.8940534283299</v>
      </c>
      <c r="AA217" s="506">
        <v>6.5364283242814805E-2</v>
      </c>
      <c r="AB217" s="506">
        <v>0.167958652012834</v>
      </c>
      <c r="AC217" s="506">
        <v>1.03402338613189E-5</v>
      </c>
      <c r="AD217" s="506">
        <v>0</v>
      </c>
      <c r="AE217" s="506">
        <v>0</v>
      </c>
      <c r="AF217" s="506">
        <v>0</v>
      </c>
      <c r="AG217" s="506">
        <v>0</v>
      </c>
      <c r="AH217" s="506">
        <v>0.113087557291145</v>
      </c>
      <c r="AI217" s="506">
        <v>645.83188725346895</v>
      </c>
      <c r="AJ217" s="506">
        <v>1.0803575789290101</v>
      </c>
      <c r="AK217" s="506">
        <v>94.3221821036107</v>
      </c>
      <c r="AL217" s="506">
        <v>75</v>
      </c>
      <c r="AM217" s="506">
        <v>3929.7575876504402</v>
      </c>
      <c r="AN217" s="506">
        <v>144.24700000000001</v>
      </c>
      <c r="AO217" s="506">
        <v>0.266666666666667</v>
      </c>
      <c r="AP217" s="506">
        <v>8.5470085470085497E-5</v>
      </c>
      <c r="AQ217" s="506">
        <v>0.1</v>
      </c>
      <c r="AR217" s="506">
        <v>1.0473575789290099</v>
      </c>
      <c r="AS217" s="506">
        <v>91.862182103610706</v>
      </c>
      <c r="AT217" s="506">
        <v>75</v>
      </c>
      <c r="AU217" s="506">
        <v>3827.2575876504402</v>
      </c>
      <c r="AV217" s="506">
        <v>0</v>
      </c>
      <c r="AW217" s="506">
        <v>1.0472721088435399</v>
      </c>
      <c r="AX217" s="506">
        <v>8.5470085470085497E-5</v>
      </c>
      <c r="AY217" s="506">
        <v>0.1</v>
      </c>
      <c r="AZ217" s="506">
        <v>2.12771515785801</v>
      </c>
      <c r="BA217" s="506">
        <v>186.18436420722099</v>
      </c>
      <c r="BB217" s="506">
        <v>75</v>
      </c>
      <c r="BC217" s="506">
        <v>7757.3485086342198</v>
      </c>
      <c r="BD217" s="506">
        <v>0</v>
      </c>
      <c r="BE217" s="506">
        <v>2.12754421768707</v>
      </c>
      <c r="BF217" s="506">
        <v>1.7094017094017099E-4</v>
      </c>
      <c r="BG217" s="506">
        <v>0.1</v>
      </c>
      <c r="BH217" s="506">
        <v>38.184100000000001</v>
      </c>
      <c r="BI217" s="506">
        <v>7.2256833333333299</v>
      </c>
    </row>
    <row r="218" spans="1:61" ht="12.95" customHeight="1">
      <c r="A218" s="254" t="s">
        <v>1778</v>
      </c>
      <c r="B218" s="254" t="s">
        <v>93</v>
      </c>
      <c r="C218" s="204">
        <v>14</v>
      </c>
      <c r="D218" s="254" t="s">
        <v>1398</v>
      </c>
      <c r="E218" s="502">
        <v>3.3333333333333299</v>
      </c>
      <c r="F218" s="501">
        <v>-24.464235582278501</v>
      </c>
      <c r="G218" s="506">
        <v>50</v>
      </c>
      <c r="H218" s="506">
        <v>91.061999999999998</v>
      </c>
      <c r="I218" s="506">
        <v>0.266666666666667</v>
      </c>
      <c r="J218" s="506">
        <v>0.66666666666666696</v>
      </c>
      <c r="K218" s="506">
        <v>0</v>
      </c>
      <c r="L218" s="506">
        <v>0</v>
      </c>
      <c r="M218" s="506">
        <v>91.995333333333306</v>
      </c>
      <c r="N218" s="506">
        <v>-68.004702162880406</v>
      </c>
      <c r="O218" s="506">
        <v>-142.300280403682</v>
      </c>
      <c r="P218" s="506">
        <v>74.295578240801703</v>
      </c>
      <c r="Q218" s="506">
        <v>0.182035901312318</v>
      </c>
      <c r="R218" s="506">
        <v>798.78968067061805</v>
      </c>
      <c r="S218" s="506">
        <v>1170.7858326355399</v>
      </c>
      <c r="T218" s="506">
        <v>4.6798486888765201E-2</v>
      </c>
      <c r="U218" s="506">
        <v>7.2849880990844995E-2</v>
      </c>
      <c r="V218" s="506">
        <v>4.8067720366958097E-6</v>
      </c>
      <c r="W218" s="506">
        <v>68.682105514396994</v>
      </c>
      <c r="X218" s="506">
        <v>0.152315575213918</v>
      </c>
      <c r="Y218" s="506">
        <v>688.82659993608297</v>
      </c>
      <c r="Z218" s="506">
        <v>756.00959650124105</v>
      </c>
      <c r="AA218" s="506">
        <v>3.8421698649748801E-2</v>
      </c>
      <c r="AB218" s="506">
        <v>6.1177978140771298E-2</v>
      </c>
      <c r="AC218" s="506">
        <v>4.3580059123879503E-6</v>
      </c>
      <c r="AD218" s="506">
        <v>0</v>
      </c>
      <c r="AE218" s="506">
        <v>0</v>
      </c>
      <c r="AF218" s="506">
        <v>0</v>
      </c>
      <c r="AG218" s="506">
        <v>0</v>
      </c>
      <c r="AH218" s="506">
        <v>4.5508975328079501E-2</v>
      </c>
      <c r="AI218" s="506">
        <v>199.697420167654</v>
      </c>
      <c r="AJ218" s="506">
        <v>1.0803575789290101</v>
      </c>
      <c r="AK218" s="506">
        <v>94.3221821036107</v>
      </c>
      <c r="AL218" s="506">
        <v>75</v>
      </c>
      <c r="AM218" s="506">
        <v>3929.7575876504402</v>
      </c>
      <c r="AN218" s="506">
        <v>91.061999999999998</v>
      </c>
      <c r="AO218" s="506">
        <v>0.266666666666667</v>
      </c>
      <c r="AP218" s="506">
        <v>8.5470085470085497E-5</v>
      </c>
      <c r="AQ218" s="506">
        <v>0.1</v>
      </c>
      <c r="AR218" s="506">
        <v>1.0473575789290099</v>
      </c>
      <c r="AS218" s="506">
        <v>91.862182103610706</v>
      </c>
      <c r="AT218" s="506">
        <v>75</v>
      </c>
      <c r="AU218" s="506">
        <v>3827.2575876504402</v>
      </c>
      <c r="AV218" s="506">
        <v>0</v>
      </c>
      <c r="AW218" s="506">
        <v>1.0472721088435399</v>
      </c>
      <c r="AX218" s="506">
        <v>8.5470085470085497E-5</v>
      </c>
      <c r="AY218" s="506">
        <v>0.1</v>
      </c>
      <c r="AZ218" s="506">
        <v>2.12771515785801</v>
      </c>
      <c r="BA218" s="506">
        <v>186.18436420722099</v>
      </c>
      <c r="BB218" s="506">
        <v>75</v>
      </c>
      <c r="BC218" s="506">
        <v>7757.3485086342198</v>
      </c>
      <c r="BD218" s="506">
        <v>0</v>
      </c>
      <c r="BE218" s="506">
        <v>2.12754421768707</v>
      </c>
      <c r="BF218" s="506">
        <v>1.7094017094017099E-4</v>
      </c>
      <c r="BG218" s="506">
        <v>0.1</v>
      </c>
      <c r="BH218" s="506">
        <v>22.2286</v>
      </c>
      <c r="BI218" s="506">
        <v>4.5664333333333298</v>
      </c>
    </row>
    <row r="219" spans="1:61" ht="12.95" customHeight="1">
      <c r="A219" s="254" t="s">
        <v>1779</v>
      </c>
      <c r="B219" s="254" t="s">
        <v>93</v>
      </c>
      <c r="C219" s="204">
        <v>15</v>
      </c>
      <c r="D219" s="254" t="s">
        <v>1399</v>
      </c>
      <c r="E219" s="502">
        <v>3.3333333333333299</v>
      </c>
      <c r="F219" s="501">
        <v>-26.885311112223299</v>
      </c>
      <c r="G219" s="506">
        <v>50</v>
      </c>
      <c r="H219" s="506">
        <v>115.23699999999999</v>
      </c>
      <c r="I219" s="506">
        <v>0.266666666666667</v>
      </c>
      <c r="J219" s="506">
        <v>0.66666666666666696</v>
      </c>
      <c r="K219" s="506">
        <v>0</v>
      </c>
      <c r="L219" s="506">
        <v>0</v>
      </c>
      <c r="M219" s="506">
        <v>116.17033333333301</v>
      </c>
      <c r="N219" s="506">
        <v>-130.645185981145</v>
      </c>
      <c r="O219" s="506">
        <v>-172.542995347622</v>
      </c>
      <c r="P219" s="506">
        <v>41.897809366478</v>
      </c>
      <c r="Q219" s="506">
        <v>0.24747489287128199</v>
      </c>
      <c r="R219" s="506">
        <v>608.12858053159505</v>
      </c>
      <c r="S219" s="506">
        <v>1229.6129735004099</v>
      </c>
      <c r="T219" s="506">
        <v>4.1409514829755703E-2</v>
      </c>
      <c r="U219" s="506">
        <v>9.9414999051673794E-2</v>
      </c>
      <c r="V219" s="506">
        <v>3.2278672115041398E-6</v>
      </c>
      <c r="W219" s="506">
        <v>36.284336640073299</v>
      </c>
      <c r="X219" s="506">
        <v>0.21775456677288199</v>
      </c>
      <c r="Y219" s="506">
        <v>498.16549979706002</v>
      </c>
      <c r="Z219" s="506">
        <v>814.83673736611297</v>
      </c>
      <c r="AA219" s="506">
        <v>3.3032726590739303E-2</v>
      </c>
      <c r="AB219" s="506">
        <v>8.7743096201600104E-2</v>
      </c>
      <c r="AC219" s="506">
        <v>2.77910108719628E-6</v>
      </c>
      <c r="AD219" s="506">
        <v>0</v>
      </c>
      <c r="AE219" s="506">
        <v>0</v>
      </c>
      <c r="AF219" s="506">
        <v>0</v>
      </c>
      <c r="AG219" s="506">
        <v>0</v>
      </c>
      <c r="AH219" s="506">
        <v>6.1868723217820498E-2</v>
      </c>
      <c r="AI219" s="506">
        <v>152.03214513289899</v>
      </c>
      <c r="AJ219" s="506">
        <v>1.0803575789290101</v>
      </c>
      <c r="AK219" s="506">
        <v>94.3221821036107</v>
      </c>
      <c r="AL219" s="506">
        <v>75</v>
      </c>
      <c r="AM219" s="506">
        <v>3929.7575876504402</v>
      </c>
      <c r="AN219" s="506">
        <v>115.23699999999999</v>
      </c>
      <c r="AO219" s="506">
        <v>0.266666666666667</v>
      </c>
      <c r="AP219" s="506">
        <v>8.5470085470085497E-5</v>
      </c>
      <c r="AQ219" s="506">
        <v>0.1</v>
      </c>
      <c r="AR219" s="506">
        <v>1.0473575789290099</v>
      </c>
      <c r="AS219" s="506">
        <v>91.862182103610706</v>
      </c>
      <c r="AT219" s="506">
        <v>75</v>
      </c>
      <c r="AU219" s="506">
        <v>3827.2575876504402</v>
      </c>
      <c r="AV219" s="506">
        <v>0</v>
      </c>
      <c r="AW219" s="506">
        <v>1.0472721088435399</v>
      </c>
      <c r="AX219" s="506">
        <v>8.5470085470085497E-5</v>
      </c>
      <c r="AY219" s="506">
        <v>0.1</v>
      </c>
      <c r="AZ219" s="506">
        <v>2.12771515785801</v>
      </c>
      <c r="BA219" s="506">
        <v>186.18436420722099</v>
      </c>
      <c r="BB219" s="506">
        <v>75</v>
      </c>
      <c r="BC219" s="506">
        <v>7757.3485086342198</v>
      </c>
      <c r="BD219" s="506">
        <v>0</v>
      </c>
      <c r="BE219" s="506">
        <v>2.12754421768707</v>
      </c>
      <c r="BF219" s="506">
        <v>1.7094017094017099E-4</v>
      </c>
      <c r="BG219" s="506">
        <v>0.1</v>
      </c>
      <c r="BH219" s="506">
        <v>29.481100000000001</v>
      </c>
      <c r="BI219" s="506">
        <v>5.77518333333333</v>
      </c>
    </row>
    <row r="220" spans="1:61" ht="12.95" customHeight="1">
      <c r="A220" s="254" t="s">
        <v>1780</v>
      </c>
      <c r="B220" s="254" t="s">
        <v>93</v>
      </c>
      <c r="C220" s="204">
        <v>17</v>
      </c>
      <c r="D220" s="254" t="s">
        <v>2652</v>
      </c>
      <c r="E220" s="502">
        <v>3.3333333333333335</v>
      </c>
      <c r="F220" s="501">
        <v>-6.5222346387940124</v>
      </c>
      <c r="G220" s="506">
        <v>50</v>
      </c>
      <c r="H220" s="506">
        <v>0</v>
      </c>
      <c r="I220" s="506">
        <v>0</v>
      </c>
      <c r="J220" s="506">
        <v>7.4880000000000004</v>
      </c>
      <c r="K220" s="506">
        <v>0</v>
      </c>
      <c r="L220" s="506">
        <v>29.971200000000003</v>
      </c>
      <c r="M220" s="506">
        <v>37.459200000000003</v>
      </c>
      <c r="N220" s="506">
        <v>68.165625796912821</v>
      </c>
      <c r="O220" s="506">
        <v>-3.3924137672446043E-2</v>
      </c>
      <c r="P220" s="506">
        <v>68.199549934585264</v>
      </c>
      <c r="Q220" s="506">
        <v>0.46300216694747232</v>
      </c>
      <c r="R220" s="506">
        <v>788.2730726794789</v>
      </c>
      <c r="S220" s="506">
        <v>33.092777196686953</v>
      </c>
      <c r="T220" s="506">
        <v>0.15924042739367533</v>
      </c>
      <c r="U220" s="506">
        <v>0.11712011808602009</v>
      </c>
      <c r="V220" s="506">
        <v>2.4732347089843675E-6</v>
      </c>
      <c r="W220" s="506">
        <v>68.199549934585264</v>
      </c>
      <c r="X220" s="506">
        <v>0.46300216694747232</v>
      </c>
      <c r="Y220" s="506">
        <v>788.2730726794789</v>
      </c>
      <c r="Z220" s="506">
        <v>33.092777196686953</v>
      </c>
      <c r="AA220" s="506">
        <v>0.15924042739367533</v>
      </c>
      <c r="AB220" s="506">
        <v>0.11712011808602009</v>
      </c>
      <c r="AC220" s="506">
        <v>2.4732347089843675E-6</v>
      </c>
      <c r="AD220" s="506">
        <v>0</v>
      </c>
      <c r="AE220" s="506">
        <v>0</v>
      </c>
      <c r="AF220" s="506">
        <v>0</v>
      </c>
      <c r="AG220" s="506">
        <v>0</v>
      </c>
      <c r="AH220" s="506">
        <v>0.11575054173686808</v>
      </c>
      <c r="AI220" s="506">
        <v>197.06826816986973</v>
      </c>
      <c r="AJ220" s="506">
        <v>1</v>
      </c>
      <c r="AK220" s="506">
        <v>89.999999999999986</v>
      </c>
      <c r="AL220" s="506">
        <v>25</v>
      </c>
      <c r="AM220" s="506">
        <v>3749.9999999999995</v>
      </c>
      <c r="AN220" s="506">
        <v>0</v>
      </c>
      <c r="AO220" s="506">
        <v>0</v>
      </c>
      <c r="AP220" s="506">
        <v>7.4880000000000004</v>
      </c>
      <c r="AQ220" s="506">
        <v>0</v>
      </c>
      <c r="AR220" s="506">
        <v>29.971200000000003</v>
      </c>
      <c r="AS220" s="506">
        <v>2697.4079999999999</v>
      </c>
      <c r="AT220" s="506">
        <v>25</v>
      </c>
      <c r="AU220" s="506">
        <v>112391.66666666667</v>
      </c>
      <c r="AV220" s="506">
        <v>29.971200000000003</v>
      </c>
      <c r="AW220" s="506">
        <v>0</v>
      </c>
      <c r="AX220" s="506">
        <v>0</v>
      </c>
      <c r="AY220" s="506">
        <v>0.1</v>
      </c>
      <c r="AZ220" s="506">
        <v>30.9712</v>
      </c>
      <c r="BA220" s="506">
        <v>2787.4079999999999</v>
      </c>
      <c r="BB220" s="506">
        <v>25</v>
      </c>
      <c r="BC220" s="506">
        <v>116141.66666666667</v>
      </c>
      <c r="BD220" s="506">
        <v>30.97024</v>
      </c>
      <c r="BE220" s="506">
        <v>0</v>
      </c>
      <c r="BF220" s="506">
        <v>9.6000000000000002E-4</v>
      </c>
      <c r="BG220" s="506">
        <v>0.1</v>
      </c>
      <c r="BH220" s="506">
        <v>11.237760000000002</v>
      </c>
      <c r="BI220" s="506">
        <v>1.87296</v>
      </c>
    </row>
    <row r="221" spans="1:61" ht="12.95" customHeight="1">
      <c r="A221" s="254" t="s">
        <v>1781</v>
      </c>
      <c r="B221" s="254" t="s">
        <v>93</v>
      </c>
      <c r="C221" s="204">
        <v>18</v>
      </c>
      <c r="D221" s="254" t="s">
        <v>2653</v>
      </c>
      <c r="E221" s="502">
        <v>3.3333333333333335</v>
      </c>
      <c r="F221" s="501">
        <v>8.0287822542763063</v>
      </c>
      <c r="G221" s="506">
        <v>50</v>
      </c>
      <c r="H221" s="506">
        <v>84.918400000000005</v>
      </c>
      <c r="I221" s="506">
        <v>0</v>
      </c>
      <c r="J221" s="506">
        <v>7.4880000000000004</v>
      </c>
      <c r="K221" s="506">
        <v>0</v>
      </c>
      <c r="L221" s="506">
        <v>0</v>
      </c>
      <c r="M221" s="506">
        <v>92.406400000000005</v>
      </c>
      <c r="N221" s="506">
        <v>16.753590263000024</v>
      </c>
      <c r="O221" s="506">
        <v>-114.5549959681054</v>
      </c>
      <c r="P221" s="506">
        <v>131.3085862311051</v>
      </c>
      <c r="Q221" s="506">
        <v>0.44226569280625933</v>
      </c>
      <c r="R221" s="506">
        <v>2583.3808362209265</v>
      </c>
      <c r="S221" s="506">
        <v>1350.8038012730763</v>
      </c>
      <c r="T221" s="506">
        <v>5.6470578796336435E-2</v>
      </c>
      <c r="U221" s="506">
        <v>0.18421668503349037</v>
      </c>
      <c r="V221" s="506">
        <v>1.0561993216321885E-5</v>
      </c>
      <c r="W221" s="506">
        <v>131.3085862311051</v>
      </c>
      <c r="X221" s="506">
        <v>0.44226569280625933</v>
      </c>
      <c r="Y221" s="506">
        <v>2583.3808362209265</v>
      </c>
      <c r="Z221" s="506">
        <v>1350.8038012730763</v>
      </c>
      <c r="AA221" s="506">
        <v>5.6470578796336435E-2</v>
      </c>
      <c r="AB221" s="506">
        <v>0.18421668503349037</v>
      </c>
      <c r="AC221" s="506">
        <v>1.0561993216321885E-5</v>
      </c>
      <c r="AD221" s="506">
        <v>0</v>
      </c>
      <c r="AE221" s="506">
        <v>0</v>
      </c>
      <c r="AF221" s="506">
        <v>0</v>
      </c>
      <c r="AG221" s="506">
        <v>0</v>
      </c>
      <c r="AH221" s="506">
        <v>0.11056642320156483</v>
      </c>
      <c r="AI221" s="506">
        <v>645.84520905523163</v>
      </c>
      <c r="AJ221" s="506">
        <v>1</v>
      </c>
      <c r="AK221" s="506">
        <v>89.999999999999986</v>
      </c>
      <c r="AL221" s="506">
        <v>25</v>
      </c>
      <c r="AM221" s="506">
        <v>3749.9999999999995</v>
      </c>
      <c r="AN221" s="506">
        <v>84.918400000000005</v>
      </c>
      <c r="AO221" s="506">
        <v>0</v>
      </c>
      <c r="AP221" s="506">
        <v>7.4880000000000004</v>
      </c>
      <c r="AQ221" s="506">
        <v>0</v>
      </c>
      <c r="AR221" s="506">
        <v>0</v>
      </c>
      <c r="AS221" s="506">
        <v>0</v>
      </c>
      <c r="AT221" s="506">
        <v>25</v>
      </c>
      <c r="AU221" s="506">
        <v>0</v>
      </c>
      <c r="AV221" s="506">
        <v>0</v>
      </c>
      <c r="AW221" s="506">
        <v>0</v>
      </c>
      <c r="AX221" s="506">
        <v>0</v>
      </c>
      <c r="AY221" s="506">
        <v>0</v>
      </c>
      <c r="AZ221" s="506">
        <v>1</v>
      </c>
      <c r="BA221" s="506">
        <v>89.999999999999986</v>
      </c>
      <c r="BB221" s="506">
        <v>25</v>
      </c>
      <c r="BC221" s="506">
        <v>3749.6666666666665</v>
      </c>
      <c r="BD221" s="506">
        <v>0</v>
      </c>
      <c r="BE221" s="506">
        <v>0.99903999999999993</v>
      </c>
      <c r="BF221" s="506">
        <v>9.6000000000000002E-4</v>
      </c>
      <c r="BG221" s="506">
        <v>0.1</v>
      </c>
      <c r="BH221" s="506">
        <v>27.721920000000001</v>
      </c>
      <c r="BI221" s="506">
        <v>4.6203200000000004</v>
      </c>
    </row>
    <row r="222" spans="1:61" ht="12.95" customHeight="1">
      <c r="A222" s="254" t="s">
        <v>1782</v>
      </c>
      <c r="B222" s="254" t="s">
        <v>93</v>
      </c>
      <c r="C222" s="204">
        <v>16</v>
      </c>
      <c r="D222" s="254" t="s">
        <v>2654</v>
      </c>
      <c r="E222" s="502">
        <v>3.3333333333333335</v>
      </c>
      <c r="F222" s="501">
        <v>-21.10224469185642</v>
      </c>
      <c r="G222" s="506">
        <v>50</v>
      </c>
      <c r="H222" s="506">
        <v>29.971200000000003</v>
      </c>
      <c r="I222" s="506">
        <v>0</v>
      </c>
      <c r="J222" s="506">
        <v>7.4880000000000004</v>
      </c>
      <c r="K222" s="506">
        <v>0</v>
      </c>
      <c r="L222" s="506">
        <v>0</v>
      </c>
      <c r="M222" s="506">
        <v>37.459200000000003</v>
      </c>
      <c r="N222" s="506">
        <v>26.282796196549334</v>
      </c>
      <c r="O222" s="506">
        <v>-48.225030988965251</v>
      </c>
      <c r="P222" s="506">
        <v>74.507827185514444</v>
      </c>
      <c r="Q222" s="506">
        <v>0.162994931588551</v>
      </c>
      <c r="R222" s="506">
        <v>739.71515681074027</v>
      </c>
      <c r="S222" s="506">
        <v>25.413017562173124</v>
      </c>
      <c r="T222" s="506">
        <v>2.8635294709618023E-2</v>
      </c>
      <c r="U222" s="506">
        <v>7.3898004138820708E-2</v>
      </c>
      <c r="V222" s="506">
        <v>4.3815537022578416E-6</v>
      </c>
      <c r="W222" s="506">
        <v>74.507827185514444</v>
      </c>
      <c r="X222" s="506">
        <v>0.162994931588551</v>
      </c>
      <c r="Y222" s="506">
        <v>739.71515681074027</v>
      </c>
      <c r="Z222" s="506">
        <v>25.413017562173124</v>
      </c>
      <c r="AA222" s="506">
        <v>2.8635294709618023E-2</v>
      </c>
      <c r="AB222" s="506">
        <v>7.3898004138820708E-2</v>
      </c>
      <c r="AC222" s="506">
        <v>4.3815537022578416E-6</v>
      </c>
      <c r="AD222" s="506">
        <v>0</v>
      </c>
      <c r="AE222" s="506">
        <v>0</v>
      </c>
      <c r="AF222" s="506">
        <v>0</v>
      </c>
      <c r="AG222" s="506">
        <v>0</v>
      </c>
      <c r="AH222" s="506">
        <v>4.0748732897137749E-2</v>
      </c>
      <c r="AI222" s="506">
        <v>184.92878920268507</v>
      </c>
      <c r="AJ222" s="506">
        <v>1</v>
      </c>
      <c r="AK222" s="506">
        <v>89.999999999999986</v>
      </c>
      <c r="AL222" s="506">
        <v>25</v>
      </c>
      <c r="AM222" s="506">
        <v>3749.9999999999995</v>
      </c>
      <c r="AN222" s="506">
        <v>29.971200000000003</v>
      </c>
      <c r="AO222" s="506">
        <v>0</v>
      </c>
      <c r="AP222" s="506">
        <v>7.4880000000000004</v>
      </c>
      <c r="AQ222" s="506">
        <v>0</v>
      </c>
      <c r="AR222" s="506">
        <v>0</v>
      </c>
      <c r="AS222" s="506">
        <v>0</v>
      </c>
      <c r="AT222" s="506">
        <v>25</v>
      </c>
      <c r="AU222" s="506">
        <v>0</v>
      </c>
      <c r="AV222" s="506">
        <v>0</v>
      </c>
      <c r="AW222" s="506">
        <v>0</v>
      </c>
      <c r="AX222" s="506">
        <v>0</v>
      </c>
      <c r="AY222" s="506">
        <v>0</v>
      </c>
      <c r="AZ222" s="506">
        <v>1</v>
      </c>
      <c r="BA222" s="506">
        <v>89.999999999999986</v>
      </c>
      <c r="BB222" s="506">
        <v>25</v>
      </c>
      <c r="BC222" s="506">
        <v>3749.6666666666665</v>
      </c>
      <c r="BD222" s="506">
        <v>0</v>
      </c>
      <c r="BE222" s="506">
        <v>0.99903999999999993</v>
      </c>
      <c r="BF222" s="506">
        <v>9.6000000000000002E-4</v>
      </c>
      <c r="BG222" s="506">
        <v>0.1</v>
      </c>
      <c r="BH222" s="506">
        <v>11.237760000000002</v>
      </c>
      <c r="BI222" s="506">
        <v>1.87296</v>
      </c>
    </row>
    <row r="223" spans="1:61" ht="12.95" customHeight="1" thickBot="1">
      <c r="A223" s="254" t="s">
        <v>1783</v>
      </c>
      <c r="B223" s="254" t="s">
        <v>93</v>
      </c>
      <c r="C223" s="204">
        <v>19</v>
      </c>
      <c r="D223" s="254" t="s">
        <v>2655</v>
      </c>
      <c r="E223" s="502">
        <v>3.3333333333333335</v>
      </c>
      <c r="F223" s="501">
        <v>-23.603538691273314</v>
      </c>
      <c r="G223" s="506">
        <v>50</v>
      </c>
      <c r="H223" s="506">
        <v>54.947200000000002</v>
      </c>
      <c r="I223" s="506">
        <v>0</v>
      </c>
      <c r="J223" s="506">
        <v>7.4880000000000004</v>
      </c>
      <c r="K223" s="506">
        <v>0</v>
      </c>
      <c r="L223" s="506">
        <v>0</v>
      </c>
      <c r="M223" s="506">
        <v>62.435200000000002</v>
      </c>
      <c r="N223" s="506">
        <v>-38.433179970770986</v>
      </c>
      <c r="O223" s="506">
        <v>-79.469789973033599</v>
      </c>
      <c r="P223" s="506">
        <v>41.036610002262819</v>
      </c>
      <c r="Q223" s="506">
        <v>0.23060213957931366</v>
      </c>
      <c r="R223" s="506">
        <v>542.73680574260197</v>
      </c>
      <c r="S223" s="506">
        <v>86.189301750014153</v>
      </c>
      <c r="T223" s="506">
        <v>2.3067767671528235E-2</v>
      </c>
      <c r="U223" s="506">
        <v>0.10134331494284393</v>
      </c>
      <c r="V223" s="506">
        <v>2.7503343883390338E-6</v>
      </c>
      <c r="W223" s="506">
        <v>41.036610002262819</v>
      </c>
      <c r="X223" s="506">
        <v>0.23060213957931366</v>
      </c>
      <c r="Y223" s="506">
        <v>542.73680574260197</v>
      </c>
      <c r="Z223" s="506">
        <v>86.189301750014153</v>
      </c>
      <c r="AA223" s="506">
        <v>2.3067767671528235E-2</v>
      </c>
      <c r="AB223" s="506">
        <v>0.10134331494284393</v>
      </c>
      <c r="AC223" s="506">
        <v>2.7503343883390338E-6</v>
      </c>
      <c r="AD223" s="506">
        <v>0</v>
      </c>
      <c r="AE223" s="506">
        <v>0</v>
      </c>
      <c r="AF223" s="506">
        <v>0</v>
      </c>
      <c r="AG223" s="506">
        <v>0</v>
      </c>
      <c r="AH223" s="506">
        <v>5.7650534894828416E-2</v>
      </c>
      <c r="AI223" s="506">
        <v>135.68420143565049</v>
      </c>
      <c r="AJ223" s="506">
        <v>1</v>
      </c>
      <c r="AK223" s="506">
        <v>89.999999999999986</v>
      </c>
      <c r="AL223" s="506">
        <v>25</v>
      </c>
      <c r="AM223" s="506">
        <v>3749.9999999999995</v>
      </c>
      <c r="AN223" s="506">
        <v>54.947200000000002</v>
      </c>
      <c r="AO223" s="506">
        <v>0</v>
      </c>
      <c r="AP223" s="506">
        <v>7.4880000000000004</v>
      </c>
      <c r="AQ223" s="506">
        <v>0</v>
      </c>
      <c r="AR223" s="506">
        <v>0</v>
      </c>
      <c r="AS223" s="506">
        <v>0</v>
      </c>
      <c r="AT223" s="506">
        <v>25</v>
      </c>
      <c r="AU223" s="506">
        <v>0</v>
      </c>
      <c r="AV223" s="506">
        <v>0</v>
      </c>
      <c r="AW223" s="506">
        <v>0</v>
      </c>
      <c r="AX223" s="506">
        <v>0</v>
      </c>
      <c r="AY223" s="506">
        <v>0</v>
      </c>
      <c r="AZ223" s="506">
        <v>1</v>
      </c>
      <c r="BA223" s="506">
        <v>89.999999999999986</v>
      </c>
      <c r="BB223" s="506">
        <v>25</v>
      </c>
      <c r="BC223" s="506">
        <v>3749.6666666666665</v>
      </c>
      <c r="BD223" s="506">
        <v>0</v>
      </c>
      <c r="BE223" s="506">
        <v>0.99903999999999993</v>
      </c>
      <c r="BF223" s="506">
        <v>9.6000000000000002E-4</v>
      </c>
      <c r="BG223" s="506">
        <v>0.1</v>
      </c>
      <c r="BH223" s="506">
        <v>18.730559999999997</v>
      </c>
      <c r="BI223" s="506">
        <v>3.1217600000000001</v>
      </c>
    </row>
    <row r="224" spans="1:61" ht="12.95" customHeight="1" thickBot="1">
      <c r="A224" s="254" t="s">
        <v>1903</v>
      </c>
      <c r="B224" s="254" t="s">
        <v>93</v>
      </c>
      <c r="C224" s="204"/>
      <c r="D224" s="254"/>
      <c r="E224" s="502"/>
      <c r="F224" s="501"/>
      <c r="G224" s="90"/>
      <c r="H224" s="90"/>
      <c r="I224" s="90"/>
      <c r="J224" s="90"/>
      <c r="K224" s="90"/>
      <c r="L224" s="90"/>
      <c r="M224" s="90"/>
      <c r="N224" s="90"/>
      <c r="O224" s="90"/>
      <c r="P224" s="90"/>
      <c r="Q224" s="90"/>
      <c r="R224" s="90"/>
      <c r="S224" s="90"/>
      <c r="T224" s="90"/>
      <c r="U224" s="90"/>
      <c r="V224" s="90"/>
      <c r="W224" s="90"/>
      <c r="X224" s="90"/>
      <c r="Y224" s="90"/>
      <c r="Z224" s="90"/>
      <c r="AA224" s="90"/>
      <c r="AB224" s="90"/>
      <c r="AC224" s="90"/>
      <c r="AD224" s="90"/>
      <c r="AE224" s="90"/>
      <c r="AF224" s="90"/>
      <c r="AG224" s="90"/>
      <c r="AH224" s="90"/>
      <c r="AI224" s="90"/>
      <c r="AJ224" s="90"/>
      <c r="AK224" s="90"/>
      <c r="AL224" s="90"/>
      <c r="AM224" s="90"/>
      <c r="AN224" s="90"/>
      <c r="AO224" s="90"/>
      <c r="AP224" s="90"/>
      <c r="AQ224" s="90"/>
      <c r="AR224" s="90"/>
      <c r="AS224" s="90"/>
      <c r="AT224" s="90"/>
      <c r="AU224" s="90"/>
      <c r="AV224" s="90"/>
      <c r="AW224" s="90"/>
      <c r="AX224" s="90"/>
      <c r="AY224" s="90"/>
      <c r="AZ224" s="90"/>
      <c r="BA224" s="90"/>
      <c r="BB224" s="90"/>
      <c r="BC224" s="90"/>
      <c r="BD224" s="90"/>
      <c r="BE224" s="90"/>
      <c r="BF224" s="90"/>
      <c r="BG224" s="90"/>
      <c r="BH224" s="90"/>
      <c r="BI224" s="506"/>
    </row>
    <row r="225" spans="1:61" ht="12.95" customHeight="1">
      <c r="A225" s="88" t="s">
        <v>2071</v>
      </c>
      <c r="B225" s="254"/>
      <c r="C225" s="204"/>
      <c r="D225" s="254"/>
      <c r="E225" s="502"/>
      <c r="F225" s="501"/>
      <c r="G225" s="506"/>
      <c r="H225" s="506"/>
      <c r="I225" s="506"/>
      <c r="J225" s="506"/>
      <c r="K225" s="506"/>
      <c r="L225" s="506"/>
      <c r="M225" s="506"/>
      <c r="N225" s="506"/>
      <c r="O225" s="506"/>
      <c r="P225" s="506"/>
      <c r="Q225" s="506"/>
      <c r="R225" s="506"/>
      <c r="S225" s="506"/>
      <c r="T225" s="506"/>
      <c r="U225" s="506"/>
      <c r="V225" s="506"/>
      <c r="W225" s="506"/>
      <c r="X225" s="506"/>
      <c r="Y225" s="506"/>
      <c r="Z225" s="506"/>
      <c r="AA225" s="506"/>
      <c r="AB225" s="506"/>
      <c r="AC225" s="506"/>
      <c r="AD225" s="506"/>
      <c r="AE225" s="506"/>
      <c r="AF225" s="506"/>
      <c r="AG225" s="506"/>
      <c r="AH225" s="506"/>
      <c r="AI225" s="506"/>
      <c r="AJ225" s="506"/>
      <c r="AK225" s="506"/>
      <c r="AL225" s="506"/>
      <c r="AM225" s="506"/>
      <c r="AN225" s="506"/>
      <c r="AO225" s="506"/>
      <c r="AP225" s="506"/>
      <c r="AQ225" s="506"/>
      <c r="AR225" s="506"/>
      <c r="AS225" s="506"/>
      <c r="AT225" s="506"/>
      <c r="AU225" s="506"/>
      <c r="AV225" s="506"/>
      <c r="AW225" s="506"/>
      <c r="AX225" s="506"/>
      <c r="AY225" s="506"/>
      <c r="AZ225" s="506"/>
      <c r="BA225" s="506"/>
      <c r="BB225" s="506"/>
      <c r="BC225" s="506"/>
      <c r="BD225" s="506"/>
      <c r="BE225" s="506"/>
      <c r="BF225" s="506"/>
      <c r="BG225" s="506"/>
      <c r="BH225" s="506"/>
      <c r="BI225" s="506"/>
    </row>
    <row r="226" spans="1:61" ht="12.95" customHeight="1">
      <c r="A226" s="88" t="s">
        <v>2713</v>
      </c>
      <c r="B226" s="254" t="s">
        <v>92</v>
      </c>
      <c r="C226" s="204">
        <v>1</v>
      </c>
      <c r="D226" s="254" t="s">
        <v>2713</v>
      </c>
      <c r="E226" s="502">
        <v>1</v>
      </c>
      <c r="F226" s="501">
        <v>19.223451996780138</v>
      </c>
      <c r="G226" s="506">
        <v>35</v>
      </c>
      <c r="H226" s="506">
        <v>55.6</v>
      </c>
      <c r="I226" s="506">
        <v>0</v>
      </c>
      <c r="J226" s="506">
        <v>0</v>
      </c>
      <c r="K226" s="506">
        <v>0</v>
      </c>
      <c r="L226" s="506">
        <v>0</v>
      </c>
      <c r="M226" s="506">
        <v>55.6</v>
      </c>
      <c r="N226" s="506">
        <v>-56.979178989269997</v>
      </c>
      <c r="O226" s="506">
        <v>-108.81530407045901</v>
      </c>
      <c r="P226" s="506">
        <v>51.8361250811895</v>
      </c>
      <c r="Q226" s="506">
        <v>0.214507254965426</v>
      </c>
      <c r="R226" s="506">
        <v>1093.57043498805</v>
      </c>
      <c r="S226" s="506">
        <v>1398.08190618451</v>
      </c>
      <c r="T226" s="506">
        <v>4.0512926366728201E-2</v>
      </c>
      <c r="U226" s="506">
        <v>0.106512199699047</v>
      </c>
      <c r="V226" s="506">
        <v>2.6731206884443001E-6</v>
      </c>
      <c r="W226" s="506">
        <v>103.672250162379</v>
      </c>
      <c r="X226" s="506">
        <v>0.42901450993085199</v>
      </c>
      <c r="Y226" s="506">
        <v>2187.1408699761</v>
      </c>
      <c r="Z226" s="506">
        <v>2796.16381236902</v>
      </c>
      <c r="AA226" s="506">
        <v>8.1025852733456402E-2</v>
      </c>
      <c r="AB226" s="506">
        <v>0.21302439939809401</v>
      </c>
      <c r="AC226" s="506">
        <v>5.3462413768886001E-6</v>
      </c>
      <c r="AD226" s="506">
        <v>0</v>
      </c>
      <c r="AE226" s="506">
        <v>0</v>
      </c>
      <c r="AF226" s="506">
        <v>0</v>
      </c>
      <c r="AG226" s="506">
        <v>0</v>
      </c>
      <c r="AH226" s="506">
        <v>5.3626813741356499E-2</v>
      </c>
      <c r="AI226" s="506">
        <v>273.3926087470125</v>
      </c>
      <c r="AJ226" s="506">
        <v>1</v>
      </c>
      <c r="AK226" s="506">
        <v>300</v>
      </c>
      <c r="AL226" s="506">
        <v>0</v>
      </c>
      <c r="AM226" s="506">
        <v>0</v>
      </c>
      <c r="AN226" s="506">
        <v>0</v>
      </c>
      <c r="AO226" s="506">
        <v>0</v>
      </c>
      <c r="AP226" s="506">
        <v>0</v>
      </c>
      <c r="AQ226" s="506">
        <v>0</v>
      </c>
      <c r="AR226" s="506">
        <v>1.8571428571428572</v>
      </c>
      <c r="AS226" s="506">
        <v>557.14285714285711</v>
      </c>
      <c r="AT226" s="506">
        <v>0</v>
      </c>
      <c r="AU226" s="506">
        <v>0</v>
      </c>
      <c r="AV226" s="506">
        <v>0</v>
      </c>
      <c r="AW226" s="506">
        <v>0</v>
      </c>
      <c r="AX226" s="506">
        <v>0</v>
      </c>
      <c r="AY226" s="506">
        <v>0</v>
      </c>
      <c r="AZ226" s="506">
        <v>2.8571428571428572</v>
      </c>
      <c r="BA226" s="506">
        <v>857.14285714285711</v>
      </c>
      <c r="BB226" s="506">
        <v>0</v>
      </c>
      <c r="BC226" s="506">
        <v>0</v>
      </c>
      <c r="BD226" s="506">
        <v>0</v>
      </c>
      <c r="BE226" s="506">
        <v>0</v>
      </c>
      <c r="BF226" s="506">
        <v>0</v>
      </c>
      <c r="BG226" s="506">
        <v>0</v>
      </c>
      <c r="BH226" s="506">
        <v>16.68</v>
      </c>
      <c r="BI226" s="506"/>
    </row>
    <row r="227" spans="1:61" ht="12.95" customHeight="1">
      <c r="A227" s="88" t="s">
        <v>2716</v>
      </c>
      <c r="B227" s="254" t="s">
        <v>92</v>
      </c>
      <c r="C227" s="204">
        <v>3</v>
      </c>
      <c r="D227" s="254" t="s">
        <v>2714</v>
      </c>
      <c r="E227" s="502">
        <v>1</v>
      </c>
      <c r="F227" s="501">
        <v>19.223451996780138</v>
      </c>
      <c r="G227" s="506">
        <v>35</v>
      </c>
      <c r="H227" s="506">
        <v>55.6</v>
      </c>
      <c r="I227" s="506">
        <v>0</v>
      </c>
      <c r="J227" s="506">
        <v>0</v>
      </c>
      <c r="K227" s="506">
        <v>0</v>
      </c>
      <c r="L227" s="506">
        <v>0</v>
      </c>
      <c r="M227" s="506">
        <v>55.6</v>
      </c>
      <c r="N227" s="506">
        <v>-56.979178989269997</v>
      </c>
      <c r="O227" s="506">
        <v>-108.81530407045901</v>
      </c>
      <c r="P227" s="506">
        <v>51.8361250811895</v>
      </c>
      <c r="Q227" s="506">
        <v>0.214507254965426</v>
      </c>
      <c r="R227" s="506">
        <v>1093.57043498805</v>
      </c>
      <c r="S227" s="506">
        <v>1398.08190618451</v>
      </c>
      <c r="T227" s="506">
        <v>4.0512926366728201E-2</v>
      </c>
      <c r="U227" s="506">
        <v>0.106512199699047</v>
      </c>
      <c r="V227" s="506">
        <v>2.6731206884443001E-6</v>
      </c>
      <c r="W227" s="506">
        <v>103.672250162379</v>
      </c>
      <c r="X227" s="506">
        <v>0.42901450993085199</v>
      </c>
      <c r="Y227" s="506">
        <v>2187.1408699761</v>
      </c>
      <c r="Z227" s="506">
        <v>2796.16381236902</v>
      </c>
      <c r="AA227" s="506">
        <v>8.1025852733456402E-2</v>
      </c>
      <c r="AB227" s="506">
        <v>0.21302439939809401</v>
      </c>
      <c r="AC227" s="506">
        <v>5.3462413768886001E-6</v>
      </c>
      <c r="AD227" s="506">
        <v>0</v>
      </c>
      <c r="AE227" s="506">
        <v>0</v>
      </c>
      <c r="AF227" s="506">
        <v>0</v>
      </c>
      <c r="AG227" s="506">
        <v>0</v>
      </c>
      <c r="AH227" s="506">
        <v>5.3626813741356499E-2</v>
      </c>
      <c r="AI227" s="506">
        <v>273.3926087470125</v>
      </c>
      <c r="AJ227" s="506">
        <v>1</v>
      </c>
      <c r="AK227" s="506">
        <v>300</v>
      </c>
      <c r="AL227" s="506">
        <v>0</v>
      </c>
      <c r="AM227" s="506">
        <v>0</v>
      </c>
      <c r="AN227" s="506">
        <v>0</v>
      </c>
      <c r="AO227" s="506">
        <v>0</v>
      </c>
      <c r="AP227" s="506">
        <v>0</v>
      </c>
      <c r="AQ227" s="506">
        <v>0</v>
      </c>
      <c r="AR227" s="506">
        <v>1.8571428571428572</v>
      </c>
      <c r="AS227" s="506">
        <v>557.14285714285711</v>
      </c>
      <c r="AT227" s="506">
        <v>0</v>
      </c>
      <c r="AU227" s="506">
        <v>0</v>
      </c>
      <c r="AV227" s="506">
        <v>0</v>
      </c>
      <c r="AW227" s="506">
        <v>0</v>
      </c>
      <c r="AX227" s="506">
        <v>0</v>
      </c>
      <c r="AY227" s="506">
        <v>0</v>
      </c>
      <c r="AZ227" s="506">
        <v>2.8571428571428572</v>
      </c>
      <c r="BA227" s="506">
        <v>857.14285714285711</v>
      </c>
      <c r="BB227" s="506">
        <v>0</v>
      </c>
      <c r="BC227" s="506">
        <v>0</v>
      </c>
      <c r="BD227" s="506">
        <v>0</v>
      </c>
      <c r="BE227" s="506">
        <v>0</v>
      </c>
      <c r="BF227" s="506">
        <v>0</v>
      </c>
      <c r="BG227" s="506">
        <v>0</v>
      </c>
      <c r="BH227" s="506">
        <v>16.68</v>
      </c>
      <c r="BI227" s="506"/>
    </row>
    <row r="228" spans="1:61" ht="12.95" customHeight="1" thickBot="1">
      <c r="A228" s="88" t="s">
        <v>2717</v>
      </c>
      <c r="B228" s="254" t="s">
        <v>92</v>
      </c>
      <c r="C228" s="204">
        <v>4</v>
      </c>
      <c r="D228" s="254" t="s">
        <v>2715</v>
      </c>
      <c r="E228" s="502">
        <v>1</v>
      </c>
      <c r="F228" s="501">
        <v>22.702344430765166</v>
      </c>
      <c r="G228" s="506">
        <v>35</v>
      </c>
      <c r="H228" s="506">
        <v>40.381999999999998</v>
      </c>
      <c r="I228" s="506">
        <v>0</v>
      </c>
      <c r="J228" s="506">
        <v>9.1180000000000003</v>
      </c>
      <c r="K228" s="506">
        <v>0</v>
      </c>
      <c r="L228" s="506">
        <v>0</v>
      </c>
      <c r="M228" s="506">
        <v>49.5</v>
      </c>
      <c r="N228" s="506">
        <v>-29.690813097238198</v>
      </c>
      <c r="O228" s="506">
        <v>-83.557534773251604</v>
      </c>
      <c r="P228" s="506">
        <v>53.866721676013398</v>
      </c>
      <c r="Q228" s="506">
        <v>0.223569159380029</v>
      </c>
      <c r="R228" s="506">
        <v>1025.2477608890299</v>
      </c>
      <c r="S228" s="506">
        <v>1082.1155702102301</v>
      </c>
      <c r="T228" s="506">
        <v>3.8848258558937802E-2</v>
      </c>
      <c r="U228" s="506">
        <v>0.12239572346658301</v>
      </c>
      <c r="V228" s="506">
        <v>2.8760825371146399E-6</v>
      </c>
      <c r="W228" s="506">
        <v>107.7334433520268</v>
      </c>
      <c r="X228" s="506">
        <v>0.447138318760058</v>
      </c>
      <c r="Y228" s="506">
        <v>2050.4955217780598</v>
      </c>
      <c r="Z228" s="506">
        <v>2164.2311404204602</v>
      </c>
      <c r="AA228" s="506">
        <v>7.7696517117875605E-2</v>
      </c>
      <c r="AB228" s="506">
        <v>0.24479144693316601</v>
      </c>
      <c r="AC228" s="506">
        <v>5.7521650742292799E-6</v>
      </c>
      <c r="AD228" s="506">
        <v>0</v>
      </c>
      <c r="AE228" s="506">
        <v>0</v>
      </c>
      <c r="AF228" s="506">
        <v>0</v>
      </c>
      <c r="AG228" s="506">
        <v>0</v>
      </c>
      <c r="AH228" s="506">
        <v>5.5892289845007249E-2</v>
      </c>
      <c r="AI228" s="506">
        <v>256.31194022225748</v>
      </c>
      <c r="AJ228" s="506">
        <v>1</v>
      </c>
      <c r="AK228" s="506">
        <v>300</v>
      </c>
      <c r="AL228" s="506">
        <v>0</v>
      </c>
      <c r="AM228" s="506">
        <v>0</v>
      </c>
      <c r="AN228" s="506">
        <v>0</v>
      </c>
      <c r="AO228" s="506">
        <v>0</v>
      </c>
      <c r="AP228" s="506">
        <v>0</v>
      </c>
      <c r="AQ228" s="506">
        <v>0</v>
      </c>
      <c r="AR228" s="506">
        <v>1.8571428571428572</v>
      </c>
      <c r="AS228" s="506">
        <v>557.14285714285711</v>
      </c>
      <c r="AT228" s="506">
        <v>0</v>
      </c>
      <c r="AU228" s="506">
        <v>0</v>
      </c>
      <c r="AV228" s="506">
        <v>0</v>
      </c>
      <c r="AW228" s="506">
        <v>0</v>
      </c>
      <c r="AX228" s="506">
        <v>0</v>
      </c>
      <c r="AY228" s="506">
        <v>0</v>
      </c>
      <c r="AZ228" s="506">
        <v>2.8571428571428572</v>
      </c>
      <c r="BA228" s="506">
        <v>857.14285714285711</v>
      </c>
      <c r="BB228" s="506">
        <v>0</v>
      </c>
      <c r="BC228" s="506">
        <v>0</v>
      </c>
      <c r="BD228" s="506">
        <v>0</v>
      </c>
      <c r="BE228" s="506">
        <v>0</v>
      </c>
      <c r="BF228" s="506">
        <v>0</v>
      </c>
      <c r="BG228" s="506">
        <v>0</v>
      </c>
      <c r="BH228" s="506">
        <v>14.85</v>
      </c>
      <c r="BI228" s="506"/>
    </row>
    <row r="229" spans="1:61" ht="12.95" customHeight="1" thickBot="1">
      <c r="A229" s="88" t="s">
        <v>2718</v>
      </c>
      <c r="B229" s="254" t="s">
        <v>92</v>
      </c>
      <c r="C229" s="204"/>
      <c r="D229" s="254"/>
      <c r="E229" s="502"/>
      <c r="F229" s="501"/>
      <c r="G229" s="90"/>
      <c r="H229" s="90"/>
      <c r="I229" s="90"/>
      <c r="J229" s="90"/>
      <c r="K229" s="90"/>
      <c r="L229" s="90"/>
      <c r="M229" s="90"/>
      <c r="N229" s="90"/>
      <c r="O229" s="90"/>
      <c r="P229" s="90"/>
      <c r="Q229" s="90"/>
      <c r="R229" s="90"/>
      <c r="S229" s="90"/>
      <c r="T229" s="90"/>
      <c r="U229" s="90"/>
      <c r="V229" s="90"/>
      <c r="W229" s="90"/>
      <c r="X229" s="90"/>
      <c r="Y229" s="90"/>
      <c r="Z229" s="90"/>
      <c r="AA229" s="90"/>
      <c r="AB229" s="90"/>
      <c r="AC229" s="90"/>
      <c r="AD229" s="90"/>
      <c r="AE229" s="90"/>
      <c r="AF229" s="90"/>
      <c r="AG229" s="90"/>
      <c r="AH229" s="90"/>
      <c r="AI229" s="90"/>
      <c r="AJ229" s="90"/>
      <c r="AK229" s="90"/>
      <c r="AL229" s="90"/>
      <c r="AM229" s="90"/>
      <c r="AN229" s="90"/>
      <c r="AO229" s="90"/>
      <c r="AP229" s="90"/>
      <c r="AQ229" s="90"/>
      <c r="AR229" s="90"/>
      <c r="AS229" s="90"/>
      <c r="AT229" s="90"/>
      <c r="AU229" s="90"/>
      <c r="AV229" s="90"/>
      <c r="AW229" s="90"/>
      <c r="AX229" s="90"/>
      <c r="AY229" s="90"/>
      <c r="AZ229" s="90"/>
      <c r="BA229" s="90"/>
      <c r="BB229" s="90"/>
      <c r="BC229" s="90"/>
      <c r="BD229" s="90"/>
      <c r="BE229" s="90"/>
      <c r="BF229" s="90"/>
      <c r="BG229" s="90"/>
      <c r="BH229" s="90"/>
      <c r="BI229" s="506"/>
    </row>
    <row r="230" spans="1:61" ht="12.95" customHeight="1">
      <c r="A230" s="254" t="s">
        <v>2071</v>
      </c>
      <c r="B230" s="254"/>
      <c r="C230" s="204"/>
      <c r="D230" s="254"/>
      <c r="E230" s="502"/>
      <c r="F230" s="501"/>
      <c r="G230" s="506"/>
      <c r="H230" s="506"/>
      <c r="I230" s="506"/>
      <c r="J230" s="506"/>
      <c r="K230" s="506"/>
      <c r="L230" s="506"/>
      <c r="M230" s="506"/>
      <c r="N230" s="506"/>
      <c r="O230" s="506"/>
      <c r="P230" s="506"/>
      <c r="Q230" s="506"/>
      <c r="R230" s="506"/>
      <c r="S230" s="506"/>
      <c r="T230" s="506"/>
      <c r="U230" s="506"/>
      <c r="V230" s="506"/>
      <c r="W230" s="506"/>
      <c r="X230" s="506"/>
      <c r="Y230" s="506"/>
      <c r="Z230" s="506"/>
      <c r="AA230" s="506"/>
      <c r="AB230" s="506"/>
      <c r="AC230" s="506"/>
      <c r="AD230" s="506"/>
      <c r="AE230" s="506"/>
      <c r="AF230" s="506"/>
      <c r="AG230" s="506"/>
      <c r="AH230" s="506"/>
      <c r="AI230" s="506"/>
      <c r="AJ230" s="506"/>
      <c r="AK230" s="506"/>
      <c r="AL230" s="506"/>
      <c r="AM230" s="506"/>
      <c r="AN230" s="506"/>
      <c r="AO230" s="506"/>
      <c r="AP230" s="506"/>
      <c r="AQ230" s="506"/>
      <c r="AR230" s="506"/>
      <c r="AS230" s="506"/>
      <c r="AT230" s="506"/>
      <c r="AU230" s="506"/>
      <c r="AV230" s="506"/>
      <c r="AW230" s="506"/>
      <c r="AX230" s="506"/>
      <c r="AY230" s="506"/>
      <c r="AZ230" s="506"/>
      <c r="BA230" s="506"/>
      <c r="BB230" s="506"/>
      <c r="BC230" s="506"/>
      <c r="BD230" s="506"/>
      <c r="BE230" s="506"/>
      <c r="BF230" s="506"/>
      <c r="BG230" s="506"/>
      <c r="BH230" s="506"/>
      <c r="BI230" s="506"/>
    </row>
    <row r="231" spans="1:61" ht="12.95" customHeight="1" thickBot="1">
      <c r="A231" s="254" t="s">
        <v>1784</v>
      </c>
      <c r="B231" s="254" t="s">
        <v>93</v>
      </c>
      <c r="C231" s="204">
        <v>1</v>
      </c>
      <c r="D231" s="254" t="s">
        <v>1400</v>
      </c>
      <c r="E231" s="502">
        <v>3.3333333333333299</v>
      </c>
      <c r="F231" s="501">
        <v>38.704460161273303</v>
      </c>
      <c r="G231" s="506">
        <v>35</v>
      </c>
      <c r="H231" s="506">
        <v>0</v>
      </c>
      <c r="I231" s="506">
        <v>0</v>
      </c>
      <c r="J231" s="506">
        <v>38</v>
      </c>
      <c r="K231" s="506">
        <v>0</v>
      </c>
      <c r="L231" s="506">
        <v>45.3333333333333</v>
      </c>
      <c r="M231" s="506">
        <v>83.3333333333333</v>
      </c>
      <c r="N231" s="506">
        <v>180.17279478300401</v>
      </c>
      <c r="O231" s="506">
        <v>-2.55376299669943E-2</v>
      </c>
      <c r="P231" s="506">
        <v>180.19833241297101</v>
      </c>
      <c r="Q231" s="506">
        <v>0.67649117397221903</v>
      </c>
      <c r="R231" s="506">
        <v>3896.9506796567698</v>
      </c>
      <c r="S231" s="506">
        <v>46.709546227926303</v>
      </c>
      <c r="T231" s="506">
        <v>0.32064998177315301</v>
      </c>
      <c r="U231" s="506">
        <v>0.12814896168895601</v>
      </c>
      <c r="V231" s="506">
        <v>3.9954312087906303E-6</v>
      </c>
      <c r="W231" s="506">
        <v>180.19833241297101</v>
      </c>
      <c r="X231" s="506">
        <v>0.67649117397221903</v>
      </c>
      <c r="Y231" s="506">
        <v>3896.9506796567698</v>
      </c>
      <c r="Z231" s="506">
        <v>46.709546227926303</v>
      </c>
      <c r="AA231" s="506">
        <v>0.32064998177315301</v>
      </c>
      <c r="AB231" s="506">
        <v>0.12814896168895601</v>
      </c>
      <c r="AC231" s="506">
        <v>3.9954312087906303E-6</v>
      </c>
      <c r="AD231" s="506">
        <v>0</v>
      </c>
      <c r="AE231" s="506">
        <v>0</v>
      </c>
      <c r="AF231" s="506">
        <v>0</v>
      </c>
      <c r="AG231" s="506">
        <v>0</v>
      </c>
      <c r="AH231" s="506">
        <v>0.16912279349305501</v>
      </c>
      <c r="AI231" s="506">
        <v>974.237669914192</v>
      </c>
      <c r="AJ231" s="506">
        <v>1.032</v>
      </c>
      <c r="AK231" s="506">
        <v>92.28</v>
      </c>
      <c r="AL231" s="506">
        <v>50</v>
      </c>
      <c r="AM231" s="506">
        <v>3844.6666666666702</v>
      </c>
      <c r="AN231" s="506">
        <v>0</v>
      </c>
      <c r="AO231" s="506">
        <v>0</v>
      </c>
      <c r="AP231" s="506">
        <v>38</v>
      </c>
      <c r="AQ231" s="506">
        <v>0.1</v>
      </c>
      <c r="AR231" s="506">
        <v>1.032</v>
      </c>
      <c r="AS231" s="506">
        <v>92.28</v>
      </c>
      <c r="AT231" s="506">
        <v>50</v>
      </c>
      <c r="AU231" s="506">
        <v>3844.6666666666702</v>
      </c>
      <c r="AV231" s="506">
        <v>3.2000000000000001E-2</v>
      </c>
      <c r="AW231" s="506">
        <v>1</v>
      </c>
      <c r="AX231" s="506">
        <v>0</v>
      </c>
      <c r="AY231" s="506">
        <v>0.1</v>
      </c>
      <c r="AZ231" s="506">
        <v>2.0640000000000001</v>
      </c>
      <c r="BA231" s="506">
        <v>184.56</v>
      </c>
      <c r="BB231" s="506">
        <v>50</v>
      </c>
      <c r="BC231" s="506">
        <v>7689.6666666666697</v>
      </c>
      <c r="BD231" s="506">
        <v>6.4000000000000001E-2</v>
      </c>
      <c r="BE231" s="506">
        <v>2</v>
      </c>
      <c r="BF231" s="506">
        <v>0</v>
      </c>
      <c r="BG231" s="506">
        <v>0.1</v>
      </c>
      <c r="BH231" s="506">
        <v>21.4</v>
      </c>
      <c r="BI231" s="506">
        <v>4.1666666666666696</v>
      </c>
    </row>
    <row r="232" spans="1:61" ht="12.95" customHeight="1" thickBot="1">
      <c r="A232" s="254" t="s">
        <v>1785</v>
      </c>
      <c r="B232" s="254" t="s">
        <v>93</v>
      </c>
      <c r="C232" s="204"/>
      <c r="D232" s="254"/>
      <c r="E232" s="502"/>
      <c r="F232" s="501"/>
      <c r="G232" s="90"/>
      <c r="H232" s="90"/>
      <c r="I232" s="90"/>
      <c r="J232" s="90"/>
      <c r="K232" s="90"/>
      <c r="L232" s="90"/>
      <c r="M232" s="90"/>
      <c r="N232" s="90"/>
      <c r="O232" s="90"/>
      <c r="P232" s="90"/>
      <c r="Q232" s="90"/>
      <c r="R232" s="90"/>
      <c r="S232" s="90"/>
      <c r="T232" s="90"/>
      <c r="U232" s="90"/>
      <c r="V232" s="90"/>
      <c r="W232" s="90"/>
      <c r="X232" s="90"/>
      <c r="Y232" s="90"/>
      <c r="Z232" s="90"/>
      <c r="AA232" s="90"/>
      <c r="AB232" s="90"/>
      <c r="AC232" s="90"/>
      <c r="AD232" s="90"/>
      <c r="AE232" s="90"/>
      <c r="AF232" s="90"/>
      <c r="AG232" s="90"/>
      <c r="AH232" s="90"/>
      <c r="AI232" s="90"/>
      <c r="AJ232" s="90"/>
      <c r="AK232" s="90"/>
      <c r="AL232" s="90"/>
      <c r="AM232" s="90"/>
      <c r="AN232" s="90"/>
      <c r="AO232" s="90"/>
      <c r="AP232" s="90"/>
      <c r="AQ232" s="90"/>
      <c r="AR232" s="90"/>
      <c r="AS232" s="90"/>
      <c r="AT232" s="90"/>
      <c r="AU232" s="90"/>
      <c r="AV232" s="90"/>
      <c r="AW232" s="90"/>
      <c r="AX232" s="90"/>
      <c r="AY232" s="90"/>
      <c r="AZ232" s="90"/>
      <c r="BA232" s="90"/>
      <c r="BB232" s="90"/>
      <c r="BC232" s="90"/>
      <c r="BD232" s="90"/>
      <c r="BE232" s="90"/>
      <c r="BF232" s="90"/>
      <c r="BG232" s="90"/>
      <c r="BH232" s="90"/>
      <c r="BI232" s="506"/>
    </row>
    <row r="233" spans="1:61" ht="12.95" customHeight="1">
      <c r="A233" s="254" t="s">
        <v>2071</v>
      </c>
      <c r="B233" s="254"/>
      <c r="C233" s="204"/>
      <c r="D233" s="254"/>
      <c r="E233" s="502"/>
      <c r="F233" s="501"/>
      <c r="G233" s="506"/>
      <c r="H233" s="506"/>
      <c r="I233" s="506"/>
      <c r="J233" s="506"/>
      <c r="K233" s="506"/>
      <c r="L233" s="506"/>
      <c r="M233" s="506"/>
      <c r="N233" s="506"/>
      <c r="O233" s="506"/>
      <c r="P233" s="506"/>
      <c r="Q233" s="506"/>
      <c r="R233" s="506"/>
      <c r="S233" s="506"/>
      <c r="T233" s="506"/>
      <c r="U233" s="506"/>
      <c r="V233" s="506"/>
      <c r="W233" s="506"/>
      <c r="X233" s="506"/>
      <c r="Y233" s="506"/>
      <c r="Z233" s="506"/>
      <c r="AA233" s="506"/>
      <c r="AB233" s="506"/>
      <c r="AC233" s="506"/>
      <c r="AD233" s="506"/>
      <c r="AE233" s="506"/>
      <c r="AF233" s="506"/>
      <c r="AG233" s="506"/>
      <c r="AH233" s="506"/>
      <c r="AI233" s="506"/>
      <c r="AJ233" s="506"/>
      <c r="AK233" s="506"/>
      <c r="AL233" s="506"/>
      <c r="AM233" s="506"/>
      <c r="AN233" s="506"/>
      <c r="AO233" s="506"/>
      <c r="AP233" s="506"/>
      <c r="AQ233" s="506"/>
      <c r="AR233" s="506"/>
      <c r="AS233" s="506"/>
      <c r="AT233" s="506"/>
      <c r="AU233" s="506"/>
      <c r="AV233" s="506"/>
      <c r="AW233" s="506"/>
      <c r="AX233" s="506"/>
      <c r="AY233" s="506"/>
      <c r="AZ233" s="506"/>
      <c r="BA233" s="506"/>
      <c r="BB233" s="506"/>
      <c r="BC233" s="506"/>
      <c r="BD233" s="506"/>
      <c r="BE233" s="506"/>
      <c r="BF233" s="506"/>
      <c r="BG233" s="506"/>
      <c r="BH233" s="506"/>
      <c r="BI233" s="506"/>
    </row>
    <row r="234" spans="1:61" ht="12.95" customHeight="1" thickBot="1">
      <c r="A234" s="254" t="s">
        <v>1786</v>
      </c>
      <c r="B234" s="254" t="s">
        <v>93</v>
      </c>
      <c r="C234" s="204">
        <v>2</v>
      </c>
      <c r="D234" s="254" t="s">
        <v>1401</v>
      </c>
      <c r="E234" s="502">
        <v>3.3333333333333299</v>
      </c>
      <c r="F234" s="501">
        <v>42.999153560569297</v>
      </c>
      <c r="G234" s="506">
        <v>35</v>
      </c>
      <c r="H234" s="506">
        <v>0</v>
      </c>
      <c r="I234" s="506">
        <v>0</v>
      </c>
      <c r="J234" s="506">
        <v>46.466666666666697</v>
      </c>
      <c r="K234" s="506">
        <v>0</v>
      </c>
      <c r="L234" s="506">
        <v>0</v>
      </c>
      <c r="M234" s="506">
        <v>46.466666666666697</v>
      </c>
      <c r="N234" s="506">
        <v>187.85282388492701</v>
      </c>
      <c r="O234" s="506">
        <v>-9.8757150333334803E-3</v>
      </c>
      <c r="P234" s="506">
        <v>187.86269959996</v>
      </c>
      <c r="Q234" s="506">
        <v>0.68133185999384005</v>
      </c>
      <c r="R234" s="506">
        <v>4268.6571299902698</v>
      </c>
      <c r="S234" s="506">
        <v>39.064622231709002</v>
      </c>
      <c r="T234" s="506">
        <v>0.33405159192757999</v>
      </c>
      <c r="U234" s="506">
        <v>0.106832357420501</v>
      </c>
      <c r="V234" s="506">
        <v>2.6013716103006001E-6</v>
      </c>
      <c r="W234" s="506">
        <v>187.86269959996</v>
      </c>
      <c r="X234" s="506">
        <v>0.68133185999384005</v>
      </c>
      <c r="Y234" s="506">
        <v>4268.6571299902698</v>
      </c>
      <c r="Z234" s="506">
        <v>39.064622231709002</v>
      </c>
      <c r="AA234" s="506">
        <v>0.33405159192757999</v>
      </c>
      <c r="AB234" s="506">
        <v>0.106832357420501</v>
      </c>
      <c r="AC234" s="506">
        <v>2.6013716103006001E-6</v>
      </c>
      <c r="AD234" s="506">
        <v>0</v>
      </c>
      <c r="AE234" s="506">
        <v>0</v>
      </c>
      <c r="AF234" s="506">
        <v>0</v>
      </c>
      <c r="AG234" s="506">
        <v>0</v>
      </c>
      <c r="AH234" s="506">
        <v>0.17033296499846001</v>
      </c>
      <c r="AI234" s="506">
        <v>1067.16428249757</v>
      </c>
      <c r="AJ234" s="506">
        <v>1.2674444444444399</v>
      </c>
      <c r="AK234" s="506">
        <v>114.07</v>
      </c>
      <c r="AL234" s="506">
        <v>37.5</v>
      </c>
      <c r="AM234" s="506">
        <v>4752.5833333333303</v>
      </c>
      <c r="AN234" s="506">
        <v>0</v>
      </c>
      <c r="AO234" s="506">
        <v>0</v>
      </c>
      <c r="AP234" s="506">
        <v>46.466666666666697</v>
      </c>
      <c r="AQ234" s="506">
        <v>0.1</v>
      </c>
      <c r="AR234" s="506">
        <v>1.2674444444444399</v>
      </c>
      <c r="AS234" s="506">
        <v>114.07</v>
      </c>
      <c r="AT234" s="506">
        <v>37.5</v>
      </c>
      <c r="AU234" s="506">
        <v>4752.5833333333303</v>
      </c>
      <c r="AV234" s="506">
        <v>0</v>
      </c>
      <c r="AW234" s="506">
        <v>1.2674444444444399</v>
      </c>
      <c r="AX234" s="506">
        <v>0</v>
      </c>
      <c r="AY234" s="506">
        <v>0.1</v>
      </c>
      <c r="AZ234" s="506">
        <v>2.5348888888888901</v>
      </c>
      <c r="BA234" s="506">
        <v>228.14</v>
      </c>
      <c r="BB234" s="506">
        <v>37.5</v>
      </c>
      <c r="BC234" s="506">
        <v>9505.5</v>
      </c>
      <c r="BD234" s="506">
        <v>0</v>
      </c>
      <c r="BE234" s="506">
        <v>2.5348888888888901</v>
      </c>
      <c r="BF234" s="506">
        <v>0</v>
      </c>
      <c r="BG234" s="506">
        <v>0.1</v>
      </c>
      <c r="BH234" s="506">
        <v>13.94</v>
      </c>
      <c r="BI234" s="506">
        <v>2.3233333333333301</v>
      </c>
    </row>
    <row r="235" spans="1:61" ht="12.95" customHeight="1" thickBot="1">
      <c r="A235" s="254" t="s">
        <v>1787</v>
      </c>
      <c r="B235" s="254" t="s">
        <v>93</v>
      </c>
      <c r="C235" s="204"/>
      <c r="D235" s="254"/>
      <c r="E235" s="502"/>
      <c r="F235" s="501"/>
      <c r="G235" s="90"/>
      <c r="H235" s="90"/>
      <c r="I235" s="90"/>
      <c r="J235" s="90"/>
      <c r="K235" s="90"/>
      <c r="L235" s="90"/>
      <c r="M235" s="90"/>
      <c r="N235" s="90"/>
      <c r="O235" s="90"/>
      <c r="P235" s="90"/>
      <c r="Q235" s="90"/>
      <c r="R235" s="90"/>
      <c r="S235" s="90"/>
      <c r="T235" s="90"/>
      <c r="U235" s="90"/>
      <c r="V235" s="90"/>
      <c r="W235" s="90"/>
      <c r="X235" s="90"/>
      <c r="Y235" s="90"/>
      <c r="Z235" s="90"/>
      <c r="AA235" s="90"/>
      <c r="AB235" s="90"/>
      <c r="AC235" s="90"/>
      <c r="AD235" s="90"/>
      <c r="AE235" s="90"/>
      <c r="AF235" s="90"/>
      <c r="AG235" s="90"/>
      <c r="AH235" s="90"/>
      <c r="AI235" s="90"/>
      <c r="AJ235" s="90"/>
      <c r="AK235" s="90"/>
      <c r="AL235" s="90"/>
      <c r="AM235" s="90"/>
      <c r="AN235" s="90"/>
      <c r="AO235" s="90"/>
      <c r="AP235" s="90"/>
      <c r="AQ235" s="90"/>
      <c r="AR235" s="90"/>
      <c r="AS235" s="90"/>
      <c r="AT235" s="90"/>
      <c r="AU235" s="90"/>
      <c r="AV235" s="90"/>
      <c r="AW235" s="90"/>
      <c r="AX235" s="90"/>
      <c r="AY235" s="90"/>
      <c r="AZ235" s="90"/>
      <c r="BA235" s="90"/>
      <c r="BB235" s="90"/>
      <c r="BC235" s="90"/>
      <c r="BD235" s="90"/>
      <c r="BE235" s="90"/>
      <c r="BF235" s="90"/>
      <c r="BG235" s="90"/>
      <c r="BH235" s="90"/>
      <c r="BI235" s="506"/>
    </row>
    <row r="236" spans="1:61" ht="12.95" customHeight="1" thickTop="1" thickBot="1">
      <c r="A236" s="493" t="s">
        <v>2695</v>
      </c>
      <c r="B236" s="493"/>
      <c r="C236" s="491"/>
      <c r="D236" s="493"/>
      <c r="E236" s="555"/>
      <c r="F236" s="636" t="s">
        <v>2688</v>
      </c>
      <c r="G236" s="636"/>
      <c r="H236" s="636"/>
      <c r="I236" s="558"/>
      <c r="J236" s="558"/>
      <c r="K236" s="558"/>
      <c r="L236" s="558"/>
      <c r="M236" s="558"/>
      <c r="N236" s="558"/>
      <c r="O236" s="558"/>
      <c r="P236" s="558"/>
      <c r="Q236" s="558"/>
      <c r="R236" s="558"/>
      <c r="S236" s="558"/>
      <c r="T236" s="558"/>
      <c r="U236" s="558"/>
      <c r="V236" s="558"/>
      <c r="W236" s="558"/>
      <c r="X236" s="558"/>
      <c r="Y236" s="558"/>
      <c r="Z236" s="558"/>
      <c r="AA236" s="558"/>
      <c r="AB236" s="558"/>
      <c r="AC236" s="558"/>
      <c r="AD236" s="558"/>
      <c r="AE236" s="558"/>
      <c r="AF236" s="558"/>
      <c r="AG236" s="558"/>
      <c r="AH236" s="558"/>
      <c r="AI236" s="558"/>
      <c r="AJ236" s="558"/>
      <c r="AK236" s="558"/>
      <c r="AL236" s="558"/>
      <c r="AM236" s="558"/>
      <c r="AN236" s="558"/>
      <c r="AO236" s="558"/>
      <c r="AP236" s="558"/>
      <c r="AQ236" s="558"/>
      <c r="AR236" s="558"/>
      <c r="AS236" s="558"/>
      <c r="AT236" s="558"/>
      <c r="AU236" s="558"/>
      <c r="AV236" s="558"/>
      <c r="AW236" s="558"/>
      <c r="AX236" s="558"/>
      <c r="AY236" s="558"/>
      <c r="AZ236" s="558"/>
      <c r="BA236" s="558"/>
      <c r="BB236" s="558"/>
      <c r="BC236" s="558"/>
      <c r="BD236" s="558"/>
      <c r="BE236" s="558"/>
      <c r="BF236" s="558"/>
      <c r="BG236" s="558"/>
      <c r="BH236" s="558"/>
      <c r="BI236" s="558"/>
    </row>
    <row r="237" spans="1:61" ht="12.95" customHeight="1" thickTop="1">
      <c r="A237" s="254" t="s">
        <v>2071</v>
      </c>
      <c r="B237" s="254"/>
      <c r="C237" s="204"/>
      <c r="D237" s="254"/>
      <c r="E237" s="502"/>
      <c r="F237" s="501"/>
      <c r="G237" s="506"/>
      <c r="H237" s="506"/>
      <c r="I237" s="506"/>
      <c r="J237" s="506"/>
      <c r="K237" s="506"/>
      <c r="L237" s="506"/>
      <c r="M237" s="506"/>
      <c r="N237" s="506"/>
      <c r="O237" s="506"/>
      <c r="P237" s="506"/>
      <c r="Q237" s="506"/>
      <c r="R237" s="506"/>
      <c r="S237" s="506"/>
      <c r="T237" s="506"/>
      <c r="U237" s="506"/>
      <c r="V237" s="506"/>
      <c r="W237" s="506"/>
      <c r="X237" s="506"/>
      <c r="Y237" s="506"/>
      <c r="Z237" s="506"/>
      <c r="AA237" s="506"/>
      <c r="AB237" s="506"/>
      <c r="AC237" s="506"/>
      <c r="AD237" s="506"/>
      <c r="AE237" s="506"/>
      <c r="AF237" s="506"/>
      <c r="AG237" s="506"/>
      <c r="AH237" s="506"/>
      <c r="AI237" s="506"/>
      <c r="AJ237" s="506"/>
      <c r="AK237" s="506"/>
      <c r="AL237" s="506"/>
      <c r="AM237" s="506"/>
      <c r="AN237" s="506"/>
      <c r="AO237" s="506"/>
      <c r="AP237" s="506"/>
      <c r="AQ237" s="506"/>
      <c r="AR237" s="506"/>
      <c r="AS237" s="506"/>
      <c r="AT237" s="506"/>
      <c r="AU237" s="506"/>
      <c r="AV237" s="506"/>
      <c r="AW237" s="506"/>
      <c r="AX237" s="506"/>
      <c r="AY237" s="506"/>
      <c r="AZ237" s="506"/>
      <c r="BA237" s="506"/>
      <c r="BB237" s="506"/>
      <c r="BC237" s="506"/>
      <c r="BD237" s="506"/>
      <c r="BE237" s="506"/>
      <c r="BF237" s="506"/>
      <c r="BG237" s="506"/>
      <c r="BH237" s="506"/>
      <c r="BI237" s="506"/>
    </row>
    <row r="238" spans="1:61" ht="12.95" customHeight="1">
      <c r="A238" s="254" t="s">
        <v>1460</v>
      </c>
      <c r="B238" s="254" t="s">
        <v>92</v>
      </c>
      <c r="C238" s="204">
        <v>1</v>
      </c>
      <c r="D238" s="254" t="s">
        <v>1402</v>
      </c>
      <c r="E238" s="502">
        <v>1</v>
      </c>
      <c r="F238" s="501">
        <v>-24.546832328679901</v>
      </c>
      <c r="G238" s="506">
        <v>25</v>
      </c>
      <c r="H238" s="506">
        <v>7.45</v>
      </c>
      <c r="I238" s="506">
        <v>1</v>
      </c>
      <c r="J238" s="506">
        <v>0</v>
      </c>
      <c r="K238" s="506">
        <v>0</v>
      </c>
      <c r="L238" s="506">
        <v>0</v>
      </c>
      <c r="M238" s="506">
        <v>8.4499999999999993</v>
      </c>
      <c r="N238" s="506">
        <v>1.85887632720944</v>
      </c>
      <c r="O238" s="506">
        <v>-6.0772212083180204</v>
      </c>
      <c r="P238" s="506">
        <v>7.9360975355274599</v>
      </c>
      <c r="Q238" s="506">
        <v>4.3095810165900097E-2</v>
      </c>
      <c r="R238" s="506">
        <v>171.91740783995499</v>
      </c>
      <c r="S238" s="506">
        <v>189.84927609122499</v>
      </c>
      <c r="T238" s="506">
        <v>6.96360506780029E-3</v>
      </c>
      <c r="U238" s="506">
        <v>1.8062191646361001E-2</v>
      </c>
      <c r="V238" s="506">
        <v>5.68591040565727E-7</v>
      </c>
      <c r="W238" s="506">
        <v>23.808292606582398</v>
      </c>
      <c r="X238" s="506">
        <v>0.1292874304977</v>
      </c>
      <c r="Y238" s="506">
        <v>515.75222351986497</v>
      </c>
      <c r="Z238" s="506">
        <v>569.54782827367399</v>
      </c>
      <c r="AA238" s="506">
        <v>2.08908152034009E-2</v>
      </c>
      <c r="AB238" s="506">
        <v>5.4186574939083E-2</v>
      </c>
      <c r="AC238" s="506">
        <v>1.70577312169718E-6</v>
      </c>
      <c r="AD238" s="506">
        <v>0</v>
      </c>
      <c r="AE238" s="506">
        <v>0</v>
      </c>
      <c r="AF238" s="506">
        <v>0</v>
      </c>
      <c r="AG238" s="506">
        <v>0</v>
      </c>
      <c r="AH238" s="506">
        <v>1.0773952541475E-2</v>
      </c>
      <c r="AI238" s="506">
        <v>42.979351959988797</v>
      </c>
      <c r="AJ238" s="506">
        <v>1.0999999999999999E-2</v>
      </c>
      <c r="AK238" s="506">
        <v>3.3</v>
      </c>
      <c r="AL238" s="506">
        <v>25</v>
      </c>
      <c r="AM238" s="506">
        <v>41.15</v>
      </c>
      <c r="AN238" s="506">
        <v>7.45</v>
      </c>
      <c r="AO238" s="506">
        <v>0</v>
      </c>
      <c r="AP238" s="506">
        <v>0</v>
      </c>
      <c r="AQ238" s="506">
        <v>0.1</v>
      </c>
      <c r="AR238" s="506">
        <v>3.3000000000000002E-2</v>
      </c>
      <c r="AS238" s="506">
        <v>9.9</v>
      </c>
      <c r="AT238" s="506">
        <v>25</v>
      </c>
      <c r="AU238" s="506">
        <v>123.65</v>
      </c>
      <c r="AV238" s="506">
        <v>0</v>
      </c>
      <c r="AW238" s="506">
        <v>3.3000000000000002E-2</v>
      </c>
      <c r="AX238" s="506">
        <v>0</v>
      </c>
      <c r="AY238" s="506">
        <v>0.1</v>
      </c>
      <c r="AZ238" s="506">
        <v>4.3999999999999997E-2</v>
      </c>
      <c r="BA238" s="506">
        <v>13.2</v>
      </c>
      <c r="BB238" s="506">
        <v>25</v>
      </c>
      <c r="BC238" s="506">
        <v>164.9</v>
      </c>
      <c r="BD238" s="506">
        <v>0</v>
      </c>
      <c r="BE238" s="506">
        <v>4.3999999999999997E-2</v>
      </c>
      <c r="BF238" s="506">
        <v>0</v>
      </c>
      <c r="BG238" s="506">
        <v>0.1</v>
      </c>
      <c r="BH238" s="506">
        <v>2.5350000000000001</v>
      </c>
      <c r="BI238" s="506">
        <v>0.42249999999999999</v>
      </c>
    </row>
    <row r="239" spans="1:61" ht="12.95" customHeight="1">
      <c r="A239" s="254" t="s">
        <v>1461</v>
      </c>
      <c r="B239" s="254" t="s">
        <v>92</v>
      </c>
      <c r="C239" s="204">
        <v>2</v>
      </c>
      <c r="D239" s="254" t="s">
        <v>1403</v>
      </c>
      <c r="E239" s="502">
        <v>1</v>
      </c>
      <c r="F239" s="501">
        <v>-20.3213517928817</v>
      </c>
      <c r="G239" s="506">
        <v>25</v>
      </c>
      <c r="H239" s="506">
        <v>0</v>
      </c>
      <c r="I239" s="506">
        <v>0</v>
      </c>
      <c r="J239" s="506">
        <v>0</v>
      </c>
      <c r="K239" s="506">
        <v>0</v>
      </c>
      <c r="L239" s="506">
        <v>17.2</v>
      </c>
      <c r="M239" s="506">
        <v>17.2</v>
      </c>
      <c r="N239" s="506">
        <v>13.2712709389089</v>
      </c>
      <c r="O239" s="506">
        <v>-2.8525131959900003E-4</v>
      </c>
      <c r="P239" s="506">
        <v>13.2715561902285</v>
      </c>
      <c r="Q239" s="506">
        <v>4.71280524513163E-2</v>
      </c>
      <c r="R239" s="506">
        <v>225.490881713741</v>
      </c>
      <c r="S239" s="506">
        <v>11.984014119342801</v>
      </c>
      <c r="T239" s="506">
        <v>4.27088975698679E-3</v>
      </c>
      <c r="U239" s="506">
        <v>2.0034538029860199E-2</v>
      </c>
      <c r="V239" s="506">
        <v>1.35182034126153E-6</v>
      </c>
      <c r="W239" s="506">
        <v>39.814668570685399</v>
      </c>
      <c r="X239" s="506">
        <v>0.14138415735394899</v>
      </c>
      <c r="Y239" s="506">
        <v>676.47264514122196</v>
      </c>
      <c r="Z239" s="506">
        <v>35.9520423580285</v>
      </c>
      <c r="AA239" s="506">
        <v>1.28126692709604E-2</v>
      </c>
      <c r="AB239" s="506">
        <v>6.01036140895806E-2</v>
      </c>
      <c r="AC239" s="506">
        <v>4.0554610237845797E-6</v>
      </c>
      <c r="AD239" s="506">
        <v>0</v>
      </c>
      <c r="AE239" s="506">
        <v>0</v>
      </c>
      <c r="AF239" s="506">
        <v>0</v>
      </c>
      <c r="AG239" s="506">
        <v>0</v>
      </c>
      <c r="AH239" s="506">
        <v>1.1782013112829099E-2</v>
      </c>
      <c r="AI239" s="506">
        <v>56.372720428435201</v>
      </c>
      <c r="AJ239" s="506">
        <v>8.7460317460317499E-3</v>
      </c>
      <c r="AK239" s="506">
        <v>8.3571428571428594</v>
      </c>
      <c r="AL239" s="506">
        <v>37.5</v>
      </c>
      <c r="AM239" s="506">
        <v>104.46428571428601</v>
      </c>
      <c r="AN239" s="506">
        <v>0</v>
      </c>
      <c r="AO239" s="506">
        <v>0</v>
      </c>
      <c r="AP239" s="506">
        <v>0</v>
      </c>
      <c r="AQ239" s="506">
        <v>0</v>
      </c>
      <c r="AR239" s="506">
        <v>2.6238095238095199E-2</v>
      </c>
      <c r="AS239" s="506">
        <v>25.071428571428601</v>
      </c>
      <c r="AT239" s="506">
        <v>37.5</v>
      </c>
      <c r="AU239" s="506">
        <v>313.29285714285697</v>
      </c>
      <c r="AV239" s="506">
        <v>2.5666666666666699E-2</v>
      </c>
      <c r="AW239" s="506">
        <v>5.7142857142857104E-4</v>
      </c>
      <c r="AX239" s="506">
        <v>0</v>
      </c>
      <c r="AY239" s="506">
        <v>0.1</v>
      </c>
      <c r="AZ239" s="506">
        <v>3.4984126984126999E-2</v>
      </c>
      <c r="BA239" s="506">
        <v>33.428571428571402</v>
      </c>
      <c r="BB239" s="506">
        <v>37.5</v>
      </c>
      <c r="BC239" s="506">
        <v>417.75714285714298</v>
      </c>
      <c r="BD239" s="506">
        <v>3.4222222222222203E-2</v>
      </c>
      <c r="BE239" s="506">
        <v>7.6190476190476203E-4</v>
      </c>
      <c r="BF239" s="506">
        <v>0</v>
      </c>
      <c r="BG239" s="506">
        <v>0.1</v>
      </c>
      <c r="BH239" s="506">
        <v>16.5</v>
      </c>
      <c r="BI239" s="506">
        <v>0.86</v>
      </c>
    </row>
    <row r="240" spans="1:61" ht="12.95" customHeight="1">
      <c r="A240" s="254" t="s">
        <v>1462</v>
      </c>
      <c r="B240" s="254" t="s">
        <v>92</v>
      </c>
      <c r="C240" s="204">
        <v>3</v>
      </c>
      <c r="D240" s="254" t="s">
        <v>1404</v>
      </c>
      <c r="E240" s="502">
        <v>1</v>
      </c>
      <c r="F240" s="501">
        <v>-35.643434707509499</v>
      </c>
      <c r="G240" s="506">
        <v>35</v>
      </c>
      <c r="H240" s="506">
        <v>12.4</v>
      </c>
      <c r="I240" s="506">
        <v>0</v>
      </c>
      <c r="J240" s="506">
        <v>0</v>
      </c>
      <c r="K240" s="506">
        <v>0</v>
      </c>
      <c r="L240" s="506">
        <v>0</v>
      </c>
      <c r="M240" s="506">
        <v>12.4</v>
      </c>
      <c r="N240" s="506">
        <v>-18.549105159175301</v>
      </c>
      <c r="O240" s="506">
        <v>-21.332335432434999</v>
      </c>
      <c r="P240" s="506">
        <v>2.7832302732596599</v>
      </c>
      <c r="Q240" s="506">
        <v>1.6674516325446101E-2</v>
      </c>
      <c r="R240" s="506">
        <v>46.744419268806602</v>
      </c>
      <c r="S240" s="506">
        <v>273.71824628590201</v>
      </c>
      <c r="T240" s="506">
        <v>6.58651575219657E-3</v>
      </c>
      <c r="U240" s="506">
        <v>7.5435268037710402E-3</v>
      </c>
      <c r="V240" s="506">
        <v>2.2733831268616801E-7</v>
      </c>
      <c r="W240" s="506">
        <v>5.5664605465193198</v>
      </c>
      <c r="X240" s="506">
        <v>3.3349032650892299E-2</v>
      </c>
      <c r="Y240" s="506">
        <v>93.488838537613205</v>
      </c>
      <c r="Z240" s="506">
        <v>547.43649257180402</v>
      </c>
      <c r="AA240" s="506">
        <v>1.31730315043931E-2</v>
      </c>
      <c r="AB240" s="506">
        <v>1.50870536075421E-2</v>
      </c>
      <c r="AC240" s="506">
        <v>4.5467662537233602E-7</v>
      </c>
      <c r="AD240" s="506">
        <v>0</v>
      </c>
      <c r="AE240" s="506">
        <v>0</v>
      </c>
      <c r="AF240" s="506">
        <v>0</v>
      </c>
      <c r="AG240" s="506">
        <v>0</v>
      </c>
      <c r="AH240" s="506">
        <v>4.1686290813615296E-3</v>
      </c>
      <c r="AI240" s="506">
        <v>11.686104817201601</v>
      </c>
      <c r="AJ240" s="506">
        <v>0.02</v>
      </c>
      <c r="AK240" s="506">
        <v>4</v>
      </c>
      <c r="AL240" s="506">
        <v>12.5</v>
      </c>
      <c r="AM240" s="506">
        <v>49.9</v>
      </c>
      <c r="AN240" s="506">
        <v>12.4</v>
      </c>
      <c r="AO240" s="506">
        <v>0</v>
      </c>
      <c r="AP240" s="506">
        <v>0</v>
      </c>
      <c r="AQ240" s="506">
        <v>0.1</v>
      </c>
      <c r="AR240" s="506">
        <v>3.7142857142857102E-2</v>
      </c>
      <c r="AS240" s="506">
        <v>7.4285714285714297</v>
      </c>
      <c r="AT240" s="506">
        <v>12.5</v>
      </c>
      <c r="AU240" s="506">
        <v>92.857142857142904</v>
      </c>
      <c r="AV240" s="506">
        <v>0</v>
      </c>
      <c r="AW240" s="506">
        <v>0</v>
      </c>
      <c r="AX240" s="506">
        <v>0</v>
      </c>
      <c r="AY240" s="506">
        <v>0</v>
      </c>
      <c r="AZ240" s="506">
        <v>5.7142857142857099E-2</v>
      </c>
      <c r="BA240" s="506">
        <v>11.4285714285714</v>
      </c>
      <c r="BB240" s="506">
        <v>12.5</v>
      </c>
      <c r="BC240" s="506">
        <v>142.857142857143</v>
      </c>
      <c r="BD240" s="506">
        <v>0</v>
      </c>
      <c r="BE240" s="506">
        <v>0</v>
      </c>
      <c r="BF240" s="506">
        <v>0</v>
      </c>
      <c r="BG240" s="506">
        <v>0</v>
      </c>
      <c r="BH240" s="506">
        <v>2.48</v>
      </c>
      <c r="BI240" s="506">
        <v>0.62</v>
      </c>
    </row>
    <row r="241" spans="1:61" ht="12.95" customHeight="1">
      <c r="A241" s="254" t="s">
        <v>1463</v>
      </c>
      <c r="B241" s="254" t="s">
        <v>92</v>
      </c>
      <c r="C241" s="204">
        <v>4</v>
      </c>
      <c r="D241" s="254" t="s">
        <v>1405</v>
      </c>
      <c r="E241" s="502">
        <v>1</v>
      </c>
      <c r="F241" s="501">
        <v>-24.0257613068399</v>
      </c>
      <c r="G241" s="506">
        <v>35</v>
      </c>
      <c r="H241" s="506">
        <v>17.399999999999999</v>
      </c>
      <c r="I241" s="506">
        <v>0</v>
      </c>
      <c r="J241" s="506">
        <v>0</v>
      </c>
      <c r="K241" s="506">
        <v>0</v>
      </c>
      <c r="L241" s="506">
        <v>2.96</v>
      </c>
      <c r="M241" s="506">
        <v>20.36</v>
      </c>
      <c r="N241" s="506">
        <v>-18.784830523322999</v>
      </c>
      <c r="O241" s="506">
        <v>-29.585776024730901</v>
      </c>
      <c r="P241" s="506">
        <v>10.800945501407901</v>
      </c>
      <c r="Q241" s="506">
        <v>6.6732286332854301E-2</v>
      </c>
      <c r="R241" s="506">
        <v>196.22216808000201</v>
      </c>
      <c r="S241" s="506">
        <v>385.81586218562899</v>
      </c>
      <c r="T241" s="506">
        <v>1.36993453643775E-2</v>
      </c>
      <c r="U241" s="506">
        <v>2.99728839907333E-2</v>
      </c>
      <c r="V241" s="506">
        <v>1.01721444976324E-6</v>
      </c>
      <c r="W241" s="506">
        <v>16.3674060479273</v>
      </c>
      <c r="X241" s="506">
        <v>0.100081318983747</v>
      </c>
      <c r="Y241" s="506">
        <v>289.711006617615</v>
      </c>
      <c r="Z241" s="506">
        <v>933.25235475743295</v>
      </c>
      <c r="AA241" s="506">
        <v>2.68723768687706E-2</v>
      </c>
      <c r="AB241" s="506">
        <v>4.5059937598275403E-2</v>
      </c>
      <c r="AC241" s="506">
        <v>1.4718910751355699E-6</v>
      </c>
      <c r="AD241" s="506">
        <v>0</v>
      </c>
      <c r="AE241" s="506">
        <v>0</v>
      </c>
      <c r="AF241" s="506">
        <v>0</v>
      </c>
      <c r="AG241" s="506">
        <v>0</v>
      </c>
      <c r="AH241" s="506">
        <v>1.66830715832136E-2</v>
      </c>
      <c r="AI241" s="506">
        <v>49.055542020000601</v>
      </c>
      <c r="AJ241" s="506">
        <v>0.1</v>
      </c>
      <c r="AK241" s="506">
        <v>27</v>
      </c>
      <c r="AL241" s="506">
        <v>50</v>
      </c>
      <c r="AM241" s="506">
        <v>337.4</v>
      </c>
      <c r="AN241" s="506">
        <v>17.399999999999999</v>
      </c>
      <c r="AO241" s="506">
        <v>0</v>
      </c>
      <c r="AP241" s="506">
        <v>0</v>
      </c>
      <c r="AQ241" s="506">
        <v>0.1</v>
      </c>
      <c r="AR241" s="506">
        <v>0.14000000000000001</v>
      </c>
      <c r="AS241" s="506">
        <v>35</v>
      </c>
      <c r="AT241" s="506">
        <v>50</v>
      </c>
      <c r="AU241" s="506">
        <v>437.5</v>
      </c>
      <c r="AV241" s="506">
        <v>7.0000000000000007E-2</v>
      </c>
      <c r="AW241" s="506">
        <v>0.01</v>
      </c>
      <c r="AX241" s="506">
        <v>0</v>
      </c>
      <c r="AY241" s="506">
        <v>0</v>
      </c>
      <c r="AZ241" s="506">
        <v>0.24</v>
      </c>
      <c r="BA241" s="506">
        <v>62</v>
      </c>
      <c r="BB241" s="506">
        <v>50</v>
      </c>
      <c r="BC241" s="506">
        <v>775</v>
      </c>
      <c r="BD241" s="506">
        <v>0.14000000000000001</v>
      </c>
      <c r="BE241" s="506">
        <v>0.02</v>
      </c>
      <c r="BF241" s="506">
        <v>0</v>
      </c>
      <c r="BG241" s="506">
        <v>0</v>
      </c>
      <c r="BH241" s="506">
        <v>4.3680000000000003</v>
      </c>
      <c r="BI241" s="506">
        <v>1.018</v>
      </c>
    </row>
    <row r="242" spans="1:61" ht="12.95" customHeight="1">
      <c r="A242" s="254" t="s">
        <v>1464</v>
      </c>
      <c r="B242" s="254" t="s">
        <v>92</v>
      </c>
      <c r="C242" s="204">
        <v>5</v>
      </c>
      <c r="D242" s="254" t="s">
        <v>1406</v>
      </c>
      <c r="E242" s="502">
        <v>1</v>
      </c>
      <c r="F242" s="501">
        <v>-30.069021651754198</v>
      </c>
      <c r="G242" s="506">
        <v>35</v>
      </c>
      <c r="H242" s="506">
        <v>23.4</v>
      </c>
      <c r="I242" s="506">
        <v>0</v>
      </c>
      <c r="J242" s="506">
        <v>0</v>
      </c>
      <c r="K242" s="506">
        <v>0</v>
      </c>
      <c r="L242" s="506">
        <v>0</v>
      </c>
      <c r="M242" s="506">
        <v>23.4</v>
      </c>
      <c r="N242" s="506">
        <v>-29.263565387981501</v>
      </c>
      <c r="O242" s="506">
        <v>-39.7394647986847</v>
      </c>
      <c r="P242" s="506">
        <v>10.4758994107032</v>
      </c>
      <c r="Q242" s="506">
        <v>4.5533298262190401E-2</v>
      </c>
      <c r="R242" s="506">
        <v>152.11398433852</v>
      </c>
      <c r="S242" s="506">
        <v>482.806337246552</v>
      </c>
      <c r="T242" s="506">
        <v>1.50536468637683E-2</v>
      </c>
      <c r="U242" s="506">
        <v>1.8418021220782899E-2</v>
      </c>
      <c r="V242" s="506">
        <v>7.0176483379922197E-7</v>
      </c>
      <c r="W242" s="506">
        <v>16.042359957222502</v>
      </c>
      <c r="X242" s="506">
        <v>7.8882330913082693E-2</v>
      </c>
      <c r="Y242" s="506">
        <v>245.60282287613299</v>
      </c>
      <c r="Z242" s="506">
        <v>1030.24282981836</v>
      </c>
      <c r="AA242" s="506">
        <v>2.8226678368161499E-2</v>
      </c>
      <c r="AB242" s="506">
        <v>3.3505074828325002E-2</v>
      </c>
      <c r="AC242" s="506">
        <v>1.15644145917156E-6</v>
      </c>
      <c r="AD242" s="506">
        <v>0</v>
      </c>
      <c r="AE242" s="506">
        <v>0</v>
      </c>
      <c r="AF242" s="506">
        <v>0</v>
      </c>
      <c r="AG242" s="506">
        <v>0</v>
      </c>
      <c r="AH242" s="506">
        <v>1.13833245655476E-2</v>
      </c>
      <c r="AI242" s="506">
        <v>38.0284960846299</v>
      </c>
      <c r="AJ242" s="506">
        <v>0.1</v>
      </c>
      <c r="AK242" s="506">
        <v>27</v>
      </c>
      <c r="AL242" s="506">
        <v>50</v>
      </c>
      <c r="AM242" s="506">
        <v>337.4</v>
      </c>
      <c r="AN242" s="506">
        <v>23.4</v>
      </c>
      <c r="AO242" s="506">
        <v>0</v>
      </c>
      <c r="AP242" s="506">
        <v>0</v>
      </c>
      <c r="AQ242" s="506">
        <v>0.1</v>
      </c>
      <c r="AR242" s="506">
        <v>0.14000000000000001</v>
      </c>
      <c r="AS242" s="506">
        <v>35</v>
      </c>
      <c r="AT242" s="506">
        <v>50</v>
      </c>
      <c r="AU242" s="506">
        <v>437.4</v>
      </c>
      <c r="AV242" s="506">
        <v>0</v>
      </c>
      <c r="AW242" s="506">
        <v>0.08</v>
      </c>
      <c r="AX242" s="506">
        <v>0</v>
      </c>
      <c r="AY242" s="506">
        <v>0.1</v>
      </c>
      <c r="AZ242" s="506">
        <v>0.24</v>
      </c>
      <c r="BA242" s="506">
        <v>62</v>
      </c>
      <c r="BB242" s="506">
        <v>50</v>
      </c>
      <c r="BC242" s="506">
        <v>774.9</v>
      </c>
      <c r="BD242" s="506">
        <v>0</v>
      </c>
      <c r="BE242" s="506">
        <v>0.16</v>
      </c>
      <c r="BF242" s="506">
        <v>0</v>
      </c>
      <c r="BG242" s="506">
        <v>0.1</v>
      </c>
      <c r="BH242" s="506">
        <v>5.28</v>
      </c>
      <c r="BI242" s="506">
        <v>1.17</v>
      </c>
    </row>
    <row r="243" spans="1:61" ht="12.95" customHeight="1">
      <c r="A243" s="254" t="s">
        <v>1465</v>
      </c>
      <c r="B243" s="254" t="s">
        <v>92</v>
      </c>
      <c r="C243" s="204">
        <v>6</v>
      </c>
      <c r="D243" s="254" t="s">
        <v>1407</v>
      </c>
      <c r="E243" s="502">
        <v>1</v>
      </c>
      <c r="F243" s="501">
        <v>-27.5475524242772</v>
      </c>
      <c r="G243" s="506">
        <v>25</v>
      </c>
      <c r="H243" s="506">
        <v>2.4</v>
      </c>
      <c r="I243" s="506">
        <v>1</v>
      </c>
      <c r="J243" s="506">
        <v>0</v>
      </c>
      <c r="K243" s="506">
        <v>0</v>
      </c>
      <c r="L243" s="506">
        <v>0</v>
      </c>
      <c r="M243" s="506">
        <v>3.4</v>
      </c>
      <c r="N243" s="506">
        <v>3.6148902758293602</v>
      </c>
      <c r="O243" s="506">
        <v>-2.57537338047988</v>
      </c>
      <c r="P243" s="506">
        <v>6.1902636563092397</v>
      </c>
      <c r="Q243" s="506">
        <v>3.02373541883614E-2</v>
      </c>
      <c r="R243" s="506">
        <v>124.54955913909301</v>
      </c>
      <c r="S243" s="506">
        <v>21.78213338758</v>
      </c>
      <c r="T243" s="506">
        <v>3.9367492507507403E-3</v>
      </c>
      <c r="U243" s="506">
        <v>1.34663591588364E-2</v>
      </c>
      <c r="V243" s="506">
        <v>7.9293539552870402E-7</v>
      </c>
      <c r="W243" s="506">
        <v>18.5707909689277</v>
      </c>
      <c r="X243" s="506">
        <v>9.0712062565084295E-2</v>
      </c>
      <c r="Y243" s="506">
        <v>373.64867741727801</v>
      </c>
      <c r="Z243" s="506">
        <v>65.346400162740096</v>
      </c>
      <c r="AA243" s="506">
        <v>1.1810247752252199E-2</v>
      </c>
      <c r="AB243" s="506">
        <v>4.0399077476509102E-2</v>
      </c>
      <c r="AC243" s="506">
        <v>2.3788061865861102E-6</v>
      </c>
      <c r="AD243" s="506">
        <v>0</v>
      </c>
      <c r="AE243" s="506">
        <v>0</v>
      </c>
      <c r="AF243" s="506">
        <v>0</v>
      </c>
      <c r="AG243" s="506">
        <v>0</v>
      </c>
      <c r="AH243" s="506">
        <v>7.5593385470903596E-3</v>
      </c>
      <c r="AI243" s="506">
        <v>31.137389784773099</v>
      </c>
      <c r="AJ243" s="506">
        <v>3.0869565217391298E-3</v>
      </c>
      <c r="AK243" s="506">
        <v>3.0869565217391299</v>
      </c>
      <c r="AL243" s="506">
        <v>25</v>
      </c>
      <c r="AM243" s="506">
        <v>38.486956521739103</v>
      </c>
      <c r="AN243" s="506">
        <v>2.4</v>
      </c>
      <c r="AO243" s="506">
        <v>0</v>
      </c>
      <c r="AP243" s="506">
        <v>0</v>
      </c>
      <c r="AQ243" s="506">
        <v>0.1</v>
      </c>
      <c r="AR243" s="506">
        <v>9.26086956521739E-3</v>
      </c>
      <c r="AS243" s="506">
        <v>9.2608695652173907</v>
      </c>
      <c r="AT243" s="506">
        <v>25</v>
      </c>
      <c r="AU243" s="506">
        <v>115.660869565217</v>
      </c>
      <c r="AV243" s="506">
        <v>0</v>
      </c>
      <c r="AW243" s="506">
        <v>6.2608695652173899E-3</v>
      </c>
      <c r="AX243" s="506">
        <v>0</v>
      </c>
      <c r="AY243" s="506">
        <v>0.1</v>
      </c>
      <c r="AZ243" s="506">
        <v>1.23478260869565E-2</v>
      </c>
      <c r="BA243" s="506">
        <v>12.3478260869565</v>
      </c>
      <c r="BB243" s="506">
        <v>25</v>
      </c>
      <c r="BC243" s="506">
        <v>154.24782608695699</v>
      </c>
      <c r="BD243" s="506">
        <v>0</v>
      </c>
      <c r="BE243" s="506">
        <v>8.3478260869565193E-3</v>
      </c>
      <c r="BF243" s="506">
        <v>0</v>
      </c>
      <c r="BG243" s="506">
        <v>0.1</v>
      </c>
      <c r="BH243" s="506">
        <v>3.4</v>
      </c>
      <c r="BI243" s="506">
        <v>0.17</v>
      </c>
    </row>
    <row r="244" spans="1:61" ht="12.95" customHeight="1">
      <c r="A244" s="254" t="s">
        <v>1466</v>
      </c>
      <c r="B244" s="254" t="s">
        <v>92</v>
      </c>
      <c r="C244" s="204">
        <v>7</v>
      </c>
      <c r="D244" s="254" t="s">
        <v>1408</v>
      </c>
      <c r="E244" s="502">
        <v>1</v>
      </c>
      <c r="F244" s="501">
        <v>-27.1461482530217</v>
      </c>
      <c r="G244" s="506">
        <v>25</v>
      </c>
      <c r="H244" s="506">
        <v>0</v>
      </c>
      <c r="I244" s="506">
        <v>3.4</v>
      </c>
      <c r="J244" s="506">
        <v>0</v>
      </c>
      <c r="K244" s="506">
        <v>0</v>
      </c>
      <c r="L244" s="506">
        <v>0</v>
      </c>
      <c r="M244" s="506">
        <v>3.4</v>
      </c>
      <c r="N244" s="506">
        <v>6.0595087522360203</v>
      </c>
      <c r="O244" s="506">
        <v>-0.22990158888918399</v>
      </c>
      <c r="P244" s="506">
        <v>6.2894103411252003</v>
      </c>
      <c r="Q244" s="506">
        <v>2.44297152553122E-2</v>
      </c>
      <c r="R244" s="506">
        <v>147.59914762692</v>
      </c>
      <c r="S244" s="506">
        <v>9.0838173846290609</v>
      </c>
      <c r="T244" s="506">
        <v>8.6728547123245004E-3</v>
      </c>
      <c r="U244" s="506">
        <v>8.8510634843195404E-3</v>
      </c>
      <c r="V244" s="506">
        <v>2.0608896660566801E-6</v>
      </c>
      <c r="W244" s="506">
        <v>18.8682310233756</v>
      </c>
      <c r="X244" s="506">
        <v>7.3289145765936703E-2</v>
      </c>
      <c r="Y244" s="506">
        <v>442.79744288076</v>
      </c>
      <c r="Z244" s="506">
        <v>27.2514521538872</v>
      </c>
      <c r="AA244" s="506">
        <v>2.6018564136973499E-2</v>
      </c>
      <c r="AB244" s="506">
        <v>2.6553190452958599E-2</v>
      </c>
      <c r="AC244" s="506">
        <v>6.1826689981700297E-6</v>
      </c>
      <c r="AD244" s="506">
        <v>0</v>
      </c>
      <c r="AE244" s="506">
        <v>0</v>
      </c>
      <c r="AF244" s="506">
        <v>0</v>
      </c>
      <c r="AG244" s="506">
        <v>0</v>
      </c>
      <c r="AH244" s="506">
        <v>6.1074288138280603E-3</v>
      </c>
      <c r="AI244" s="506">
        <v>36.89978690673</v>
      </c>
      <c r="AJ244" s="506">
        <v>2.4117647058823498E-3</v>
      </c>
      <c r="AK244" s="506">
        <v>2.4117647058823501</v>
      </c>
      <c r="AL244" s="506">
        <v>25</v>
      </c>
      <c r="AM244" s="506">
        <v>30.047058823529401</v>
      </c>
      <c r="AN244" s="506">
        <v>0</v>
      </c>
      <c r="AO244" s="506">
        <v>2.4</v>
      </c>
      <c r="AP244" s="506">
        <v>0</v>
      </c>
      <c r="AQ244" s="506">
        <v>0.1</v>
      </c>
      <c r="AR244" s="506">
        <v>7.2352941176470602E-3</v>
      </c>
      <c r="AS244" s="506">
        <v>7.2352941176470598</v>
      </c>
      <c r="AT244" s="506">
        <v>25</v>
      </c>
      <c r="AU244" s="506">
        <v>90.341176470588195</v>
      </c>
      <c r="AV244" s="506">
        <v>0</v>
      </c>
      <c r="AW244" s="506">
        <v>4.2352941176470602E-3</v>
      </c>
      <c r="AX244" s="506">
        <v>0</v>
      </c>
      <c r="AY244" s="506">
        <v>0.1</v>
      </c>
      <c r="AZ244" s="506">
        <v>9.6470588235294096E-3</v>
      </c>
      <c r="BA244" s="506">
        <v>9.6470588235294095</v>
      </c>
      <c r="BB244" s="506">
        <v>25</v>
      </c>
      <c r="BC244" s="506">
        <v>120.488235294118</v>
      </c>
      <c r="BD244" s="506">
        <v>0</v>
      </c>
      <c r="BE244" s="506">
        <v>5.6470588235294104E-3</v>
      </c>
      <c r="BF244" s="506">
        <v>0</v>
      </c>
      <c r="BG244" s="506">
        <v>0.1</v>
      </c>
      <c r="BH244" s="506">
        <v>3.4</v>
      </c>
      <c r="BI244" s="506">
        <v>0.17</v>
      </c>
    </row>
    <row r="245" spans="1:61" ht="12.95" customHeight="1" thickBot="1">
      <c r="A245" s="254" t="s">
        <v>1467</v>
      </c>
      <c r="B245" s="254" t="s">
        <v>92</v>
      </c>
      <c r="C245" s="204">
        <v>8</v>
      </c>
      <c r="D245" s="254" t="s">
        <v>1409</v>
      </c>
      <c r="E245" s="502">
        <v>1</v>
      </c>
      <c r="F245" s="501">
        <v>-27.5522043050224</v>
      </c>
      <c r="G245" s="506">
        <v>12.5</v>
      </c>
      <c r="H245" s="506">
        <v>0</v>
      </c>
      <c r="I245" s="506">
        <v>2.5</v>
      </c>
      <c r="J245" s="506">
        <v>0</v>
      </c>
      <c r="K245" s="506">
        <v>0</v>
      </c>
      <c r="L245" s="506">
        <v>0</v>
      </c>
      <c r="M245" s="506">
        <v>2.5</v>
      </c>
      <c r="N245" s="506">
        <v>7.56203537872819</v>
      </c>
      <c r="O245" s="506">
        <v>-4.9646415291992895E-4</v>
      </c>
      <c r="P245" s="506">
        <v>7.5625318428811097</v>
      </c>
      <c r="Q245" s="506">
        <v>2.6256172262709699E-2</v>
      </c>
      <c r="R245" s="506">
        <v>120.599004904848</v>
      </c>
      <c r="S245" s="506">
        <v>1.7572393061609599</v>
      </c>
      <c r="T245" s="506">
        <v>5.0722278626018297E-3</v>
      </c>
      <c r="U245" s="506">
        <v>6.7140880823687004E-3</v>
      </c>
      <c r="V245" s="506">
        <v>5.2866075042023998E-7</v>
      </c>
      <c r="W245" s="506">
        <v>22.6875955286433</v>
      </c>
      <c r="X245" s="506">
        <v>7.87685167881291E-2</v>
      </c>
      <c r="Y245" s="506">
        <v>361.79701471454302</v>
      </c>
      <c r="Z245" s="506">
        <v>5.2717179184828797</v>
      </c>
      <c r="AA245" s="506">
        <v>1.52166835878055E-2</v>
      </c>
      <c r="AB245" s="506">
        <v>2.0142264247106099E-2</v>
      </c>
      <c r="AC245" s="506">
        <v>1.5859822512607199E-6</v>
      </c>
      <c r="AD245" s="506">
        <v>0</v>
      </c>
      <c r="AE245" s="506">
        <v>0</v>
      </c>
      <c r="AF245" s="506">
        <v>0</v>
      </c>
      <c r="AG245" s="506">
        <v>0</v>
      </c>
      <c r="AH245" s="506">
        <v>6.5640430656774204E-3</v>
      </c>
      <c r="AI245" s="506">
        <v>30.149751226211901</v>
      </c>
      <c r="AJ245" s="506">
        <v>3.27272727272727E-3</v>
      </c>
      <c r="AK245" s="506">
        <v>3.2727272727272698</v>
      </c>
      <c r="AL245" s="506">
        <v>25</v>
      </c>
      <c r="AM245" s="506">
        <v>40.809090909090898</v>
      </c>
      <c r="AN245" s="506">
        <v>0</v>
      </c>
      <c r="AO245" s="506">
        <v>1.5</v>
      </c>
      <c r="AP245" s="506">
        <v>0</v>
      </c>
      <c r="AQ245" s="506">
        <v>0.1</v>
      </c>
      <c r="AR245" s="506">
        <v>9.8181818181818196E-3</v>
      </c>
      <c r="AS245" s="506">
        <v>9.8181818181818201</v>
      </c>
      <c r="AT245" s="506">
        <v>25</v>
      </c>
      <c r="AU245" s="506">
        <v>122.627272727273</v>
      </c>
      <c r="AV245" s="506">
        <v>0</v>
      </c>
      <c r="AW245" s="506">
        <v>6.8181818181818196E-3</v>
      </c>
      <c r="AX245" s="506">
        <v>0</v>
      </c>
      <c r="AY245" s="506">
        <v>0.1</v>
      </c>
      <c r="AZ245" s="506">
        <v>1.3090909090909099E-2</v>
      </c>
      <c r="BA245" s="506">
        <v>13.090909090909101</v>
      </c>
      <c r="BB245" s="506">
        <v>25</v>
      </c>
      <c r="BC245" s="506">
        <v>163.536363636364</v>
      </c>
      <c r="BD245" s="506">
        <v>0</v>
      </c>
      <c r="BE245" s="506">
        <v>9.0909090909090905E-3</v>
      </c>
      <c r="BF245" s="506">
        <v>0</v>
      </c>
      <c r="BG245" s="506">
        <v>0.1</v>
      </c>
      <c r="BH245" s="506">
        <v>2.5</v>
      </c>
      <c r="BI245" s="506">
        <v>0.125</v>
      </c>
    </row>
    <row r="246" spans="1:61" ht="12.95" customHeight="1" thickBot="1">
      <c r="A246" s="254" t="s">
        <v>2007</v>
      </c>
      <c r="B246" s="254" t="s">
        <v>92</v>
      </c>
      <c r="C246" s="204"/>
      <c r="D246" s="254"/>
      <c r="E246" s="502"/>
      <c r="F246" s="501"/>
      <c r="G246" s="90"/>
      <c r="H246" s="90"/>
      <c r="I246" s="90"/>
      <c r="J246" s="90"/>
      <c r="K246" s="90"/>
      <c r="L246" s="90"/>
      <c r="M246" s="90"/>
      <c r="N246" s="90"/>
      <c r="O246" s="90"/>
      <c r="P246" s="90"/>
      <c r="Q246" s="90"/>
      <c r="R246" s="90"/>
      <c r="S246" s="90"/>
      <c r="T246" s="90"/>
      <c r="U246" s="90"/>
      <c r="V246" s="90"/>
      <c r="W246" s="90"/>
      <c r="X246" s="90"/>
      <c r="Y246" s="90"/>
      <c r="Z246" s="90"/>
      <c r="AA246" s="90"/>
      <c r="AB246" s="90"/>
      <c r="AC246" s="90"/>
      <c r="AD246" s="90"/>
      <c r="AE246" s="90"/>
      <c r="AF246" s="90"/>
      <c r="AG246" s="90"/>
      <c r="AH246" s="90"/>
      <c r="AI246" s="90"/>
      <c r="AJ246" s="90"/>
      <c r="AK246" s="90"/>
      <c r="AL246" s="90"/>
      <c r="AM246" s="90"/>
      <c r="AN246" s="90"/>
      <c r="AO246" s="90"/>
      <c r="AP246" s="90"/>
      <c r="AQ246" s="90"/>
      <c r="AR246" s="90"/>
      <c r="AS246" s="90"/>
      <c r="AT246" s="90"/>
      <c r="AU246" s="90"/>
      <c r="AV246" s="90"/>
      <c r="AW246" s="90"/>
      <c r="AX246" s="90"/>
      <c r="AY246" s="90"/>
      <c r="AZ246" s="90"/>
      <c r="BA246" s="90"/>
      <c r="BB246" s="90"/>
      <c r="BC246" s="90"/>
      <c r="BD246" s="90"/>
      <c r="BE246" s="90"/>
      <c r="BF246" s="90"/>
      <c r="BG246" s="90"/>
      <c r="BH246" s="90"/>
      <c r="BI246" s="506"/>
    </row>
    <row r="247" spans="1:61" ht="12.95" customHeight="1" thickBot="1">
      <c r="A247" s="254" t="s">
        <v>2008</v>
      </c>
      <c r="B247" s="254" t="s">
        <v>92</v>
      </c>
      <c r="C247" s="204"/>
      <c r="D247" s="254"/>
      <c r="E247" s="502"/>
      <c r="F247" s="501"/>
      <c r="G247" s="90"/>
      <c r="H247" s="90"/>
      <c r="I247" s="90"/>
      <c r="J247" s="90"/>
      <c r="K247" s="90"/>
      <c r="L247" s="90"/>
      <c r="M247" s="90"/>
      <c r="N247" s="90"/>
      <c r="O247" s="90"/>
      <c r="P247" s="90"/>
      <c r="Q247" s="90"/>
      <c r="R247" s="90"/>
      <c r="S247" s="90"/>
      <c r="T247" s="90"/>
      <c r="U247" s="90"/>
      <c r="V247" s="90"/>
      <c r="W247" s="90"/>
      <c r="X247" s="90"/>
      <c r="Y247" s="90"/>
      <c r="Z247" s="90"/>
      <c r="AA247" s="90"/>
      <c r="AB247" s="90"/>
      <c r="AC247" s="90"/>
      <c r="AD247" s="90"/>
      <c r="AE247" s="90"/>
      <c r="AF247" s="90"/>
      <c r="AG247" s="90"/>
      <c r="AH247" s="90"/>
      <c r="AI247" s="90"/>
      <c r="AJ247" s="90"/>
      <c r="AK247" s="90"/>
      <c r="AL247" s="90"/>
      <c r="AM247" s="90"/>
      <c r="AN247" s="90"/>
      <c r="AO247" s="90"/>
      <c r="AP247" s="90"/>
      <c r="AQ247" s="90"/>
      <c r="AR247" s="90"/>
      <c r="AS247" s="90"/>
      <c r="AT247" s="90"/>
      <c r="AU247" s="90"/>
      <c r="AV247" s="90"/>
      <c r="AW247" s="90"/>
      <c r="AX247" s="90"/>
      <c r="AY247" s="90"/>
      <c r="AZ247" s="90"/>
      <c r="BA247" s="90"/>
      <c r="BB247" s="90"/>
      <c r="BC247" s="90"/>
      <c r="BD247" s="90"/>
      <c r="BE247" s="90"/>
      <c r="BF247" s="90"/>
      <c r="BG247" s="90"/>
      <c r="BH247" s="90"/>
      <c r="BI247" s="506"/>
    </row>
    <row r="248" spans="1:61" ht="12.95" customHeight="1" thickBot="1">
      <c r="A248" s="254" t="s">
        <v>2006</v>
      </c>
      <c r="B248" s="254" t="s">
        <v>92</v>
      </c>
      <c r="C248" s="204"/>
      <c r="D248" s="254"/>
      <c r="E248" s="502"/>
      <c r="F248" s="501"/>
      <c r="G248" s="90"/>
      <c r="H248" s="90"/>
      <c r="I248" s="90"/>
      <c r="J248" s="90"/>
      <c r="K248" s="90"/>
      <c r="L248" s="90"/>
      <c r="M248" s="90"/>
      <c r="N248" s="90"/>
      <c r="O248" s="90"/>
      <c r="P248" s="90"/>
      <c r="Q248" s="90"/>
      <c r="R248" s="90"/>
      <c r="S248" s="90"/>
      <c r="T248" s="90"/>
      <c r="U248" s="90"/>
      <c r="V248" s="90"/>
      <c r="W248" s="90"/>
      <c r="X248" s="90"/>
      <c r="Y248" s="90"/>
      <c r="Z248" s="90"/>
      <c r="AA248" s="90"/>
      <c r="AB248" s="90"/>
      <c r="AC248" s="90"/>
      <c r="AD248" s="90"/>
      <c r="AE248" s="90"/>
      <c r="AF248" s="90"/>
      <c r="AG248" s="90"/>
      <c r="AH248" s="90"/>
      <c r="AI248" s="90"/>
      <c r="AJ248" s="90"/>
      <c r="AK248" s="90"/>
      <c r="AL248" s="90"/>
      <c r="AM248" s="90"/>
      <c r="AN248" s="90"/>
      <c r="AO248" s="90"/>
      <c r="AP248" s="90"/>
      <c r="AQ248" s="90"/>
      <c r="AR248" s="90"/>
      <c r="AS248" s="90"/>
      <c r="AT248" s="90"/>
      <c r="AU248" s="90"/>
      <c r="AV248" s="90"/>
      <c r="AW248" s="90"/>
      <c r="AX248" s="90"/>
      <c r="AY248" s="90"/>
      <c r="AZ248" s="90"/>
      <c r="BA248" s="90"/>
      <c r="BB248" s="90"/>
      <c r="BC248" s="90"/>
      <c r="BD248" s="90"/>
      <c r="BE248" s="90"/>
      <c r="BF248" s="90"/>
      <c r="BG248" s="90"/>
      <c r="BH248" s="90"/>
      <c r="BI248" s="506"/>
    </row>
    <row r="249" spans="1:61" ht="12.95" customHeight="1">
      <c r="A249" s="254" t="s">
        <v>2071</v>
      </c>
      <c r="B249" s="254"/>
      <c r="C249" s="204"/>
      <c r="D249" s="254"/>
      <c r="E249" s="502"/>
      <c r="F249" s="501"/>
      <c r="G249" s="506"/>
      <c r="H249" s="506"/>
      <c r="I249" s="506"/>
      <c r="J249" s="506"/>
      <c r="K249" s="506"/>
      <c r="L249" s="506"/>
      <c r="M249" s="506"/>
      <c r="N249" s="506"/>
      <c r="O249" s="506"/>
      <c r="P249" s="506"/>
      <c r="Q249" s="506"/>
      <c r="R249" s="506"/>
      <c r="S249" s="506"/>
      <c r="T249" s="506"/>
      <c r="U249" s="506"/>
      <c r="V249" s="506"/>
      <c r="W249" s="506"/>
      <c r="X249" s="506"/>
      <c r="Y249" s="506"/>
      <c r="Z249" s="506"/>
      <c r="AA249" s="506"/>
      <c r="AB249" s="506"/>
      <c r="AC249" s="506"/>
      <c r="AD249" s="506"/>
      <c r="AE249" s="506"/>
      <c r="AF249" s="506"/>
      <c r="AG249" s="506"/>
      <c r="AH249" s="506"/>
      <c r="AI249" s="506"/>
      <c r="AJ249" s="506"/>
      <c r="AK249" s="506"/>
      <c r="AL249" s="506"/>
      <c r="AM249" s="506"/>
      <c r="AN249" s="506"/>
      <c r="AO249" s="506"/>
      <c r="AP249" s="506"/>
      <c r="AQ249" s="506"/>
      <c r="AR249" s="506"/>
      <c r="AS249" s="506"/>
      <c r="AT249" s="506"/>
      <c r="AU249" s="506"/>
      <c r="AV249" s="506"/>
      <c r="AW249" s="506"/>
      <c r="AX249" s="506"/>
      <c r="AY249" s="506"/>
      <c r="AZ249" s="506"/>
      <c r="BA249" s="506"/>
      <c r="BB249" s="506"/>
      <c r="BC249" s="506"/>
      <c r="BD249" s="506"/>
      <c r="BE249" s="506"/>
      <c r="BF249" s="506"/>
      <c r="BG249" s="506"/>
      <c r="BH249" s="506"/>
      <c r="BI249" s="506"/>
    </row>
    <row r="250" spans="1:61" ht="12.95" customHeight="1">
      <c r="A250" s="254" t="s">
        <v>1910</v>
      </c>
      <c r="B250" s="254" t="s">
        <v>92</v>
      </c>
      <c r="C250" s="204">
        <v>1</v>
      </c>
      <c r="D250" s="254" t="s">
        <v>1410</v>
      </c>
      <c r="E250" s="502">
        <v>1</v>
      </c>
      <c r="F250" s="501">
        <v>-19.0180271576526</v>
      </c>
      <c r="G250" s="506">
        <v>50</v>
      </c>
      <c r="H250" s="506">
        <v>0</v>
      </c>
      <c r="I250" s="506">
        <v>0</v>
      </c>
      <c r="J250" s="506">
        <v>1.85</v>
      </c>
      <c r="K250" s="506">
        <v>0</v>
      </c>
      <c r="L250" s="506">
        <v>27.3</v>
      </c>
      <c r="M250" s="506">
        <v>29.15</v>
      </c>
      <c r="N250" s="506">
        <v>12.2167783113906</v>
      </c>
      <c r="O250" s="506">
        <v>-1.0761584708827501</v>
      </c>
      <c r="P250" s="506">
        <v>13.2929367822733</v>
      </c>
      <c r="Q250" s="506">
        <v>6.2988289642019801E-2</v>
      </c>
      <c r="R250" s="506">
        <v>206.42213514539</v>
      </c>
      <c r="S250" s="506">
        <v>41.8107377920877</v>
      </c>
      <c r="T250" s="506">
        <v>1.4185954626113001E-2</v>
      </c>
      <c r="U250" s="506">
        <v>2.27385465187925E-2</v>
      </c>
      <c r="V250" s="506">
        <v>1.01865911261918E-6</v>
      </c>
      <c r="W250" s="506">
        <v>13.2929367822733</v>
      </c>
      <c r="X250" s="506">
        <v>6.2988289642019801E-2</v>
      </c>
      <c r="Y250" s="506">
        <v>206.42213514539</v>
      </c>
      <c r="Z250" s="506">
        <v>41.8107377920877</v>
      </c>
      <c r="AA250" s="506">
        <v>1.4185954626113001E-2</v>
      </c>
      <c r="AB250" s="506">
        <v>2.27385465187925E-2</v>
      </c>
      <c r="AC250" s="506">
        <v>1.01865911261918E-6</v>
      </c>
      <c r="AD250" s="506">
        <v>0</v>
      </c>
      <c r="AE250" s="506">
        <v>0</v>
      </c>
      <c r="AF250" s="506">
        <v>0</v>
      </c>
      <c r="AG250" s="506">
        <v>0</v>
      </c>
      <c r="AH250" s="506">
        <v>1.5747072410504898E-2</v>
      </c>
      <c r="AI250" s="506">
        <v>51.6055337863475</v>
      </c>
      <c r="AJ250" s="506">
        <v>9.0245897435897393E-2</v>
      </c>
      <c r="AK250" s="506">
        <v>27.073769230769201</v>
      </c>
      <c r="AL250" s="506">
        <v>50</v>
      </c>
      <c r="AM250" s="506">
        <v>338.32211538461502</v>
      </c>
      <c r="AN250" s="506">
        <v>0</v>
      </c>
      <c r="AO250" s="506">
        <v>0</v>
      </c>
      <c r="AP250" s="506">
        <v>1.7000192307692299</v>
      </c>
      <c r="AQ250" s="506">
        <v>0.1</v>
      </c>
      <c r="AR250" s="506">
        <v>9.0245897435897393E-2</v>
      </c>
      <c r="AS250" s="506">
        <v>27.073769230769201</v>
      </c>
      <c r="AT250" s="506">
        <v>50</v>
      </c>
      <c r="AU250" s="506">
        <v>338.32211538461502</v>
      </c>
      <c r="AV250" s="506">
        <v>0.09</v>
      </c>
      <c r="AW250" s="506">
        <v>0</v>
      </c>
      <c r="AX250" s="506">
        <v>2.4589743589743601E-4</v>
      </c>
      <c r="AY250" s="506">
        <v>0.1</v>
      </c>
      <c r="AZ250" s="506">
        <v>0.18049179487179501</v>
      </c>
      <c r="BA250" s="506">
        <v>54.147538461538502</v>
      </c>
      <c r="BB250" s="506">
        <v>50</v>
      </c>
      <c r="BC250" s="506">
        <v>676.74423076923097</v>
      </c>
      <c r="BD250" s="506">
        <v>0.18</v>
      </c>
      <c r="BE250" s="506">
        <v>0</v>
      </c>
      <c r="BF250" s="506">
        <v>4.9179487179487201E-4</v>
      </c>
      <c r="BG250" s="506">
        <v>0.1</v>
      </c>
      <c r="BH250" s="506">
        <v>8.7449999999999992</v>
      </c>
      <c r="BI250" s="506">
        <v>1.4575</v>
      </c>
    </row>
    <row r="251" spans="1:61" ht="12.95" customHeight="1">
      <c r="A251" s="254" t="s">
        <v>1911</v>
      </c>
      <c r="B251" s="254" t="s">
        <v>92</v>
      </c>
      <c r="C251" s="204">
        <v>2</v>
      </c>
      <c r="D251" s="254" t="s">
        <v>1411</v>
      </c>
      <c r="E251" s="502">
        <v>1</v>
      </c>
      <c r="F251" s="501">
        <v>-24.127570586636701</v>
      </c>
      <c r="G251" s="506">
        <v>50</v>
      </c>
      <c r="H251" s="506">
        <v>3</v>
      </c>
      <c r="I251" s="506">
        <v>0</v>
      </c>
      <c r="J251" s="506">
        <v>0.35</v>
      </c>
      <c r="K251" s="506">
        <v>0</v>
      </c>
      <c r="L251" s="506">
        <v>27.12</v>
      </c>
      <c r="M251" s="506">
        <v>30.47</v>
      </c>
      <c r="N251" s="506">
        <v>4.0120871788940002</v>
      </c>
      <c r="O251" s="506">
        <v>-6.0196282491781004</v>
      </c>
      <c r="P251" s="506">
        <v>10.031715428072101</v>
      </c>
      <c r="Q251" s="506">
        <v>4.6286324038219501E-2</v>
      </c>
      <c r="R251" s="506">
        <v>160.967150353552</v>
      </c>
      <c r="S251" s="506">
        <v>101.97063281468699</v>
      </c>
      <c r="T251" s="506">
        <v>1.18311596777496E-2</v>
      </c>
      <c r="U251" s="506">
        <v>1.5176512735527101E-2</v>
      </c>
      <c r="V251" s="506">
        <v>8.5705902600956399E-7</v>
      </c>
      <c r="W251" s="506">
        <v>10.031715428072101</v>
      </c>
      <c r="X251" s="506">
        <v>4.6286324038219501E-2</v>
      </c>
      <c r="Y251" s="506">
        <v>160.967150353552</v>
      </c>
      <c r="Z251" s="506">
        <v>101.97063281468699</v>
      </c>
      <c r="AA251" s="506">
        <v>1.18311596777496E-2</v>
      </c>
      <c r="AB251" s="506">
        <v>1.5176512735527101E-2</v>
      </c>
      <c r="AC251" s="506">
        <v>8.5705902600956399E-7</v>
      </c>
      <c r="AD251" s="506">
        <v>0</v>
      </c>
      <c r="AE251" s="506">
        <v>0</v>
      </c>
      <c r="AF251" s="506">
        <v>0</v>
      </c>
      <c r="AG251" s="506">
        <v>0</v>
      </c>
      <c r="AH251" s="506">
        <v>1.1571581009554899E-2</v>
      </c>
      <c r="AI251" s="506">
        <v>40.241787588387901</v>
      </c>
      <c r="AJ251" s="506">
        <v>9.0044871794871806E-2</v>
      </c>
      <c r="AK251" s="506">
        <v>26.413461538461501</v>
      </c>
      <c r="AL251" s="506">
        <v>50</v>
      </c>
      <c r="AM251" s="506">
        <v>330.06826923076898</v>
      </c>
      <c r="AN251" s="506">
        <v>3</v>
      </c>
      <c r="AO251" s="506">
        <v>0</v>
      </c>
      <c r="AP251" s="506">
        <v>4.4871794871794902E-5</v>
      </c>
      <c r="AQ251" s="506">
        <v>0.1</v>
      </c>
      <c r="AR251" s="506">
        <v>9.0044871794871806E-2</v>
      </c>
      <c r="AS251" s="506">
        <v>26.413461538461501</v>
      </c>
      <c r="AT251" s="506">
        <v>50</v>
      </c>
      <c r="AU251" s="506">
        <v>330.168269230769</v>
      </c>
      <c r="AV251" s="506">
        <v>8.4000000000000005E-2</v>
      </c>
      <c r="AW251" s="506">
        <v>6.0000000000000001E-3</v>
      </c>
      <c r="AX251" s="506">
        <v>4.4871794871794902E-5</v>
      </c>
      <c r="AY251" s="506">
        <v>0</v>
      </c>
      <c r="AZ251" s="506">
        <v>0.180089743589744</v>
      </c>
      <c r="BA251" s="506">
        <v>52.826923076923102</v>
      </c>
      <c r="BB251" s="506">
        <v>50</v>
      </c>
      <c r="BC251" s="506">
        <v>660.336538461538</v>
      </c>
      <c r="BD251" s="506">
        <v>0.16800000000000001</v>
      </c>
      <c r="BE251" s="506">
        <v>1.2E-2</v>
      </c>
      <c r="BF251" s="506">
        <v>8.9743589743589695E-5</v>
      </c>
      <c r="BG251" s="506">
        <v>0</v>
      </c>
      <c r="BH251" s="506">
        <v>8.8409999999999993</v>
      </c>
      <c r="BI251" s="506">
        <v>1.5235000000000001</v>
      </c>
    </row>
    <row r="252" spans="1:61" ht="12.95" customHeight="1">
      <c r="A252" s="254" t="s">
        <v>1912</v>
      </c>
      <c r="B252" s="254" t="s">
        <v>92</v>
      </c>
      <c r="C252" s="204">
        <v>3</v>
      </c>
      <c r="D252" s="254" t="s">
        <v>1412</v>
      </c>
      <c r="E252" s="502">
        <v>1</v>
      </c>
      <c r="F252" s="501">
        <v>-26.754494242897898</v>
      </c>
      <c r="G252" s="506">
        <v>50</v>
      </c>
      <c r="H252" s="506">
        <v>4.62</v>
      </c>
      <c r="I252" s="506">
        <v>0</v>
      </c>
      <c r="J252" s="506">
        <v>0.35</v>
      </c>
      <c r="K252" s="506">
        <v>0</v>
      </c>
      <c r="L252" s="506">
        <v>25.5</v>
      </c>
      <c r="M252" s="506">
        <v>30.47</v>
      </c>
      <c r="N252" s="506">
        <v>1.74824108822733</v>
      </c>
      <c r="O252" s="506">
        <v>-8.6244486467295598</v>
      </c>
      <c r="P252" s="506">
        <v>10.3726897349569</v>
      </c>
      <c r="Q252" s="506">
        <v>3.0070366009129799E-2</v>
      </c>
      <c r="R252" s="506">
        <v>158.34250323540601</v>
      </c>
      <c r="S252" s="506">
        <v>101.55552729312301</v>
      </c>
      <c r="T252" s="506">
        <v>4.7717054367391104E-3</v>
      </c>
      <c r="U252" s="506">
        <v>1.2840275794915401E-2</v>
      </c>
      <c r="V252" s="506">
        <v>9.6020727396436792E-7</v>
      </c>
      <c r="W252" s="506">
        <v>10.3726897349569</v>
      </c>
      <c r="X252" s="506">
        <v>3.0070366009129799E-2</v>
      </c>
      <c r="Y252" s="506">
        <v>158.34250323540601</v>
      </c>
      <c r="Z252" s="506">
        <v>101.55552729312301</v>
      </c>
      <c r="AA252" s="506">
        <v>4.7717054367391104E-3</v>
      </c>
      <c r="AB252" s="506">
        <v>1.2840275794915401E-2</v>
      </c>
      <c r="AC252" s="506">
        <v>9.6020727396436792E-7</v>
      </c>
      <c r="AD252" s="506">
        <v>0</v>
      </c>
      <c r="AE252" s="506">
        <v>0</v>
      </c>
      <c r="AF252" s="506">
        <v>0</v>
      </c>
      <c r="AG252" s="506">
        <v>0</v>
      </c>
      <c r="AH252" s="506">
        <v>7.5175915022824601E-3</v>
      </c>
      <c r="AI252" s="506">
        <v>39.585625808851603</v>
      </c>
      <c r="AJ252" s="506">
        <v>9.0044871794871806E-2</v>
      </c>
      <c r="AK252" s="506">
        <v>26.413461538461501</v>
      </c>
      <c r="AL252" s="506">
        <v>50</v>
      </c>
      <c r="AM252" s="506">
        <v>330.06826923076898</v>
      </c>
      <c r="AN252" s="506">
        <v>4.62</v>
      </c>
      <c r="AO252" s="506">
        <v>0</v>
      </c>
      <c r="AP252" s="506">
        <v>4.4871794871794902E-5</v>
      </c>
      <c r="AQ252" s="506">
        <v>0.1</v>
      </c>
      <c r="AR252" s="506">
        <v>9.0044871794871806E-2</v>
      </c>
      <c r="AS252" s="506">
        <v>26.413461538461501</v>
      </c>
      <c r="AT252" s="506">
        <v>50</v>
      </c>
      <c r="AU252" s="506">
        <v>330.168269230769</v>
      </c>
      <c r="AV252" s="506">
        <v>0.03</v>
      </c>
      <c r="AW252" s="506">
        <v>0.06</v>
      </c>
      <c r="AX252" s="506">
        <v>4.4871794871794902E-5</v>
      </c>
      <c r="AY252" s="506">
        <v>0</v>
      </c>
      <c r="AZ252" s="506">
        <v>0.180089743589744</v>
      </c>
      <c r="BA252" s="506">
        <v>52.826923076923102</v>
      </c>
      <c r="BB252" s="506">
        <v>50</v>
      </c>
      <c r="BC252" s="506">
        <v>660.336538461538</v>
      </c>
      <c r="BD252" s="506">
        <v>0.06</v>
      </c>
      <c r="BE252" s="506">
        <v>0.12</v>
      </c>
      <c r="BF252" s="506">
        <v>8.9743589743589695E-5</v>
      </c>
      <c r="BG252" s="506">
        <v>0</v>
      </c>
      <c r="BH252" s="506">
        <v>8.8409999999999993</v>
      </c>
      <c r="BI252" s="506">
        <v>1.5235000000000001</v>
      </c>
    </row>
    <row r="253" spans="1:61" ht="12.95" customHeight="1">
      <c r="A253" s="254" t="s">
        <v>1904</v>
      </c>
      <c r="B253" s="254" t="s">
        <v>92</v>
      </c>
      <c r="C253" s="204">
        <v>4</v>
      </c>
      <c r="D253" s="254" t="s">
        <v>1413</v>
      </c>
      <c r="E253" s="502">
        <v>1</v>
      </c>
      <c r="F253" s="501">
        <v>-32.812083954116702</v>
      </c>
      <c r="G253" s="506">
        <v>50</v>
      </c>
      <c r="H253" s="506">
        <v>0</v>
      </c>
      <c r="I253" s="506">
        <v>0</v>
      </c>
      <c r="J253" s="506">
        <v>0</v>
      </c>
      <c r="K253" s="506">
        <v>0</v>
      </c>
      <c r="L253" s="506">
        <v>12.75</v>
      </c>
      <c r="M253" s="506">
        <v>12.75</v>
      </c>
      <c r="N253" s="506">
        <v>2.4506784760057001</v>
      </c>
      <c r="O253" s="506">
        <v>-0.53298650612503595</v>
      </c>
      <c r="P253" s="506">
        <v>2.9836649821307399</v>
      </c>
      <c r="Q253" s="506">
        <v>9.3593048864796698E-3</v>
      </c>
      <c r="R253" s="506">
        <v>55.946869450551503</v>
      </c>
      <c r="S253" s="506">
        <v>18.9102544068922</v>
      </c>
      <c r="T253" s="506">
        <v>9.8729682278978306E-4</v>
      </c>
      <c r="U253" s="506">
        <v>3.9157439313298103E-3</v>
      </c>
      <c r="V253" s="506">
        <v>3.43036418509932E-7</v>
      </c>
      <c r="W253" s="506">
        <v>2.9836649821307399</v>
      </c>
      <c r="X253" s="506">
        <v>9.3593048864796698E-3</v>
      </c>
      <c r="Y253" s="506">
        <v>55.946869450551503</v>
      </c>
      <c r="Z253" s="506">
        <v>18.9102544068922</v>
      </c>
      <c r="AA253" s="506">
        <v>9.8729682278978306E-4</v>
      </c>
      <c r="AB253" s="506">
        <v>3.9157439313298103E-3</v>
      </c>
      <c r="AC253" s="506">
        <v>3.43036418509932E-7</v>
      </c>
      <c r="AD253" s="506">
        <v>0</v>
      </c>
      <c r="AE253" s="506">
        <v>0</v>
      </c>
      <c r="AF253" s="506">
        <v>0</v>
      </c>
      <c r="AG253" s="506">
        <v>0</v>
      </c>
      <c r="AH253" s="506">
        <v>2.33982622161992E-3</v>
      </c>
      <c r="AI253" s="506">
        <v>13.986717362637901</v>
      </c>
      <c r="AJ253" s="506">
        <v>1.4999999999999999E-2</v>
      </c>
      <c r="AK253" s="506">
        <v>4.5</v>
      </c>
      <c r="AL253" s="506">
        <v>12.5</v>
      </c>
      <c r="AM253" s="506">
        <v>56.25</v>
      </c>
      <c r="AN253" s="506">
        <v>0</v>
      </c>
      <c r="AO253" s="506">
        <v>0</v>
      </c>
      <c r="AP253" s="506">
        <v>0</v>
      </c>
      <c r="AQ253" s="506">
        <v>0</v>
      </c>
      <c r="AR253" s="506">
        <v>1.4999999999999999E-2</v>
      </c>
      <c r="AS253" s="506">
        <v>4.5</v>
      </c>
      <c r="AT253" s="506">
        <v>12.5</v>
      </c>
      <c r="AU253" s="506">
        <v>56.15</v>
      </c>
      <c r="AV253" s="506">
        <v>1.4999999999999999E-2</v>
      </c>
      <c r="AW253" s="506">
        <v>0</v>
      </c>
      <c r="AX253" s="506">
        <v>0</v>
      </c>
      <c r="AY253" s="506">
        <v>0.1</v>
      </c>
      <c r="AZ253" s="506">
        <v>0.03</v>
      </c>
      <c r="BA253" s="506">
        <v>9</v>
      </c>
      <c r="BB253" s="506">
        <v>12.5</v>
      </c>
      <c r="BC253" s="506">
        <v>112.4</v>
      </c>
      <c r="BD253" s="506">
        <v>0.03</v>
      </c>
      <c r="BE253" s="506">
        <v>0</v>
      </c>
      <c r="BF253" s="506">
        <v>0</v>
      </c>
      <c r="BG253" s="506">
        <v>0.1</v>
      </c>
      <c r="BH253" s="506">
        <v>3.8250000000000002</v>
      </c>
      <c r="BI253" s="506">
        <v>0.63749999999999996</v>
      </c>
    </row>
    <row r="254" spans="1:61" ht="12.95" customHeight="1">
      <c r="A254" s="254" t="s">
        <v>1906</v>
      </c>
      <c r="B254" s="254" t="s">
        <v>92</v>
      </c>
      <c r="C254" s="204">
        <v>5</v>
      </c>
      <c r="D254" s="254" t="s">
        <v>1414</v>
      </c>
      <c r="E254" s="502">
        <v>1</v>
      </c>
      <c r="F254" s="501">
        <v>-29.290834574900099</v>
      </c>
      <c r="G254" s="506">
        <v>50</v>
      </c>
      <c r="H254" s="506">
        <v>0</v>
      </c>
      <c r="I254" s="506">
        <v>0</v>
      </c>
      <c r="J254" s="506">
        <v>0</v>
      </c>
      <c r="K254" s="506">
        <v>0</v>
      </c>
      <c r="L254" s="506">
        <v>25.5</v>
      </c>
      <c r="M254" s="506">
        <v>25.5</v>
      </c>
      <c r="N254" s="506">
        <v>4.90135695201141</v>
      </c>
      <c r="O254" s="506">
        <v>-1.0659730122500699</v>
      </c>
      <c r="P254" s="506">
        <v>5.9673299642614799</v>
      </c>
      <c r="Q254" s="506">
        <v>1.8718609772959301E-2</v>
      </c>
      <c r="R254" s="506">
        <v>111.89373890110301</v>
      </c>
      <c r="S254" s="506">
        <v>37.8205088137844</v>
      </c>
      <c r="T254" s="506">
        <v>1.97459364557957E-3</v>
      </c>
      <c r="U254" s="506">
        <v>7.8314878626596206E-3</v>
      </c>
      <c r="V254" s="506">
        <v>6.8607283701986496E-7</v>
      </c>
      <c r="W254" s="506">
        <v>5.9673299642614799</v>
      </c>
      <c r="X254" s="506">
        <v>1.8718609772959301E-2</v>
      </c>
      <c r="Y254" s="506">
        <v>111.89373890110301</v>
      </c>
      <c r="Z254" s="506">
        <v>37.8205088137844</v>
      </c>
      <c r="AA254" s="506">
        <v>1.97459364557957E-3</v>
      </c>
      <c r="AB254" s="506">
        <v>7.8314878626596206E-3</v>
      </c>
      <c r="AC254" s="506">
        <v>6.8607283701986496E-7</v>
      </c>
      <c r="AD254" s="506">
        <v>0</v>
      </c>
      <c r="AE254" s="506">
        <v>0</v>
      </c>
      <c r="AF254" s="506">
        <v>0</v>
      </c>
      <c r="AG254" s="506">
        <v>0</v>
      </c>
      <c r="AH254" s="506">
        <v>4.6796524432398401E-3</v>
      </c>
      <c r="AI254" s="506">
        <v>27.973434725275801</v>
      </c>
      <c r="AJ254" s="506">
        <v>0.03</v>
      </c>
      <c r="AK254" s="506">
        <v>9</v>
      </c>
      <c r="AL254" s="506">
        <v>12.5</v>
      </c>
      <c r="AM254" s="506">
        <v>112.5</v>
      </c>
      <c r="AN254" s="506">
        <v>0</v>
      </c>
      <c r="AO254" s="506">
        <v>0</v>
      </c>
      <c r="AP254" s="506">
        <v>0</v>
      </c>
      <c r="AQ254" s="506">
        <v>0</v>
      </c>
      <c r="AR254" s="506">
        <v>0.03</v>
      </c>
      <c r="AS254" s="506">
        <v>9</v>
      </c>
      <c r="AT254" s="506">
        <v>12.5</v>
      </c>
      <c r="AU254" s="506">
        <v>112.4</v>
      </c>
      <c r="AV254" s="506">
        <v>0.03</v>
      </c>
      <c r="AW254" s="506">
        <v>0</v>
      </c>
      <c r="AX254" s="506">
        <v>0</v>
      </c>
      <c r="AY254" s="506">
        <v>0.1</v>
      </c>
      <c r="AZ254" s="506">
        <v>0.06</v>
      </c>
      <c r="BA254" s="506">
        <v>18</v>
      </c>
      <c r="BB254" s="506">
        <v>12.5</v>
      </c>
      <c r="BC254" s="506">
        <v>224.9</v>
      </c>
      <c r="BD254" s="506">
        <v>0.06</v>
      </c>
      <c r="BE254" s="506">
        <v>0</v>
      </c>
      <c r="BF254" s="506">
        <v>0</v>
      </c>
      <c r="BG254" s="506">
        <v>0.1</v>
      </c>
      <c r="BH254" s="506">
        <v>7.65</v>
      </c>
      <c r="BI254" s="506">
        <v>1.2749999999999999</v>
      </c>
    </row>
    <row r="255" spans="1:61" ht="12.95" customHeight="1" thickBot="1">
      <c r="A255" s="254" t="s">
        <v>1908</v>
      </c>
      <c r="B255" s="254" t="s">
        <v>92</v>
      </c>
      <c r="C255" s="204">
        <v>6</v>
      </c>
      <c r="D255" s="254" t="s">
        <v>1415</v>
      </c>
      <c r="E255" s="502">
        <v>1</v>
      </c>
      <c r="F255" s="501">
        <v>-33.115163638600599</v>
      </c>
      <c r="G255" s="506">
        <v>50</v>
      </c>
      <c r="H255" s="506">
        <v>0</v>
      </c>
      <c r="I255" s="506">
        <v>0</v>
      </c>
      <c r="J255" s="506">
        <v>0</v>
      </c>
      <c r="K255" s="506">
        <v>0</v>
      </c>
      <c r="L255" s="506">
        <v>27</v>
      </c>
      <c r="M255" s="506">
        <v>27</v>
      </c>
      <c r="N255" s="506">
        <v>4.1883185389654196</v>
      </c>
      <c r="O255" s="506">
        <v>-3.3986353355270997E-2</v>
      </c>
      <c r="P255" s="506">
        <v>4.2223048923206896</v>
      </c>
      <c r="Q255" s="506">
        <v>9.6929254340468902E-3</v>
      </c>
      <c r="R255" s="506">
        <v>36.831796410968003</v>
      </c>
      <c r="S255" s="506">
        <v>9.2757906929310003</v>
      </c>
      <c r="T255" s="506">
        <v>1.30278641766347E-3</v>
      </c>
      <c r="U255" s="506">
        <v>4.8748576908955402E-3</v>
      </c>
      <c r="V255" s="506">
        <v>1.7953985023892101E-7</v>
      </c>
      <c r="W255" s="506">
        <v>4.2223048923206896</v>
      </c>
      <c r="X255" s="506">
        <v>9.6929254340468902E-3</v>
      </c>
      <c r="Y255" s="506">
        <v>36.831796410968003</v>
      </c>
      <c r="Z255" s="506">
        <v>9.2757906929310003</v>
      </c>
      <c r="AA255" s="506">
        <v>1.30278641766347E-3</v>
      </c>
      <c r="AB255" s="506">
        <v>4.8748576908955402E-3</v>
      </c>
      <c r="AC255" s="506">
        <v>1.7953985023892101E-7</v>
      </c>
      <c r="AD255" s="506">
        <v>0</v>
      </c>
      <c r="AE255" s="506">
        <v>0</v>
      </c>
      <c r="AF255" s="506">
        <v>0</v>
      </c>
      <c r="AG255" s="506">
        <v>0</v>
      </c>
      <c r="AH255" s="506">
        <v>2.42323135851172E-3</v>
      </c>
      <c r="AI255" s="506">
        <v>9.2079491027420008</v>
      </c>
      <c r="AJ255" s="506">
        <v>1.4999999999999999E-2</v>
      </c>
      <c r="AK255" s="506">
        <v>1.5</v>
      </c>
      <c r="AL255" s="506">
        <v>12.5</v>
      </c>
      <c r="AM255" s="506">
        <v>18.75</v>
      </c>
      <c r="AN255" s="506">
        <v>0</v>
      </c>
      <c r="AO255" s="506">
        <v>0</v>
      </c>
      <c r="AP255" s="506">
        <v>0</v>
      </c>
      <c r="AQ255" s="506">
        <v>0</v>
      </c>
      <c r="AR255" s="506">
        <v>1.4999999999999999E-2</v>
      </c>
      <c r="AS255" s="506">
        <v>1.5</v>
      </c>
      <c r="AT255" s="506">
        <v>12.5</v>
      </c>
      <c r="AU255" s="506">
        <v>18.649999999999999</v>
      </c>
      <c r="AV255" s="506">
        <v>1.4999999999999999E-2</v>
      </c>
      <c r="AW255" s="506">
        <v>0</v>
      </c>
      <c r="AX255" s="506">
        <v>0</v>
      </c>
      <c r="AY255" s="506">
        <v>0.1</v>
      </c>
      <c r="AZ255" s="506">
        <v>0.03</v>
      </c>
      <c r="BA255" s="506">
        <v>3</v>
      </c>
      <c r="BB255" s="506">
        <v>12.5</v>
      </c>
      <c r="BC255" s="506">
        <v>37.4</v>
      </c>
      <c r="BD255" s="506">
        <v>0.03</v>
      </c>
      <c r="BE255" s="506">
        <v>0</v>
      </c>
      <c r="BF255" s="506">
        <v>0</v>
      </c>
      <c r="BG255" s="506">
        <v>0.1</v>
      </c>
      <c r="BH255" s="506">
        <v>2.7</v>
      </c>
      <c r="BI255" s="506">
        <v>1.35</v>
      </c>
    </row>
    <row r="256" spans="1:61" ht="12.95" customHeight="1" thickBot="1">
      <c r="A256" s="254" t="s">
        <v>1788</v>
      </c>
      <c r="B256" s="254" t="s">
        <v>92</v>
      </c>
      <c r="C256" s="204"/>
      <c r="D256" s="254"/>
      <c r="E256" s="502"/>
      <c r="F256" s="501"/>
      <c r="G256" s="90"/>
      <c r="H256" s="90"/>
      <c r="I256" s="90"/>
      <c r="J256" s="90"/>
      <c r="K256" s="90"/>
      <c r="L256" s="90"/>
      <c r="M256" s="90"/>
      <c r="N256" s="90"/>
      <c r="O256" s="90"/>
      <c r="P256" s="90"/>
      <c r="Q256" s="90"/>
      <c r="R256" s="90"/>
      <c r="S256" s="90"/>
      <c r="T256" s="90"/>
      <c r="U256" s="90"/>
      <c r="V256" s="90"/>
      <c r="W256" s="90"/>
      <c r="X256" s="90"/>
      <c r="Y256" s="90"/>
      <c r="Z256" s="90"/>
      <c r="AA256" s="90"/>
      <c r="AB256" s="90"/>
      <c r="AC256" s="90"/>
      <c r="AD256" s="90"/>
      <c r="AE256" s="90"/>
      <c r="AF256" s="90"/>
      <c r="AG256" s="90"/>
      <c r="AH256" s="90"/>
      <c r="AI256" s="90"/>
      <c r="AJ256" s="90"/>
      <c r="AK256" s="90"/>
      <c r="AL256" s="90"/>
      <c r="AM256" s="90"/>
      <c r="AN256" s="90"/>
      <c r="AO256" s="90"/>
      <c r="AP256" s="90"/>
      <c r="AQ256" s="90"/>
      <c r="AR256" s="90"/>
      <c r="AS256" s="90"/>
      <c r="AT256" s="90"/>
      <c r="AU256" s="90"/>
      <c r="AV256" s="90"/>
      <c r="AW256" s="90"/>
      <c r="AX256" s="90"/>
      <c r="AY256" s="90"/>
      <c r="AZ256" s="90"/>
      <c r="BA256" s="90"/>
      <c r="BB256" s="90"/>
      <c r="BC256" s="90"/>
      <c r="BD256" s="90"/>
      <c r="BE256" s="90"/>
      <c r="BF256" s="90"/>
      <c r="BG256" s="90"/>
      <c r="BH256" s="90"/>
      <c r="BI256" s="506"/>
    </row>
    <row r="257" spans="1:61" ht="12.95" customHeight="1">
      <c r="A257" s="254" t="s">
        <v>2071</v>
      </c>
      <c r="B257" s="254"/>
      <c r="C257" s="204"/>
      <c r="D257" s="254"/>
      <c r="E257" s="502"/>
      <c r="F257" s="501"/>
      <c r="G257" s="506"/>
      <c r="H257" s="506"/>
      <c r="I257" s="506"/>
      <c r="J257" s="506"/>
      <c r="K257" s="506"/>
      <c r="L257" s="506"/>
      <c r="M257" s="506"/>
      <c r="N257" s="506"/>
      <c r="O257" s="506"/>
      <c r="P257" s="506"/>
      <c r="Q257" s="506"/>
      <c r="R257" s="506"/>
      <c r="S257" s="506"/>
      <c r="T257" s="506"/>
      <c r="U257" s="506"/>
      <c r="V257" s="506"/>
      <c r="W257" s="506"/>
      <c r="X257" s="506"/>
      <c r="Y257" s="506"/>
      <c r="Z257" s="506"/>
      <c r="AA257" s="506"/>
      <c r="AB257" s="506"/>
      <c r="AC257" s="506"/>
      <c r="AD257" s="506"/>
      <c r="AE257" s="506"/>
      <c r="AF257" s="506"/>
      <c r="AG257" s="506"/>
      <c r="AH257" s="506"/>
      <c r="AI257" s="506"/>
      <c r="AJ257" s="506"/>
      <c r="AK257" s="506"/>
      <c r="AL257" s="506"/>
      <c r="AM257" s="506"/>
      <c r="AN257" s="506"/>
      <c r="AO257" s="506"/>
      <c r="AP257" s="506"/>
      <c r="AQ257" s="506"/>
      <c r="AR257" s="506"/>
      <c r="AS257" s="506"/>
      <c r="AT257" s="506"/>
      <c r="AU257" s="506"/>
      <c r="AV257" s="506"/>
      <c r="AW257" s="506"/>
      <c r="AX257" s="506"/>
      <c r="AY257" s="506"/>
      <c r="AZ257" s="506"/>
      <c r="BA257" s="506"/>
      <c r="BB257" s="506"/>
      <c r="BC257" s="506"/>
      <c r="BD257" s="506"/>
      <c r="BE257" s="506"/>
      <c r="BF257" s="506"/>
      <c r="BG257" s="506"/>
      <c r="BH257" s="506"/>
      <c r="BI257" s="506"/>
    </row>
    <row r="258" spans="1:61" ht="12.95" customHeight="1">
      <c r="A258" s="254" t="s">
        <v>1913</v>
      </c>
      <c r="B258" s="254" t="s">
        <v>92</v>
      </c>
      <c r="C258" s="204">
        <v>1</v>
      </c>
      <c r="D258" s="254" t="s">
        <v>1416</v>
      </c>
      <c r="E258" s="502">
        <v>1</v>
      </c>
      <c r="F258" s="501">
        <v>-19.0180271576526</v>
      </c>
      <c r="G258" s="506">
        <v>50</v>
      </c>
      <c r="H258" s="506">
        <v>0</v>
      </c>
      <c r="I258" s="506">
        <v>0</v>
      </c>
      <c r="J258" s="506">
        <v>1.85</v>
      </c>
      <c r="K258" s="506">
        <v>0</v>
      </c>
      <c r="L258" s="506">
        <v>27.3</v>
      </c>
      <c r="M258" s="506">
        <v>29.15</v>
      </c>
      <c r="N258" s="506">
        <v>12.2167783113906</v>
      </c>
      <c r="O258" s="506">
        <v>-1.0761584708827501</v>
      </c>
      <c r="P258" s="506">
        <v>13.2929367822733</v>
      </c>
      <c r="Q258" s="506">
        <v>6.2988289642019801E-2</v>
      </c>
      <c r="R258" s="506">
        <v>206.42213514539</v>
      </c>
      <c r="S258" s="506">
        <v>41.8107377920877</v>
      </c>
      <c r="T258" s="506">
        <v>1.4185954626113001E-2</v>
      </c>
      <c r="U258" s="506">
        <v>2.27385465187925E-2</v>
      </c>
      <c r="V258" s="506">
        <v>1.01865911261918E-6</v>
      </c>
      <c r="W258" s="506">
        <v>13.2929367822733</v>
      </c>
      <c r="X258" s="506">
        <v>6.2988289642019801E-2</v>
      </c>
      <c r="Y258" s="506">
        <v>206.42213514539</v>
      </c>
      <c r="Z258" s="506">
        <v>41.8107377920877</v>
      </c>
      <c r="AA258" s="506">
        <v>1.4185954626113001E-2</v>
      </c>
      <c r="AB258" s="506">
        <v>2.27385465187925E-2</v>
      </c>
      <c r="AC258" s="506">
        <v>1.01865911261918E-6</v>
      </c>
      <c r="AD258" s="506">
        <v>0</v>
      </c>
      <c r="AE258" s="506">
        <v>0</v>
      </c>
      <c r="AF258" s="506">
        <v>0</v>
      </c>
      <c r="AG258" s="506">
        <v>0</v>
      </c>
      <c r="AH258" s="506">
        <v>1.5747072410504898E-2</v>
      </c>
      <c r="AI258" s="506">
        <v>51.6055337863475</v>
      </c>
      <c r="AJ258" s="506">
        <v>9.0245897435897393E-2</v>
      </c>
      <c r="AK258" s="506">
        <v>27.073769230769201</v>
      </c>
      <c r="AL258" s="506">
        <v>50</v>
      </c>
      <c r="AM258" s="506">
        <v>338.32211538461502</v>
      </c>
      <c r="AN258" s="506">
        <v>0</v>
      </c>
      <c r="AO258" s="506">
        <v>0</v>
      </c>
      <c r="AP258" s="506">
        <v>1.7000192307692299</v>
      </c>
      <c r="AQ258" s="506">
        <v>0.1</v>
      </c>
      <c r="AR258" s="506">
        <v>9.0245897435897393E-2</v>
      </c>
      <c r="AS258" s="506">
        <v>27.073769230769201</v>
      </c>
      <c r="AT258" s="506">
        <v>50</v>
      </c>
      <c r="AU258" s="506">
        <v>338.32211538461502</v>
      </c>
      <c r="AV258" s="506">
        <v>0.09</v>
      </c>
      <c r="AW258" s="506">
        <v>0</v>
      </c>
      <c r="AX258" s="506">
        <v>2.4589743589743601E-4</v>
      </c>
      <c r="AY258" s="506">
        <v>0.1</v>
      </c>
      <c r="AZ258" s="506">
        <v>0.18049179487179501</v>
      </c>
      <c r="BA258" s="506">
        <v>54.147538461538502</v>
      </c>
      <c r="BB258" s="506">
        <v>50</v>
      </c>
      <c r="BC258" s="506">
        <v>676.74423076923097</v>
      </c>
      <c r="BD258" s="506">
        <v>0.18</v>
      </c>
      <c r="BE258" s="506">
        <v>0</v>
      </c>
      <c r="BF258" s="506">
        <v>4.9179487179487201E-4</v>
      </c>
      <c r="BG258" s="506">
        <v>0.1</v>
      </c>
      <c r="BH258" s="506">
        <v>8.7449999999999992</v>
      </c>
      <c r="BI258" s="506">
        <v>1.4575</v>
      </c>
    </row>
    <row r="259" spans="1:61" ht="12.95" customHeight="1">
      <c r="A259" s="254" t="s">
        <v>1914</v>
      </c>
      <c r="B259" s="254" t="s">
        <v>92</v>
      </c>
      <c r="C259" s="204">
        <v>2</v>
      </c>
      <c r="D259" s="254" t="s">
        <v>1417</v>
      </c>
      <c r="E259" s="502">
        <v>1</v>
      </c>
      <c r="F259" s="501">
        <v>-21.9368312201651</v>
      </c>
      <c r="G259" s="506">
        <v>50</v>
      </c>
      <c r="H259" s="506">
        <v>1.8</v>
      </c>
      <c r="I259" s="506">
        <v>0</v>
      </c>
      <c r="J259" s="506">
        <v>1.85</v>
      </c>
      <c r="K259" s="506">
        <v>0</v>
      </c>
      <c r="L259" s="506">
        <v>25.5</v>
      </c>
      <c r="M259" s="506">
        <v>29.15</v>
      </c>
      <c r="N259" s="506">
        <v>9.7013937662054097</v>
      </c>
      <c r="O259" s="506">
        <v>-3.97040335705104</v>
      </c>
      <c r="P259" s="506">
        <v>13.6717971232564</v>
      </c>
      <c r="Q259" s="506">
        <v>4.4970558498586798E-2</v>
      </c>
      <c r="R259" s="506">
        <v>203.50586056967299</v>
      </c>
      <c r="S259" s="506">
        <v>41.349509434793902</v>
      </c>
      <c r="T259" s="506">
        <v>6.3421165805458103E-3</v>
      </c>
      <c r="U259" s="506">
        <v>2.0142727695890501E-2</v>
      </c>
      <c r="V259" s="506">
        <v>1.13326827701341E-6</v>
      </c>
      <c r="W259" s="506">
        <v>13.6717971232564</v>
      </c>
      <c r="X259" s="506">
        <v>4.4970558498586798E-2</v>
      </c>
      <c r="Y259" s="506">
        <v>203.50586056967299</v>
      </c>
      <c r="Z259" s="506">
        <v>41.349509434793902</v>
      </c>
      <c r="AA259" s="506">
        <v>6.3421165805458103E-3</v>
      </c>
      <c r="AB259" s="506">
        <v>2.0142727695890501E-2</v>
      </c>
      <c r="AC259" s="506">
        <v>1.13326827701341E-6</v>
      </c>
      <c r="AD259" s="506">
        <v>0</v>
      </c>
      <c r="AE259" s="506">
        <v>0</v>
      </c>
      <c r="AF259" s="506">
        <v>0</v>
      </c>
      <c r="AG259" s="506">
        <v>0</v>
      </c>
      <c r="AH259" s="506">
        <v>1.1242639624646699E-2</v>
      </c>
      <c r="AI259" s="506">
        <v>50.876465142418198</v>
      </c>
      <c r="AJ259" s="506">
        <v>9.0245897435897393E-2</v>
      </c>
      <c r="AK259" s="506">
        <v>27.073769230769201</v>
      </c>
      <c r="AL259" s="506">
        <v>50</v>
      </c>
      <c r="AM259" s="506">
        <v>338.42211538461498</v>
      </c>
      <c r="AN259" s="506">
        <v>1.8</v>
      </c>
      <c r="AO259" s="506">
        <v>0</v>
      </c>
      <c r="AP259" s="506">
        <v>1.7000192307692299</v>
      </c>
      <c r="AQ259" s="506">
        <v>0</v>
      </c>
      <c r="AR259" s="506">
        <v>9.0245897435897393E-2</v>
      </c>
      <c r="AS259" s="506">
        <v>27.073769230769201</v>
      </c>
      <c r="AT259" s="506">
        <v>50</v>
      </c>
      <c r="AU259" s="506">
        <v>338.42211538461498</v>
      </c>
      <c r="AV259" s="506">
        <v>0.03</v>
      </c>
      <c r="AW259" s="506">
        <v>0.06</v>
      </c>
      <c r="AX259" s="506">
        <v>2.4589743589743601E-4</v>
      </c>
      <c r="AY259" s="506">
        <v>0</v>
      </c>
      <c r="AZ259" s="506">
        <v>0.18049179487179501</v>
      </c>
      <c r="BA259" s="506">
        <v>54.147538461538502</v>
      </c>
      <c r="BB259" s="506">
        <v>50</v>
      </c>
      <c r="BC259" s="506">
        <v>676.84423076923099</v>
      </c>
      <c r="BD259" s="506">
        <v>0.06</v>
      </c>
      <c r="BE259" s="506">
        <v>0.12</v>
      </c>
      <c r="BF259" s="506">
        <v>4.9179487179487201E-4</v>
      </c>
      <c r="BG259" s="506">
        <v>0</v>
      </c>
      <c r="BH259" s="506">
        <v>8.7449999999999992</v>
      </c>
      <c r="BI259" s="506">
        <v>1.4575</v>
      </c>
    </row>
    <row r="260" spans="1:61" ht="12.95" customHeight="1">
      <c r="A260" s="254" t="s">
        <v>1915</v>
      </c>
      <c r="B260" s="254" t="s">
        <v>92</v>
      </c>
      <c r="C260" s="204">
        <v>3</v>
      </c>
      <c r="D260" s="254" t="s">
        <v>1418</v>
      </c>
      <c r="E260" s="502">
        <v>1</v>
      </c>
      <c r="F260" s="501">
        <v>-24.127570586636701</v>
      </c>
      <c r="G260" s="506">
        <v>50</v>
      </c>
      <c r="H260" s="506">
        <v>3</v>
      </c>
      <c r="I260" s="506">
        <v>0</v>
      </c>
      <c r="J260" s="506">
        <v>0.35</v>
      </c>
      <c r="K260" s="506">
        <v>0</v>
      </c>
      <c r="L260" s="506">
        <v>27.12</v>
      </c>
      <c r="M260" s="506">
        <v>30.47</v>
      </c>
      <c r="N260" s="506">
        <v>4.0120871788940002</v>
      </c>
      <c r="O260" s="506">
        <v>-6.0196282491781004</v>
      </c>
      <c r="P260" s="506">
        <v>10.031715428072101</v>
      </c>
      <c r="Q260" s="506">
        <v>4.6286324038219501E-2</v>
      </c>
      <c r="R260" s="506">
        <v>160.967150353552</v>
      </c>
      <c r="S260" s="506">
        <v>101.97063281468699</v>
      </c>
      <c r="T260" s="506">
        <v>1.18311596777496E-2</v>
      </c>
      <c r="U260" s="506">
        <v>1.5176512735527101E-2</v>
      </c>
      <c r="V260" s="506">
        <v>8.5705902600956399E-7</v>
      </c>
      <c r="W260" s="506">
        <v>10.031715428072101</v>
      </c>
      <c r="X260" s="506">
        <v>4.6286324038219501E-2</v>
      </c>
      <c r="Y260" s="506">
        <v>160.967150353552</v>
      </c>
      <c r="Z260" s="506">
        <v>101.97063281468699</v>
      </c>
      <c r="AA260" s="506">
        <v>1.18311596777496E-2</v>
      </c>
      <c r="AB260" s="506">
        <v>1.5176512735527101E-2</v>
      </c>
      <c r="AC260" s="506">
        <v>8.5705902600956399E-7</v>
      </c>
      <c r="AD260" s="506">
        <v>0</v>
      </c>
      <c r="AE260" s="506">
        <v>0</v>
      </c>
      <c r="AF260" s="506">
        <v>0</v>
      </c>
      <c r="AG260" s="506">
        <v>0</v>
      </c>
      <c r="AH260" s="506">
        <v>1.1571581009554899E-2</v>
      </c>
      <c r="AI260" s="506">
        <v>40.241787588387901</v>
      </c>
      <c r="AJ260" s="506">
        <v>9.0044871794871806E-2</v>
      </c>
      <c r="AK260" s="506">
        <v>26.413461538461501</v>
      </c>
      <c r="AL260" s="506">
        <v>50</v>
      </c>
      <c r="AM260" s="506">
        <v>330.06826923076898</v>
      </c>
      <c r="AN260" s="506">
        <v>3</v>
      </c>
      <c r="AO260" s="506">
        <v>0</v>
      </c>
      <c r="AP260" s="506">
        <v>4.4871794871794902E-5</v>
      </c>
      <c r="AQ260" s="506">
        <v>0.1</v>
      </c>
      <c r="AR260" s="506">
        <v>9.0044871794871806E-2</v>
      </c>
      <c r="AS260" s="506">
        <v>26.413461538461501</v>
      </c>
      <c r="AT260" s="506">
        <v>50</v>
      </c>
      <c r="AU260" s="506">
        <v>330.168269230769</v>
      </c>
      <c r="AV260" s="506">
        <v>8.4000000000000005E-2</v>
      </c>
      <c r="AW260" s="506">
        <v>6.0000000000000001E-3</v>
      </c>
      <c r="AX260" s="506">
        <v>4.4871794871794902E-5</v>
      </c>
      <c r="AY260" s="506">
        <v>0</v>
      </c>
      <c r="AZ260" s="506">
        <v>0.180089743589744</v>
      </c>
      <c r="BA260" s="506">
        <v>52.826923076923102</v>
      </c>
      <c r="BB260" s="506">
        <v>50</v>
      </c>
      <c r="BC260" s="506">
        <v>660.336538461538</v>
      </c>
      <c r="BD260" s="506">
        <v>0.16800000000000001</v>
      </c>
      <c r="BE260" s="506">
        <v>1.2E-2</v>
      </c>
      <c r="BF260" s="506">
        <v>8.9743589743589695E-5</v>
      </c>
      <c r="BG260" s="506">
        <v>0</v>
      </c>
      <c r="BH260" s="506">
        <v>8.8409999999999993</v>
      </c>
      <c r="BI260" s="506">
        <v>1.5235000000000001</v>
      </c>
    </row>
    <row r="261" spans="1:61" ht="12.95" customHeight="1">
      <c r="A261" s="254" t="s">
        <v>1916</v>
      </c>
      <c r="B261" s="254" t="s">
        <v>92</v>
      </c>
      <c r="C261" s="204">
        <v>4</v>
      </c>
      <c r="D261" s="254" t="s">
        <v>1419</v>
      </c>
      <c r="E261" s="502">
        <v>1</v>
      </c>
      <c r="F261" s="501">
        <v>-26.754494242897898</v>
      </c>
      <c r="G261" s="506">
        <v>50</v>
      </c>
      <c r="H261" s="506">
        <v>4.62</v>
      </c>
      <c r="I261" s="506">
        <v>0</v>
      </c>
      <c r="J261" s="506">
        <v>0.35</v>
      </c>
      <c r="K261" s="506">
        <v>0</v>
      </c>
      <c r="L261" s="506">
        <v>25.5</v>
      </c>
      <c r="M261" s="506">
        <v>30.47</v>
      </c>
      <c r="N261" s="506">
        <v>1.74824108822733</v>
      </c>
      <c r="O261" s="506">
        <v>-8.6244486467295598</v>
      </c>
      <c r="P261" s="506">
        <v>10.3726897349569</v>
      </c>
      <c r="Q261" s="506">
        <v>3.0070366009129799E-2</v>
      </c>
      <c r="R261" s="506">
        <v>158.34250323540601</v>
      </c>
      <c r="S261" s="506">
        <v>101.55552729312301</v>
      </c>
      <c r="T261" s="506">
        <v>4.7717054367391104E-3</v>
      </c>
      <c r="U261" s="506">
        <v>1.2840275794915401E-2</v>
      </c>
      <c r="V261" s="506">
        <v>9.6020727396436792E-7</v>
      </c>
      <c r="W261" s="506">
        <v>10.3726897349569</v>
      </c>
      <c r="X261" s="506">
        <v>3.0070366009129799E-2</v>
      </c>
      <c r="Y261" s="506">
        <v>158.34250323540601</v>
      </c>
      <c r="Z261" s="506">
        <v>101.55552729312301</v>
      </c>
      <c r="AA261" s="506">
        <v>4.7717054367391104E-3</v>
      </c>
      <c r="AB261" s="506">
        <v>1.2840275794915401E-2</v>
      </c>
      <c r="AC261" s="506">
        <v>9.6020727396436792E-7</v>
      </c>
      <c r="AD261" s="506">
        <v>0</v>
      </c>
      <c r="AE261" s="506">
        <v>0</v>
      </c>
      <c r="AF261" s="506">
        <v>0</v>
      </c>
      <c r="AG261" s="506">
        <v>0</v>
      </c>
      <c r="AH261" s="506">
        <v>7.5175915022824601E-3</v>
      </c>
      <c r="AI261" s="506">
        <v>39.585625808851603</v>
      </c>
      <c r="AJ261" s="506">
        <v>9.0044871794871806E-2</v>
      </c>
      <c r="AK261" s="506">
        <v>26.413461538461501</v>
      </c>
      <c r="AL261" s="506">
        <v>50</v>
      </c>
      <c r="AM261" s="506">
        <v>330.06826923076898</v>
      </c>
      <c r="AN261" s="506">
        <v>4.62</v>
      </c>
      <c r="AO261" s="506">
        <v>0</v>
      </c>
      <c r="AP261" s="506">
        <v>4.4871794871794902E-5</v>
      </c>
      <c r="AQ261" s="506">
        <v>0.1</v>
      </c>
      <c r="AR261" s="506">
        <v>9.0044871794871806E-2</v>
      </c>
      <c r="AS261" s="506">
        <v>26.413461538461501</v>
      </c>
      <c r="AT261" s="506">
        <v>50</v>
      </c>
      <c r="AU261" s="506">
        <v>330.168269230769</v>
      </c>
      <c r="AV261" s="506">
        <v>0.03</v>
      </c>
      <c r="AW261" s="506">
        <v>0.06</v>
      </c>
      <c r="AX261" s="506">
        <v>4.4871794871794902E-5</v>
      </c>
      <c r="AY261" s="506">
        <v>0</v>
      </c>
      <c r="AZ261" s="506">
        <v>0.180089743589744</v>
      </c>
      <c r="BA261" s="506">
        <v>52.826923076923102</v>
      </c>
      <c r="BB261" s="506">
        <v>50</v>
      </c>
      <c r="BC261" s="506">
        <v>660.336538461538</v>
      </c>
      <c r="BD261" s="506">
        <v>0.06</v>
      </c>
      <c r="BE261" s="506">
        <v>0.12</v>
      </c>
      <c r="BF261" s="506">
        <v>8.9743589743589695E-5</v>
      </c>
      <c r="BG261" s="506">
        <v>0</v>
      </c>
      <c r="BH261" s="506">
        <v>8.8409999999999993</v>
      </c>
      <c r="BI261" s="506">
        <v>1.5235000000000001</v>
      </c>
    </row>
    <row r="262" spans="1:61" ht="12.95" customHeight="1">
      <c r="A262" s="254" t="s">
        <v>1905</v>
      </c>
      <c r="B262" s="254" t="s">
        <v>92</v>
      </c>
      <c r="C262" s="204">
        <v>5</v>
      </c>
      <c r="D262" s="254" t="s">
        <v>1420</v>
      </c>
      <c r="E262" s="502">
        <v>1</v>
      </c>
      <c r="F262" s="501">
        <v>-32.812083954116702</v>
      </c>
      <c r="G262" s="506">
        <v>50</v>
      </c>
      <c r="H262" s="506">
        <v>0</v>
      </c>
      <c r="I262" s="506">
        <v>0</v>
      </c>
      <c r="J262" s="506">
        <v>0</v>
      </c>
      <c r="K262" s="506">
        <v>0</v>
      </c>
      <c r="L262" s="506">
        <v>12.75</v>
      </c>
      <c r="M262" s="506">
        <v>12.75</v>
      </c>
      <c r="N262" s="506">
        <v>2.4506784760057001</v>
      </c>
      <c r="O262" s="506">
        <v>-0.53298650612503595</v>
      </c>
      <c r="P262" s="506">
        <v>2.9836649821307399</v>
      </c>
      <c r="Q262" s="506">
        <v>9.3593048864796698E-3</v>
      </c>
      <c r="R262" s="506">
        <v>55.946869450551503</v>
      </c>
      <c r="S262" s="506">
        <v>18.9102544068922</v>
      </c>
      <c r="T262" s="506">
        <v>9.8729682278978306E-4</v>
      </c>
      <c r="U262" s="506">
        <v>3.9157439313298103E-3</v>
      </c>
      <c r="V262" s="506">
        <v>3.43036418509932E-7</v>
      </c>
      <c r="W262" s="506">
        <v>2.9836649821307399</v>
      </c>
      <c r="X262" s="506">
        <v>9.3593048864796698E-3</v>
      </c>
      <c r="Y262" s="506">
        <v>55.946869450551503</v>
      </c>
      <c r="Z262" s="506">
        <v>18.9102544068922</v>
      </c>
      <c r="AA262" s="506">
        <v>9.8729682278978306E-4</v>
      </c>
      <c r="AB262" s="506">
        <v>3.9157439313298103E-3</v>
      </c>
      <c r="AC262" s="506">
        <v>3.43036418509932E-7</v>
      </c>
      <c r="AD262" s="506">
        <v>0</v>
      </c>
      <c r="AE262" s="506">
        <v>0</v>
      </c>
      <c r="AF262" s="506">
        <v>0</v>
      </c>
      <c r="AG262" s="506">
        <v>0</v>
      </c>
      <c r="AH262" s="506">
        <v>2.33982622161992E-3</v>
      </c>
      <c r="AI262" s="506">
        <v>13.986717362637901</v>
      </c>
      <c r="AJ262" s="506">
        <v>1.4999999999999999E-2</v>
      </c>
      <c r="AK262" s="506">
        <v>4.5</v>
      </c>
      <c r="AL262" s="506">
        <v>12.5</v>
      </c>
      <c r="AM262" s="506">
        <v>56.25</v>
      </c>
      <c r="AN262" s="506">
        <v>0</v>
      </c>
      <c r="AO262" s="506">
        <v>0</v>
      </c>
      <c r="AP262" s="506">
        <v>0</v>
      </c>
      <c r="AQ262" s="506">
        <v>0</v>
      </c>
      <c r="AR262" s="506">
        <v>1.4999999999999999E-2</v>
      </c>
      <c r="AS262" s="506">
        <v>4.5</v>
      </c>
      <c r="AT262" s="506">
        <v>12.5</v>
      </c>
      <c r="AU262" s="506">
        <v>56.15</v>
      </c>
      <c r="AV262" s="506">
        <v>1.4999999999999999E-2</v>
      </c>
      <c r="AW262" s="506">
        <v>0</v>
      </c>
      <c r="AX262" s="506">
        <v>0</v>
      </c>
      <c r="AY262" s="506">
        <v>0.1</v>
      </c>
      <c r="AZ262" s="506">
        <v>0.03</v>
      </c>
      <c r="BA262" s="506">
        <v>9</v>
      </c>
      <c r="BB262" s="506">
        <v>12.5</v>
      </c>
      <c r="BC262" s="506">
        <v>112.4</v>
      </c>
      <c r="BD262" s="506">
        <v>0.03</v>
      </c>
      <c r="BE262" s="506">
        <v>0</v>
      </c>
      <c r="BF262" s="506">
        <v>0</v>
      </c>
      <c r="BG262" s="506">
        <v>0.1</v>
      </c>
      <c r="BH262" s="506">
        <v>3.8250000000000002</v>
      </c>
      <c r="BI262" s="506">
        <v>0.63749999999999996</v>
      </c>
    </row>
    <row r="263" spans="1:61" ht="12.95" customHeight="1">
      <c r="A263" s="254" t="s">
        <v>1907</v>
      </c>
      <c r="B263" s="254" t="s">
        <v>92</v>
      </c>
      <c r="C263" s="204">
        <v>6</v>
      </c>
      <c r="D263" s="254" t="s">
        <v>1421</v>
      </c>
      <c r="E263" s="502">
        <v>1</v>
      </c>
      <c r="F263" s="501">
        <v>-29.290834574900099</v>
      </c>
      <c r="G263" s="506">
        <v>50</v>
      </c>
      <c r="H263" s="506">
        <v>0</v>
      </c>
      <c r="I263" s="506">
        <v>0</v>
      </c>
      <c r="J263" s="506">
        <v>0</v>
      </c>
      <c r="K263" s="506">
        <v>0</v>
      </c>
      <c r="L263" s="506">
        <v>25.5</v>
      </c>
      <c r="M263" s="506">
        <v>25.5</v>
      </c>
      <c r="N263" s="506">
        <v>4.90135695201141</v>
      </c>
      <c r="O263" s="506">
        <v>-1.0659730122500699</v>
      </c>
      <c r="P263" s="506">
        <v>5.9673299642614799</v>
      </c>
      <c r="Q263" s="506">
        <v>1.8718609772959301E-2</v>
      </c>
      <c r="R263" s="506">
        <v>111.89373890110301</v>
      </c>
      <c r="S263" s="506">
        <v>37.8205088137844</v>
      </c>
      <c r="T263" s="506">
        <v>1.97459364557957E-3</v>
      </c>
      <c r="U263" s="506">
        <v>7.8314878626596206E-3</v>
      </c>
      <c r="V263" s="506">
        <v>6.8607283701986496E-7</v>
      </c>
      <c r="W263" s="506">
        <v>5.9673299642614799</v>
      </c>
      <c r="X263" s="506">
        <v>1.8718609772959301E-2</v>
      </c>
      <c r="Y263" s="506">
        <v>111.89373890110301</v>
      </c>
      <c r="Z263" s="506">
        <v>37.8205088137844</v>
      </c>
      <c r="AA263" s="506">
        <v>1.97459364557957E-3</v>
      </c>
      <c r="AB263" s="506">
        <v>7.8314878626596206E-3</v>
      </c>
      <c r="AC263" s="506">
        <v>6.8607283701986496E-7</v>
      </c>
      <c r="AD263" s="506">
        <v>0</v>
      </c>
      <c r="AE263" s="506">
        <v>0</v>
      </c>
      <c r="AF263" s="506">
        <v>0</v>
      </c>
      <c r="AG263" s="506">
        <v>0</v>
      </c>
      <c r="AH263" s="506">
        <v>4.6796524432398401E-3</v>
      </c>
      <c r="AI263" s="506">
        <v>27.973434725275801</v>
      </c>
      <c r="AJ263" s="506">
        <v>0.03</v>
      </c>
      <c r="AK263" s="506">
        <v>9</v>
      </c>
      <c r="AL263" s="506">
        <v>12.5</v>
      </c>
      <c r="AM263" s="506">
        <v>112.5</v>
      </c>
      <c r="AN263" s="506">
        <v>0</v>
      </c>
      <c r="AO263" s="506">
        <v>0</v>
      </c>
      <c r="AP263" s="506">
        <v>0</v>
      </c>
      <c r="AQ263" s="506">
        <v>0</v>
      </c>
      <c r="AR263" s="506">
        <v>0.03</v>
      </c>
      <c r="AS263" s="506">
        <v>9</v>
      </c>
      <c r="AT263" s="506">
        <v>12.5</v>
      </c>
      <c r="AU263" s="506">
        <v>112.4</v>
      </c>
      <c r="AV263" s="506">
        <v>0.03</v>
      </c>
      <c r="AW263" s="506">
        <v>0</v>
      </c>
      <c r="AX263" s="506">
        <v>0</v>
      </c>
      <c r="AY263" s="506">
        <v>0.1</v>
      </c>
      <c r="AZ263" s="506">
        <v>0.06</v>
      </c>
      <c r="BA263" s="506">
        <v>18</v>
      </c>
      <c r="BB263" s="506">
        <v>12.5</v>
      </c>
      <c r="BC263" s="506">
        <v>224.9</v>
      </c>
      <c r="BD263" s="506">
        <v>0.06</v>
      </c>
      <c r="BE263" s="506">
        <v>0</v>
      </c>
      <c r="BF263" s="506">
        <v>0</v>
      </c>
      <c r="BG263" s="506">
        <v>0.1</v>
      </c>
      <c r="BH263" s="506">
        <v>7.65</v>
      </c>
      <c r="BI263" s="506">
        <v>1.2749999999999999</v>
      </c>
    </row>
    <row r="264" spans="1:61" ht="12.95" customHeight="1">
      <c r="A264" s="254" t="s">
        <v>1909</v>
      </c>
      <c r="B264" s="254" t="s">
        <v>92</v>
      </c>
      <c r="C264" s="204">
        <v>7</v>
      </c>
      <c r="D264" s="254" t="s">
        <v>1422</v>
      </c>
      <c r="E264" s="502">
        <v>1</v>
      </c>
      <c r="F264" s="501">
        <v>-33.115163638600599</v>
      </c>
      <c r="G264" s="506">
        <v>50</v>
      </c>
      <c r="H264" s="506">
        <v>0</v>
      </c>
      <c r="I264" s="506">
        <v>0</v>
      </c>
      <c r="J264" s="506">
        <v>0</v>
      </c>
      <c r="K264" s="506">
        <v>0</v>
      </c>
      <c r="L264" s="506">
        <v>27</v>
      </c>
      <c r="M264" s="506">
        <v>27</v>
      </c>
      <c r="N264" s="506">
        <v>4.1883185389654196</v>
      </c>
      <c r="O264" s="506">
        <v>-3.3986353355270997E-2</v>
      </c>
      <c r="P264" s="506">
        <v>4.2223048923206896</v>
      </c>
      <c r="Q264" s="506">
        <v>9.6929254340468902E-3</v>
      </c>
      <c r="R264" s="506">
        <v>36.831796410968003</v>
      </c>
      <c r="S264" s="506">
        <v>9.2757906929310003</v>
      </c>
      <c r="T264" s="506">
        <v>1.30278641766347E-3</v>
      </c>
      <c r="U264" s="506">
        <v>4.8748576908955402E-3</v>
      </c>
      <c r="V264" s="506">
        <v>1.7953985023892101E-7</v>
      </c>
      <c r="W264" s="506">
        <v>4.2223048923206896</v>
      </c>
      <c r="X264" s="506">
        <v>9.6929254340468902E-3</v>
      </c>
      <c r="Y264" s="506">
        <v>36.831796410968003</v>
      </c>
      <c r="Z264" s="506">
        <v>9.2757906929310003</v>
      </c>
      <c r="AA264" s="506">
        <v>1.30278641766347E-3</v>
      </c>
      <c r="AB264" s="506">
        <v>4.8748576908955402E-3</v>
      </c>
      <c r="AC264" s="506">
        <v>1.7953985023892101E-7</v>
      </c>
      <c r="AD264" s="506">
        <v>0</v>
      </c>
      <c r="AE264" s="506">
        <v>0</v>
      </c>
      <c r="AF264" s="506">
        <v>0</v>
      </c>
      <c r="AG264" s="506">
        <v>0</v>
      </c>
      <c r="AH264" s="506">
        <v>2.42323135851172E-3</v>
      </c>
      <c r="AI264" s="506">
        <v>9.2079491027420008</v>
      </c>
      <c r="AJ264" s="506">
        <v>1.4999999999999999E-2</v>
      </c>
      <c r="AK264" s="506">
        <v>1.5</v>
      </c>
      <c r="AL264" s="506">
        <v>12.5</v>
      </c>
      <c r="AM264" s="506">
        <v>18.75</v>
      </c>
      <c r="AN264" s="506">
        <v>0</v>
      </c>
      <c r="AO264" s="506">
        <v>0</v>
      </c>
      <c r="AP264" s="506">
        <v>0</v>
      </c>
      <c r="AQ264" s="506">
        <v>0</v>
      </c>
      <c r="AR264" s="506">
        <v>1.4999999999999999E-2</v>
      </c>
      <c r="AS264" s="506">
        <v>1.5</v>
      </c>
      <c r="AT264" s="506">
        <v>12.5</v>
      </c>
      <c r="AU264" s="506">
        <v>18.649999999999999</v>
      </c>
      <c r="AV264" s="506">
        <v>1.4999999999999999E-2</v>
      </c>
      <c r="AW264" s="506">
        <v>0</v>
      </c>
      <c r="AX264" s="506">
        <v>0</v>
      </c>
      <c r="AY264" s="506">
        <v>0.1</v>
      </c>
      <c r="AZ264" s="506">
        <v>0.03</v>
      </c>
      <c r="BA264" s="506">
        <v>3</v>
      </c>
      <c r="BB264" s="506">
        <v>12.5</v>
      </c>
      <c r="BC264" s="506">
        <v>37.4</v>
      </c>
      <c r="BD264" s="506">
        <v>0.03</v>
      </c>
      <c r="BE264" s="506">
        <v>0</v>
      </c>
      <c r="BF264" s="506">
        <v>0</v>
      </c>
      <c r="BG264" s="506">
        <v>0.1</v>
      </c>
      <c r="BH264" s="506">
        <v>2.7</v>
      </c>
      <c r="BI264" s="506">
        <v>1.35</v>
      </c>
    </row>
    <row r="265" spans="1:61" ht="12.95" customHeight="1" thickBot="1">
      <c r="A265" s="254" t="s">
        <v>1468</v>
      </c>
      <c r="B265" s="254" t="s">
        <v>92</v>
      </c>
      <c r="C265" s="204">
        <v>8</v>
      </c>
      <c r="D265" s="254" t="s">
        <v>1423</v>
      </c>
      <c r="E265" s="502">
        <v>1</v>
      </c>
      <c r="F265" s="501">
        <v>-33.7013877826314</v>
      </c>
      <c r="G265" s="506">
        <v>50</v>
      </c>
      <c r="H265" s="506">
        <v>0</v>
      </c>
      <c r="I265" s="506">
        <v>0</v>
      </c>
      <c r="J265" s="506">
        <v>0</v>
      </c>
      <c r="K265" s="506">
        <v>0</v>
      </c>
      <c r="L265" s="506">
        <v>11.25</v>
      </c>
      <c r="M265" s="506">
        <v>11.25</v>
      </c>
      <c r="N265" s="506">
        <v>-1.4937684533911899</v>
      </c>
      <c r="O265" s="506">
        <v>-6.6600727165162903</v>
      </c>
      <c r="P265" s="506">
        <v>5.1663042631250997</v>
      </c>
      <c r="Q265" s="506">
        <v>1.0157656018037701E-2</v>
      </c>
      <c r="R265" s="506">
        <v>45.796584715864803</v>
      </c>
      <c r="S265" s="506">
        <v>77.122818542875706</v>
      </c>
      <c r="T265" s="506">
        <v>1.6626378060226E-3</v>
      </c>
      <c r="U265" s="506">
        <v>3.2518093388227199E-3</v>
      </c>
      <c r="V265" s="506">
        <v>2.7236411066969899E-7</v>
      </c>
      <c r="W265" s="506">
        <v>5.1663042631250997</v>
      </c>
      <c r="X265" s="506">
        <v>1.0157656018037701E-2</v>
      </c>
      <c r="Y265" s="506">
        <v>45.796584715864803</v>
      </c>
      <c r="Z265" s="506">
        <v>77.122818542875706</v>
      </c>
      <c r="AA265" s="506">
        <v>1.6626378060226E-3</v>
      </c>
      <c r="AB265" s="506">
        <v>3.2518093388227199E-3</v>
      </c>
      <c r="AC265" s="506">
        <v>2.7236411066969899E-7</v>
      </c>
      <c r="AD265" s="506">
        <v>0</v>
      </c>
      <c r="AE265" s="506">
        <v>0</v>
      </c>
      <c r="AF265" s="506">
        <v>0</v>
      </c>
      <c r="AG265" s="506">
        <v>0</v>
      </c>
      <c r="AH265" s="506">
        <v>2.53941400450942E-3</v>
      </c>
      <c r="AI265" s="506">
        <v>11.449146178966201</v>
      </c>
      <c r="AJ265" s="506">
        <v>2.5000000000000001E-2</v>
      </c>
      <c r="AK265" s="506">
        <v>7.5</v>
      </c>
      <c r="AL265" s="506">
        <v>12.5</v>
      </c>
      <c r="AM265" s="506">
        <v>93.75</v>
      </c>
      <c r="AN265" s="506">
        <v>0</v>
      </c>
      <c r="AO265" s="506">
        <v>0</v>
      </c>
      <c r="AP265" s="506">
        <v>0</v>
      </c>
      <c r="AQ265" s="506">
        <v>0</v>
      </c>
      <c r="AR265" s="506">
        <v>2.5000000000000001E-2</v>
      </c>
      <c r="AS265" s="506">
        <v>7.5</v>
      </c>
      <c r="AT265" s="506">
        <v>12.5</v>
      </c>
      <c r="AU265" s="506">
        <v>93.75</v>
      </c>
      <c r="AV265" s="506">
        <v>1.2500000000000001E-2</v>
      </c>
      <c r="AW265" s="506">
        <v>1.2500000000000001E-2</v>
      </c>
      <c r="AX265" s="506">
        <v>0</v>
      </c>
      <c r="AY265" s="506">
        <v>0</v>
      </c>
      <c r="AZ265" s="506">
        <v>0.05</v>
      </c>
      <c r="BA265" s="506">
        <v>15</v>
      </c>
      <c r="BB265" s="506">
        <v>12.5</v>
      </c>
      <c r="BC265" s="506">
        <v>187.5</v>
      </c>
      <c r="BD265" s="506">
        <v>2.5000000000000001E-2</v>
      </c>
      <c r="BE265" s="506">
        <v>2.5000000000000001E-2</v>
      </c>
      <c r="BF265" s="506">
        <v>0</v>
      </c>
      <c r="BG265" s="506">
        <v>0</v>
      </c>
      <c r="BH265" s="506">
        <v>3.375</v>
      </c>
      <c r="BI265" s="506">
        <v>0.5625</v>
      </c>
    </row>
    <row r="266" spans="1:61" ht="12.95" customHeight="1" thickBot="1">
      <c r="A266" s="254" t="s">
        <v>1789</v>
      </c>
      <c r="B266" s="254" t="s">
        <v>92</v>
      </c>
      <c r="C266" s="204"/>
      <c r="D266" s="254"/>
      <c r="E266" s="502"/>
      <c r="F266" s="501"/>
      <c r="G266" s="90"/>
      <c r="H266" s="90"/>
      <c r="I266" s="90"/>
      <c r="J266" s="90"/>
      <c r="K266" s="90"/>
      <c r="L266" s="90"/>
      <c r="M266" s="90"/>
      <c r="N266" s="90"/>
      <c r="O266" s="90"/>
      <c r="P266" s="90"/>
      <c r="Q266" s="90"/>
      <c r="R266" s="90"/>
      <c r="S266" s="90"/>
      <c r="T266" s="90"/>
      <c r="U266" s="90"/>
      <c r="V266" s="90"/>
      <c r="W266" s="90"/>
      <c r="X266" s="90"/>
      <c r="Y266" s="90"/>
      <c r="Z266" s="90"/>
      <c r="AA266" s="90"/>
      <c r="AB266" s="90"/>
      <c r="AC266" s="90"/>
      <c r="AD266" s="90"/>
      <c r="AE266" s="90"/>
      <c r="AF266" s="90"/>
      <c r="AG266" s="90"/>
      <c r="AH266" s="90"/>
      <c r="AI266" s="90"/>
      <c r="AJ266" s="90"/>
      <c r="AK266" s="90"/>
      <c r="AL266" s="90"/>
      <c r="AM266" s="90"/>
      <c r="AN266" s="90"/>
      <c r="AO266" s="90"/>
      <c r="AP266" s="90"/>
      <c r="AQ266" s="90"/>
      <c r="AR266" s="90"/>
      <c r="AS266" s="90"/>
      <c r="AT266" s="90"/>
      <c r="AU266" s="90"/>
      <c r="AV266" s="90"/>
      <c r="AW266" s="90"/>
      <c r="AX266" s="90"/>
      <c r="AY266" s="90"/>
      <c r="AZ266" s="90"/>
      <c r="BA266" s="90"/>
      <c r="BB266" s="90"/>
      <c r="BC266" s="90"/>
      <c r="BD266" s="90"/>
      <c r="BE266" s="90"/>
      <c r="BF266" s="90"/>
      <c r="BG266" s="90"/>
      <c r="BH266" s="90"/>
      <c r="BI266" s="506"/>
    </row>
    <row r="267" spans="1:61" ht="12.95" customHeight="1">
      <c r="A267" s="88" t="s">
        <v>2071</v>
      </c>
      <c r="B267" s="254"/>
      <c r="C267" s="204"/>
      <c r="D267" s="254"/>
      <c r="E267" s="502"/>
      <c r="F267" s="501"/>
      <c r="G267" s="506"/>
      <c r="H267" s="506"/>
      <c r="I267" s="506"/>
      <c r="J267" s="506"/>
      <c r="K267" s="506"/>
      <c r="L267" s="506"/>
      <c r="M267" s="506"/>
      <c r="N267" s="506"/>
      <c r="O267" s="506"/>
      <c r="P267" s="506"/>
      <c r="Q267" s="506"/>
      <c r="R267" s="506"/>
      <c r="S267" s="506"/>
      <c r="T267" s="506"/>
      <c r="U267" s="506"/>
      <c r="V267" s="506"/>
      <c r="W267" s="506"/>
      <c r="X267" s="506"/>
      <c r="Y267" s="506"/>
      <c r="Z267" s="506"/>
      <c r="AA267" s="506"/>
      <c r="AB267" s="506"/>
      <c r="AC267" s="506"/>
      <c r="AD267" s="506"/>
      <c r="AE267" s="506"/>
      <c r="AF267" s="506"/>
      <c r="AG267" s="506"/>
      <c r="AH267" s="506"/>
      <c r="AI267" s="506"/>
      <c r="AJ267" s="506"/>
      <c r="AK267" s="506"/>
      <c r="AL267" s="506"/>
      <c r="AM267" s="506"/>
      <c r="AN267" s="506"/>
      <c r="AO267" s="506"/>
      <c r="AP267" s="506"/>
      <c r="AQ267" s="506"/>
      <c r="AR267" s="506"/>
      <c r="AS267" s="506"/>
      <c r="AT267" s="506"/>
      <c r="AU267" s="506"/>
      <c r="AV267" s="506"/>
      <c r="AW267" s="506"/>
      <c r="AX267" s="506"/>
      <c r="AY267" s="506"/>
      <c r="AZ267" s="506"/>
      <c r="BA267" s="506"/>
      <c r="BB267" s="506"/>
      <c r="BC267" s="506"/>
      <c r="BD267" s="506"/>
      <c r="BE267" s="506"/>
      <c r="BF267" s="506"/>
      <c r="BG267" s="506"/>
      <c r="BH267" s="506"/>
      <c r="BI267" s="506"/>
    </row>
    <row r="268" spans="1:61" ht="12.95" customHeight="1" thickBot="1">
      <c r="A268" s="88" t="s">
        <v>2724</v>
      </c>
      <c r="B268" s="254" t="s">
        <v>92</v>
      </c>
      <c r="C268" s="204">
        <v>2</v>
      </c>
      <c r="D268" s="254" t="s">
        <v>2723</v>
      </c>
      <c r="E268" s="502">
        <v>1</v>
      </c>
      <c r="F268" s="501">
        <v>19.679186029586067</v>
      </c>
      <c r="G268" s="506">
        <v>35</v>
      </c>
      <c r="H268" s="506">
        <v>47.2</v>
      </c>
      <c r="I268" s="506">
        <v>0</v>
      </c>
      <c r="J268" s="506">
        <v>0</v>
      </c>
      <c r="K268" s="506">
        <v>0</v>
      </c>
      <c r="L268" s="506">
        <v>0</v>
      </c>
      <c r="M268" s="506">
        <v>47.2</v>
      </c>
      <c r="N268" s="506">
        <v>-25.450940303567201</v>
      </c>
      <c r="O268" s="506">
        <v>-73.140527730639803</v>
      </c>
      <c r="P268" s="506">
        <v>47.689587427072603</v>
      </c>
      <c r="Q268" s="506">
        <v>0.20811759740262101</v>
      </c>
      <c r="R268" s="506">
        <v>975.15989279493397</v>
      </c>
      <c r="S268" s="506">
        <v>987.91164189844096</v>
      </c>
      <c r="T268" s="506">
        <v>3.3290259751835603E-2</v>
      </c>
      <c r="U268" s="506">
        <v>9.8780169777471394E-2</v>
      </c>
      <c r="V268" s="506">
        <v>2.7582964908674199E-6</v>
      </c>
      <c r="W268" s="506">
        <v>95.379174854145205</v>
      </c>
      <c r="X268" s="506">
        <v>0.41623519480524201</v>
      </c>
      <c r="Y268" s="506">
        <v>1950.3197855898679</v>
      </c>
      <c r="Z268" s="506">
        <v>1975.8232837968819</v>
      </c>
      <c r="AA268" s="506">
        <v>6.6580519503671207E-2</v>
      </c>
      <c r="AB268" s="506">
        <v>0.19756033955494279</v>
      </c>
      <c r="AC268" s="506">
        <v>5.5165929817348397E-6</v>
      </c>
      <c r="AD268" s="506">
        <v>0</v>
      </c>
      <c r="AE268" s="506">
        <v>0</v>
      </c>
      <c r="AF268" s="506">
        <v>0</v>
      </c>
      <c r="AG268" s="506">
        <v>0</v>
      </c>
      <c r="AH268" s="506">
        <v>5.2029399350655252E-2</v>
      </c>
      <c r="AI268" s="506">
        <v>243.78997319873349</v>
      </c>
      <c r="AJ268" s="506">
        <v>1</v>
      </c>
      <c r="AK268" s="506">
        <v>300</v>
      </c>
      <c r="AL268" s="506">
        <v>0</v>
      </c>
      <c r="AM268" s="506">
        <v>0</v>
      </c>
      <c r="AN268" s="506">
        <v>0</v>
      </c>
      <c r="AO268" s="506">
        <v>0</v>
      </c>
      <c r="AP268" s="506">
        <v>0</v>
      </c>
      <c r="AQ268" s="506">
        <v>0</v>
      </c>
      <c r="AR268" s="506">
        <v>1.8571428571428572</v>
      </c>
      <c r="AS268" s="506">
        <v>557.14285714285711</v>
      </c>
      <c r="AT268" s="506">
        <v>0</v>
      </c>
      <c r="AU268" s="506">
        <v>0</v>
      </c>
      <c r="AV268" s="506">
        <v>0</v>
      </c>
      <c r="AW268" s="506">
        <v>0</v>
      </c>
      <c r="AX268" s="506">
        <v>0</v>
      </c>
      <c r="AY268" s="506">
        <v>0</v>
      </c>
      <c r="AZ268" s="506">
        <v>2.8571428571428572</v>
      </c>
      <c r="BA268" s="506">
        <v>857.14285714285711</v>
      </c>
      <c r="BB268" s="506">
        <v>0</v>
      </c>
      <c r="BC268" s="506">
        <v>0</v>
      </c>
      <c r="BD268" s="506">
        <v>0</v>
      </c>
      <c r="BE268" s="506">
        <v>0</v>
      </c>
      <c r="BF268" s="506">
        <v>0</v>
      </c>
      <c r="BG268" s="506">
        <v>0</v>
      </c>
      <c r="BH268" s="506">
        <v>14.16</v>
      </c>
      <c r="BI268" s="506"/>
    </row>
    <row r="269" spans="1:61" ht="12.95" customHeight="1" thickBot="1">
      <c r="A269" s="88" t="s">
        <v>2725</v>
      </c>
      <c r="B269" s="254" t="s">
        <v>92</v>
      </c>
      <c r="C269" s="204"/>
      <c r="D269" s="254"/>
      <c r="E269" s="502"/>
      <c r="F269" s="501"/>
      <c r="G269" s="90"/>
      <c r="H269" s="90"/>
      <c r="I269" s="90"/>
      <c r="J269" s="90"/>
      <c r="K269" s="90"/>
      <c r="L269" s="90"/>
      <c r="M269" s="90"/>
      <c r="N269" s="90"/>
      <c r="O269" s="90"/>
      <c r="P269" s="90"/>
      <c r="Q269" s="90"/>
      <c r="R269" s="90"/>
      <c r="S269" s="90"/>
      <c r="T269" s="90"/>
      <c r="U269" s="90"/>
      <c r="V269" s="90"/>
      <c r="W269" s="90"/>
      <c r="X269" s="90"/>
      <c r="Y269" s="90"/>
      <c r="Z269" s="90"/>
      <c r="AA269" s="90"/>
      <c r="AB269" s="90"/>
      <c r="AC269" s="90"/>
      <c r="AD269" s="90"/>
      <c r="AE269" s="90"/>
      <c r="AF269" s="90"/>
      <c r="AG269" s="90"/>
      <c r="AH269" s="90"/>
      <c r="AI269" s="90"/>
      <c r="AJ269" s="90"/>
      <c r="AK269" s="90"/>
      <c r="AL269" s="90"/>
      <c r="AM269" s="90"/>
      <c r="AN269" s="90"/>
      <c r="AO269" s="90"/>
      <c r="AP269" s="90"/>
      <c r="AQ269" s="90"/>
      <c r="AR269" s="90"/>
      <c r="AS269" s="90"/>
      <c r="AT269" s="90"/>
      <c r="AU269" s="90"/>
      <c r="AV269" s="90"/>
      <c r="AW269" s="90"/>
      <c r="AX269" s="90"/>
      <c r="AY269" s="90"/>
      <c r="AZ269" s="90"/>
      <c r="BA269" s="90"/>
      <c r="BB269" s="90"/>
      <c r="BC269" s="90"/>
      <c r="BD269" s="90"/>
      <c r="BE269" s="90"/>
      <c r="BF269" s="90"/>
      <c r="BG269" s="90"/>
      <c r="BH269" s="90"/>
      <c r="BI269" s="506"/>
    </row>
    <row r="270" spans="1:61" ht="12.95" customHeight="1">
      <c r="A270" s="88" t="s">
        <v>2071</v>
      </c>
      <c r="B270" s="254"/>
      <c r="C270" s="204"/>
      <c r="D270" s="254"/>
      <c r="E270" s="502"/>
      <c r="F270" s="501"/>
      <c r="G270" s="501"/>
      <c r="H270" s="501"/>
      <c r="I270" s="501"/>
      <c r="J270" s="501"/>
      <c r="K270" s="501"/>
      <c r="L270" s="501"/>
      <c r="M270" s="501"/>
      <c r="N270" s="501"/>
      <c r="O270" s="501"/>
      <c r="P270" s="501"/>
      <c r="Q270" s="501"/>
      <c r="R270" s="501"/>
      <c r="S270" s="501"/>
      <c r="T270" s="501"/>
      <c r="U270" s="501"/>
      <c r="V270" s="501"/>
      <c r="W270" s="501"/>
      <c r="X270" s="501"/>
      <c r="Y270" s="501"/>
      <c r="Z270" s="501"/>
      <c r="AA270" s="501"/>
      <c r="AB270" s="501"/>
      <c r="AC270" s="501"/>
      <c r="AD270" s="501"/>
      <c r="AE270" s="501"/>
      <c r="AF270" s="501"/>
      <c r="AG270" s="501"/>
      <c r="AH270" s="501"/>
      <c r="AI270" s="501"/>
      <c r="AJ270" s="501"/>
      <c r="AK270" s="501"/>
      <c r="AL270" s="501"/>
      <c r="AM270" s="501"/>
      <c r="AN270" s="501"/>
      <c r="AO270" s="501"/>
      <c r="AP270" s="501"/>
      <c r="AQ270" s="501"/>
      <c r="AR270" s="501"/>
      <c r="AS270" s="501"/>
      <c r="AT270" s="501"/>
      <c r="AU270" s="501"/>
      <c r="AV270" s="501"/>
      <c r="AW270" s="501"/>
      <c r="AX270" s="501"/>
      <c r="AY270" s="501"/>
      <c r="AZ270" s="501"/>
      <c r="BA270" s="501"/>
      <c r="BB270" s="501"/>
      <c r="BC270" s="501"/>
      <c r="BD270" s="501"/>
      <c r="BE270" s="501"/>
      <c r="BF270" s="501"/>
      <c r="BG270" s="501"/>
      <c r="BH270" s="501"/>
      <c r="BI270" s="506"/>
    </row>
    <row r="271" spans="1:61" ht="12.95" customHeight="1">
      <c r="A271" s="88" t="s">
        <v>2729</v>
      </c>
      <c r="B271" s="254" t="s">
        <v>92</v>
      </c>
      <c r="C271" s="204">
        <v>3</v>
      </c>
      <c r="D271" s="254" t="s">
        <v>2726</v>
      </c>
      <c r="E271" s="502">
        <v>1</v>
      </c>
      <c r="F271" s="501">
        <v>128.77237612938958</v>
      </c>
      <c r="G271" s="506">
        <v>35</v>
      </c>
      <c r="H271" s="501">
        <v>16.300117192449001</v>
      </c>
      <c r="I271" s="501">
        <v>0</v>
      </c>
      <c r="J271" s="501">
        <v>0</v>
      </c>
      <c r="K271" s="501">
        <v>0</v>
      </c>
      <c r="L271" s="501">
        <v>20.560000000000002</v>
      </c>
      <c r="M271" s="501">
        <v>36.860117192449003</v>
      </c>
      <c r="N271" s="501">
        <v>11.928837080562602</v>
      </c>
      <c r="O271" s="501">
        <v>-115.544344660763</v>
      </c>
      <c r="P271" s="501">
        <v>127.47318174132511</v>
      </c>
      <c r="Q271" s="501">
        <v>0.70935603578320794</v>
      </c>
      <c r="R271" s="501">
        <v>2056.102955346043</v>
      </c>
      <c r="S271" s="501">
        <v>1623.2952186277851</v>
      </c>
      <c r="T271" s="501">
        <v>8.24329518016194E-2</v>
      </c>
      <c r="U271" s="501">
        <v>0.27388604657711513</v>
      </c>
      <c r="V271" s="501">
        <v>8.2710917826388512E-6</v>
      </c>
      <c r="W271" s="501">
        <v>254.94636348265021</v>
      </c>
      <c r="X271" s="501">
        <v>1.4187120715664159</v>
      </c>
      <c r="Y271" s="501">
        <v>4112.205910692086</v>
      </c>
      <c r="Z271" s="501">
        <v>3246.5904372555701</v>
      </c>
      <c r="AA271" s="501">
        <v>0.1648659036032388</v>
      </c>
      <c r="AB271" s="501">
        <v>0.54777209315423026</v>
      </c>
      <c r="AC271" s="501">
        <v>1.6542183565277702E-5</v>
      </c>
      <c r="AD271" s="501">
        <v>0</v>
      </c>
      <c r="AE271" s="501">
        <v>0</v>
      </c>
      <c r="AF271" s="501">
        <v>0</v>
      </c>
      <c r="AG271" s="501">
        <v>0</v>
      </c>
      <c r="AH271" s="501">
        <v>0.17733900894580198</v>
      </c>
      <c r="AI271" s="501">
        <v>514.02573883651075</v>
      </c>
      <c r="AJ271" s="501">
        <v>1</v>
      </c>
      <c r="AK271" s="501">
        <v>300</v>
      </c>
      <c r="AL271" s="501">
        <v>0</v>
      </c>
      <c r="AM271" s="501">
        <v>0</v>
      </c>
      <c r="AN271" s="501">
        <v>0</v>
      </c>
      <c r="AO271" s="501">
        <v>0</v>
      </c>
      <c r="AP271" s="501">
        <v>0</v>
      </c>
      <c r="AQ271" s="501">
        <v>0</v>
      </c>
      <c r="AR271" s="501">
        <v>1.857142857142857</v>
      </c>
      <c r="AS271" s="501">
        <v>557.14285714285711</v>
      </c>
      <c r="AT271" s="501">
        <v>0</v>
      </c>
      <c r="AU271" s="501">
        <v>0</v>
      </c>
      <c r="AV271" s="501">
        <v>0</v>
      </c>
      <c r="AW271" s="501">
        <v>0</v>
      </c>
      <c r="AX271" s="501">
        <v>0</v>
      </c>
      <c r="AY271" s="501">
        <v>0</v>
      </c>
      <c r="AZ271" s="501">
        <v>2.8571428571428568</v>
      </c>
      <c r="BA271" s="501">
        <v>857.14285714285711</v>
      </c>
      <c r="BB271" s="501">
        <v>0</v>
      </c>
      <c r="BC271" s="501">
        <v>0</v>
      </c>
      <c r="BD271" s="501">
        <v>0</v>
      </c>
      <c r="BE271" s="501">
        <v>0</v>
      </c>
      <c r="BF271" s="501">
        <v>0</v>
      </c>
      <c r="BG271" s="501">
        <v>0</v>
      </c>
      <c r="BH271" s="501">
        <v>11.0580351577347</v>
      </c>
      <c r="BI271" s="506"/>
    </row>
    <row r="272" spans="1:61" ht="12.95" customHeight="1" thickBot="1">
      <c r="A272" s="88" t="s">
        <v>2730</v>
      </c>
      <c r="B272" s="254" t="s">
        <v>92</v>
      </c>
      <c r="C272" s="204">
        <v>4</v>
      </c>
      <c r="D272" s="254" t="s">
        <v>2727</v>
      </c>
      <c r="E272" s="502">
        <v>1</v>
      </c>
      <c r="F272" s="501">
        <v>331.58375565417862</v>
      </c>
      <c r="G272" s="506">
        <v>35</v>
      </c>
      <c r="H272" s="501">
        <v>0</v>
      </c>
      <c r="I272" s="501">
        <v>0</v>
      </c>
      <c r="J272" s="501">
        <v>7.024108</v>
      </c>
      <c r="K272" s="501">
        <v>0</v>
      </c>
      <c r="L272" s="501">
        <v>20.560000000000002</v>
      </c>
      <c r="M272" s="501">
        <v>27.584108000000001</v>
      </c>
      <c r="N272" s="501">
        <v>285.42517631692726</v>
      </c>
      <c r="O272" s="501">
        <v>-0.466353928510017</v>
      </c>
      <c r="P272" s="501">
        <v>285.89153024543731</v>
      </c>
      <c r="Q272" s="501">
        <v>1.3621321120001599</v>
      </c>
      <c r="R272" s="501">
        <v>4161.858340040083</v>
      </c>
      <c r="S272" s="501">
        <v>500.00394410918909</v>
      </c>
      <c r="T272" s="501">
        <v>0.12775134634734109</v>
      </c>
      <c r="U272" s="501">
        <v>0.50130277597537209</v>
      </c>
      <c r="V272" s="501">
        <v>1.997778419529852E-5</v>
      </c>
      <c r="W272" s="501">
        <v>571.78306049087462</v>
      </c>
      <c r="X272" s="501">
        <v>2.7242642240003199</v>
      </c>
      <c r="Y272" s="501">
        <v>8323.716680080166</v>
      </c>
      <c r="Z272" s="501">
        <v>1000.0078882183782</v>
      </c>
      <c r="AA272" s="501">
        <v>0.25550269269468218</v>
      </c>
      <c r="AB272" s="501">
        <v>1.0026055519507442</v>
      </c>
      <c r="AC272" s="501">
        <v>3.9955568390597039E-5</v>
      </c>
      <c r="AD272" s="501">
        <v>0</v>
      </c>
      <c r="AE272" s="501">
        <v>0</v>
      </c>
      <c r="AF272" s="501">
        <v>0</v>
      </c>
      <c r="AG272" s="501">
        <v>0</v>
      </c>
      <c r="AH272" s="501">
        <v>0.34053302800003998</v>
      </c>
      <c r="AI272" s="501">
        <v>1040.4645850100208</v>
      </c>
      <c r="AJ272" s="501">
        <v>1</v>
      </c>
      <c r="AK272" s="501">
        <v>300</v>
      </c>
      <c r="AL272" s="501">
        <v>0</v>
      </c>
      <c r="AM272" s="501">
        <v>0</v>
      </c>
      <c r="AN272" s="501">
        <v>0</v>
      </c>
      <c r="AO272" s="501">
        <v>0</v>
      </c>
      <c r="AP272" s="501">
        <v>0</v>
      </c>
      <c r="AQ272" s="501">
        <v>0</v>
      </c>
      <c r="AR272" s="501">
        <v>1.857142857142857</v>
      </c>
      <c r="AS272" s="501">
        <v>557.14285714285711</v>
      </c>
      <c r="AT272" s="501">
        <v>0</v>
      </c>
      <c r="AU272" s="501">
        <v>0</v>
      </c>
      <c r="AV272" s="501">
        <v>0</v>
      </c>
      <c r="AW272" s="501">
        <v>0</v>
      </c>
      <c r="AX272" s="501">
        <v>0</v>
      </c>
      <c r="AY272" s="501">
        <v>0</v>
      </c>
      <c r="AZ272" s="501">
        <v>2.8571428571428568</v>
      </c>
      <c r="BA272" s="501">
        <v>857.14285714285711</v>
      </c>
      <c r="BB272" s="501">
        <v>0</v>
      </c>
      <c r="BC272" s="501">
        <v>0</v>
      </c>
      <c r="BD272" s="501">
        <v>0</v>
      </c>
      <c r="BE272" s="501">
        <v>0</v>
      </c>
      <c r="BF272" s="501">
        <v>0</v>
      </c>
      <c r="BG272" s="501">
        <v>0</v>
      </c>
      <c r="BH272" s="501">
        <v>8.2752324000000002</v>
      </c>
      <c r="BI272" s="506"/>
    </row>
    <row r="273" spans="1:61" ht="12.95" customHeight="1" thickBot="1">
      <c r="A273" s="88" t="s">
        <v>2728</v>
      </c>
      <c r="B273" s="254" t="s">
        <v>92</v>
      </c>
      <c r="C273" s="204"/>
      <c r="D273" s="254"/>
      <c r="E273" s="502"/>
      <c r="F273" s="501"/>
      <c r="G273" s="90"/>
      <c r="H273" s="90"/>
      <c r="I273" s="90"/>
      <c r="J273" s="90"/>
      <c r="K273" s="90"/>
      <c r="L273" s="90"/>
      <c r="M273" s="90"/>
      <c r="N273" s="90"/>
      <c r="O273" s="90"/>
      <c r="P273" s="90"/>
      <c r="Q273" s="90"/>
      <c r="R273" s="90"/>
      <c r="S273" s="90"/>
      <c r="T273" s="90"/>
      <c r="U273" s="90"/>
      <c r="V273" s="90"/>
      <c r="W273" s="90"/>
      <c r="X273" s="90"/>
      <c r="Y273" s="90"/>
      <c r="Z273" s="90"/>
      <c r="AA273" s="90"/>
      <c r="AB273" s="90"/>
      <c r="AC273" s="90"/>
      <c r="AD273" s="90"/>
      <c r="AE273" s="90"/>
      <c r="AF273" s="90"/>
      <c r="AG273" s="90"/>
      <c r="AH273" s="90"/>
      <c r="AI273" s="90"/>
      <c r="AJ273" s="90"/>
      <c r="AK273" s="90"/>
      <c r="AL273" s="90"/>
      <c r="AM273" s="90"/>
      <c r="AN273" s="90"/>
      <c r="AO273" s="90"/>
      <c r="AP273" s="90"/>
      <c r="AQ273" s="90"/>
      <c r="AR273" s="90"/>
      <c r="AS273" s="90"/>
      <c r="AT273" s="90"/>
      <c r="AU273" s="90"/>
      <c r="AV273" s="90"/>
      <c r="AW273" s="90"/>
      <c r="AX273" s="90"/>
      <c r="AY273" s="90"/>
      <c r="AZ273" s="90"/>
      <c r="BA273" s="90"/>
      <c r="BB273" s="90"/>
      <c r="BC273" s="90"/>
      <c r="BD273" s="90"/>
      <c r="BE273" s="90"/>
      <c r="BF273" s="90"/>
      <c r="BG273" s="90"/>
      <c r="BH273" s="90"/>
      <c r="BI273" s="506"/>
    </row>
    <row r="274" spans="1:61" ht="12.95" customHeight="1">
      <c r="A274" s="254" t="s">
        <v>2071</v>
      </c>
      <c r="B274" s="254"/>
      <c r="C274" s="204"/>
      <c r="D274" s="254"/>
      <c r="E274" s="502"/>
      <c r="F274" s="501"/>
      <c r="G274" s="506"/>
      <c r="H274" s="506"/>
      <c r="I274" s="506"/>
      <c r="J274" s="506"/>
      <c r="K274" s="506"/>
      <c r="L274" s="506"/>
      <c r="M274" s="506"/>
      <c r="N274" s="506"/>
      <c r="O274" s="506"/>
      <c r="P274" s="506"/>
      <c r="Q274" s="506"/>
      <c r="R274" s="506"/>
      <c r="S274" s="506"/>
      <c r="T274" s="506"/>
      <c r="U274" s="506"/>
      <c r="V274" s="506"/>
      <c r="W274" s="506"/>
      <c r="X274" s="506"/>
      <c r="Y274" s="506"/>
      <c r="Z274" s="506"/>
      <c r="AA274" s="506"/>
      <c r="AB274" s="506"/>
      <c r="AC274" s="506"/>
      <c r="AD274" s="506"/>
      <c r="AE274" s="506"/>
      <c r="AF274" s="506"/>
      <c r="AG274" s="506"/>
      <c r="AH274" s="506"/>
      <c r="AI274" s="506"/>
      <c r="AJ274" s="506"/>
      <c r="AK274" s="506"/>
      <c r="AL274" s="506"/>
      <c r="AM274" s="506"/>
      <c r="AN274" s="506"/>
      <c r="AO274" s="506"/>
      <c r="AP274" s="506"/>
      <c r="AQ274" s="506"/>
      <c r="AR274" s="506"/>
      <c r="AS274" s="506"/>
      <c r="AT274" s="506"/>
      <c r="AU274" s="506"/>
      <c r="AV274" s="506"/>
      <c r="AW274" s="506"/>
      <c r="AX274" s="506"/>
      <c r="AY274" s="506"/>
      <c r="AZ274" s="506"/>
      <c r="BA274" s="506"/>
      <c r="BB274" s="506"/>
      <c r="BC274" s="506"/>
      <c r="BD274" s="506"/>
      <c r="BE274" s="506"/>
      <c r="BF274" s="506"/>
      <c r="BG274" s="506"/>
      <c r="BH274" s="506"/>
      <c r="BI274" s="506"/>
    </row>
    <row r="275" spans="1:61" ht="12.95" customHeight="1">
      <c r="A275" s="254" t="s">
        <v>1790</v>
      </c>
      <c r="B275" s="254" t="s">
        <v>92</v>
      </c>
      <c r="C275" s="204">
        <v>1</v>
      </c>
      <c r="D275" s="254" t="s">
        <v>1424</v>
      </c>
      <c r="E275" s="502">
        <v>1</v>
      </c>
      <c r="F275" s="501">
        <v>-18.2197446420601</v>
      </c>
      <c r="G275" s="506">
        <v>50</v>
      </c>
      <c r="H275" s="506">
        <v>0</v>
      </c>
      <c r="I275" s="506">
        <v>0</v>
      </c>
      <c r="J275" s="506">
        <v>1.7</v>
      </c>
      <c r="K275" s="506">
        <v>0</v>
      </c>
      <c r="L275" s="506">
        <v>24.225000000000001</v>
      </c>
      <c r="M275" s="506">
        <v>25.925000000000001</v>
      </c>
      <c r="N275" s="506">
        <v>12.800528826192901</v>
      </c>
      <c r="O275" s="506">
        <v>-0.86567191816157796</v>
      </c>
      <c r="P275" s="506">
        <v>13.6662007443545</v>
      </c>
      <c r="Q275" s="506">
        <v>6.00596965313209E-2</v>
      </c>
      <c r="R275" s="506">
        <v>239.16623048195001</v>
      </c>
      <c r="S275" s="506">
        <v>40.719516798507698</v>
      </c>
      <c r="T275" s="506">
        <v>7.5599722437305304E-3</v>
      </c>
      <c r="U275" s="506">
        <v>2.7778450819139398E-2</v>
      </c>
      <c r="V275" s="506">
        <v>1.2509465727229999E-6</v>
      </c>
      <c r="W275" s="506">
        <v>13.6662007443545</v>
      </c>
      <c r="X275" s="506">
        <v>6.00596965313209E-2</v>
      </c>
      <c r="Y275" s="506">
        <v>239.16623048195001</v>
      </c>
      <c r="Z275" s="506">
        <v>40.719516798507698</v>
      </c>
      <c r="AA275" s="506">
        <v>7.5599722437305304E-3</v>
      </c>
      <c r="AB275" s="506">
        <v>2.7778450819139398E-2</v>
      </c>
      <c r="AC275" s="506">
        <v>1.2509465727229999E-6</v>
      </c>
      <c r="AD275" s="506">
        <v>0</v>
      </c>
      <c r="AE275" s="506">
        <v>0</v>
      </c>
      <c r="AF275" s="506">
        <v>0</v>
      </c>
      <c r="AG275" s="506">
        <v>0</v>
      </c>
      <c r="AH275" s="506">
        <v>1.5014924132830201E-2</v>
      </c>
      <c r="AI275" s="506">
        <v>59.791557620487403</v>
      </c>
      <c r="AJ275" s="506">
        <v>0.10021794871794899</v>
      </c>
      <c r="AK275" s="506">
        <v>30.065384615384598</v>
      </c>
      <c r="AL275" s="506">
        <v>62.5</v>
      </c>
      <c r="AM275" s="506">
        <v>375.717307692308</v>
      </c>
      <c r="AN275" s="506">
        <v>0</v>
      </c>
      <c r="AO275" s="506">
        <v>0</v>
      </c>
      <c r="AP275" s="506">
        <v>1.5000256410256401</v>
      </c>
      <c r="AQ275" s="506">
        <v>0.1</v>
      </c>
      <c r="AR275" s="506">
        <v>0.10021794871794899</v>
      </c>
      <c r="AS275" s="506">
        <v>30.065384615384598</v>
      </c>
      <c r="AT275" s="506">
        <v>62.5</v>
      </c>
      <c r="AU275" s="506">
        <v>375.717307692308</v>
      </c>
      <c r="AV275" s="506">
        <v>0.1</v>
      </c>
      <c r="AW275" s="506">
        <v>0</v>
      </c>
      <c r="AX275" s="506">
        <v>2.1794871794871801E-4</v>
      </c>
      <c r="AY275" s="506">
        <v>0.1</v>
      </c>
      <c r="AZ275" s="506">
        <v>0.20043589743589699</v>
      </c>
      <c r="BA275" s="506">
        <v>60.130769230769197</v>
      </c>
      <c r="BB275" s="506">
        <v>62.5</v>
      </c>
      <c r="BC275" s="506">
        <v>751.53461538461499</v>
      </c>
      <c r="BD275" s="506">
        <v>0.2</v>
      </c>
      <c r="BE275" s="506">
        <v>0</v>
      </c>
      <c r="BF275" s="506">
        <v>4.3589743589743602E-4</v>
      </c>
      <c r="BG275" s="506">
        <v>0.1</v>
      </c>
      <c r="BH275" s="506">
        <v>7.7774999999999999</v>
      </c>
      <c r="BI275" s="506">
        <v>1.2962499999999999</v>
      </c>
    </row>
    <row r="276" spans="1:61" ht="12.95" customHeight="1">
      <c r="A276" s="254" t="s">
        <v>1791</v>
      </c>
      <c r="B276" s="254" t="s">
        <v>92</v>
      </c>
      <c r="C276" s="204">
        <v>2</v>
      </c>
      <c r="D276" s="254" t="s">
        <v>1425</v>
      </c>
      <c r="E276" s="502">
        <v>1</v>
      </c>
      <c r="F276" s="501">
        <v>-22.1905965114947</v>
      </c>
      <c r="G276" s="506">
        <v>50</v>
      </c>
      <c r="H276" s="506">
        <v>2.25</v>
      </c>
      <c r="I276" s="506">
        <v>0</v>
      </c>
      <c r="J276" s="506">
        <v>1.7</v>
      </c>
      <c r="K276" s="506">
        <v>0</v>
      </c>
      <c r="L276" s="506">
        <v>22.5</v>
      </c>
      <c r="M276" s="506">
        <v>26.45</v>
      </c>
      <c r="N276" s="506">
        <v>9.7763152760353496</v>
      </c>
      <c r="O276" s="506">
        <v>-4.48353161102506</v>
      </c>
      <c r="P276" s="506">
        <v>14.2598468870604</v>
      </c>
      <c r="Q276" s="506">
        <v>4.2898515018915E-2</v>
      </c>
      <c r="R276" s="506">
        <v>203.80646819932099</v>
      </c>
      <c r="S276" s="506">
        <v>37.298858740281503</v>
      </c>
      <c r="T276" s="506">
        <v>6.2739019912759304E-3</v>
      </c>
      <c r="U276" s="506">
        <v>1.9626809599032902E-2</v>
      </c>
      <c r="V276" s="506">
        <v>1.12303243461923E-6</v>
      </c>
      <c r="W276" s="506">
        <v>14.2598468870604</v>
      </c>
      <c r="X276" s="506">
        <v>4.2898515018915E-2</v>
      </c>
      <c r="Y276" s="506">
        <v>203.80646819932099</v>
      </c>
      <c r="Z276" s="506">
        <v>37.298858740281503</v>
      </c>
      <c r="AA276" s="506">
        <v>6.2739019912759304E-3</v>
      </c>
      <c r="AB276" s="506">
        <v>1.9626809599032902E-2</v>
      </c>
      <c r="AC276" s="506">
        <v>1.12303243461923E-6</v>
      </c>
      <c r="AD276" s="506">
        <v>0</v>
      </c>
      <c r="AE276" s="506">
        <v>0</v>
      </c>
      <c r="AF276" s="506">
        <v>0</v>
      </c>
      <c r="AG276" s="506">
        <v>0</v>
      </c>
      <c r="AH276" s="506">
        <v>1.07246287547288E-2</v>
      </c>
      <c r="AI276" s="506">
        <v>50.951617049830197</v>
      </c>
      <c r="AJ276" s="506">
        <v>0.10021794871794899</v>
      </c>
      <c r="AK276" s="506">
        <v>30.065384615384598</v>
      </c>
      <c r="AL276" s="506">
        <v>62.5</v>
      </c>
      <c r="AM276" s="506">
        <v>375.81730769230802</v>
      </c>
      <c r="AN276" s="506">
        <v>2.25</v>
      </c>
      <c r="AO276" s="506">
        <v>0</v>
      </c>
      <c r="AP276" s="506">
        <v>1.5000256410256401</v>
      </c>
      <c r="AQ276" s="506">
        <v>0</v>
      </c>
      <c r="AR276" s="506">
        <v>0.10021794871794899</v>
      </c>
      <c r="AS276" s="506">
        <v>30.065384615384598</v>
      </c>
      <c r="AT276" s="506">
        <v>62.5</v>
      </c>
      <c r="AU276" s="506">
        <v>375.81730769230802</v>
      </c>
      <c r="AV276" s="506">
        <v>2.5000000000000001E-2</v>
      </c>
      <c r="AW276" s="506">
        <v>7.4999999999999997E-2</v>
      </c>
      <c r="AX276" s="506">
        <v>2.1794871794871801E-4</v>
      </c>
      <c r="AY276" s="506">
        <v>0</v>
      </c>
      <c r="AZ276" s="506">
        <v>0.20043589743589699</v>
      </c>
      <c r="BA276" s="506">
        <v>60.130769230769197</v>
      </c>
      <c r="BB276" s="506">
        <v>62.5</v>
      </c>
      <c r="BC276" s="506">
        <v>751.63461538461502</v>
      </c>
      <c r="BD276" s="506">
        <v>0.05</v>
      </c>
      <c r="BE276" s="506">
        <v>0.15</v>
      </c>
      <c r="BF276" s="506">
        <v>4.3589743589743602E-4</v>
      </c>
      <c r="BG276" s="506">
        <v>0</v>
      </c>
      <c r="BH276" s="506">
        <v>7.9349999999999996</v>
      </c>
      <c r="BI276" s="506">
        <v>1.3225</v>
      </c>
    </row>
    <row r="277" spans="1:61" ht="12.95" customHeight="1">
      <c r="A277" s="254" t="s">
        <v>1792</v>
      </c>
      <c r="B277" s="254" t="s">
        <v>92</v>
      </c>
      <c r="C277" s="204">
        <v>3</v>
      </c>
      <c r="D277" s="254" t="s">
        <v>1426</v>
      </c>
      <c r="E277" s="502">
        <v>1</v>
      </c>
      <c r="F277" s="501">
        <v>-23.698598968242301</v>
      </c>
      <c r="G277" s="506">
        <v>50</v>
      </c>
      <c r="H277" s="506">
        <v>5.625</v>
      </c>
      <c r="I277" s="506">
        <v>0</v>
      </c>
      <c r="J277" s="506">
        <v>0.2</v>
      </c>
      <c r="K277" s="506">
        <v>0</v>
      </c>
      <c r="L277" s="506">
        <v>23.966249999999999</v>
      </c>
      <c r="M277" s="506">
        <v>29.791250000000002</v>
      </c>
      <c r="N277" s="506">
        <v>0.52719986533946706</v>
      </c>
      <c r="O277" s="506">
        <v>-10.1424302442192</v>
      </c>
      <c r="P277" s="506">
        <v>10.6696301095586</v>
      </c>
      <c r="Q277" s="506">
        <v>4.5479302146243697E-2</v>
      </c>
      <c r="R277" s="506">
        <v>194.488823041057</v>
      </c>
      <c r="S277" s="506">
        <v>154.993653422395</v>
      </c>
      <c r="T277" s="506">
        <v>6.9740789841704698E-3</v>
      </c>
      <c r="U277" s="506">
        <v>2.0433159057729699E-2</v>
      </c>
      <c r="V277" s="506">
        <v>1.0849782589150401E-6</v>
      </c>
      <c r="W277" s="506">
        <v>10.6696301095586</v>
      </c>
      <c r="X277" s="506">
        <v>4.5479302146243697E-2</v>
      </c>
      <c r="Y277" s="506">
        <v>194.488823041057</v>
      </c>
      <c r="Z277" s="506">
        <v>154.993653422395</v>
      </c>
      <c r="AA277" s="506">
        <v>6.9740789841704698E-3</v>
      </c>
      <c r="AB277" s="506">
        <v>2.0433159057729699E-2</v>
      </c>
      <c r="AC277" s="506">
        <v>1.0849782589150401E-6</v>
      </c>
      <c r="AD277" s="506">
        <v>0</v>
      </c>
      <c r="AE277" s="506">
        <v>0</v>
      </c>
      <c r="AF277" s="506">
        <v>0</v>
      </c>
      <c r="AG277" s="506">
        <v>0</v>
      </c>
      <c r="AH277" s="506">
        <v>1.13698255365609E-2</v>
      </c>
      <c r="AI277" s="506">
        <v>48.6222057602644</v>
      </c>
      <c r="AJ277" s="506">
        <v>0.100025641025641</v>
      </c>
      <c r="AK277" s="506">
        <v>28.882692307692299</v>
      </c>
      <c r="AL277" s="506">
        <v>62.5</v>
      </c>
      <c r="AM277" s="506">
        <v>360.93365384615402</v>
      </c>
      <c r="AN277" s="506">
        <v>5.625</v>
      </c>
      <c r="AO277" s="506">
        <v>0</v>
      </c>
      <c r="AP277" s="506">
        <v>2.5641025641025599E-5</v>
      </c>
      <c r="AQ277" s="506">
        <v>0.1</v>
      </c>
      <c r="AR277" s="506">
        <v>0.100025641025641</v>
      </c>
      <c r="AS277" s="506">
        <v>28.882692307692299</v>
      </c>
      <c r="AT277" s="506">
        <v>62.5</v>
      </c>
      <c r="AU277" s="506">
        <v>361.03365384615398</v>
      </c>
      <c r="AV277" s="506">
        <v>8.8749999999999996E-2</v>
      </c>
      <c r="AW277" s="506">
        <v>1.125E-2</v>
      </c>
      <c r="AX277" s="506">
        <v>2.5641025641025599E-5</v>
      </c>
      <c r="AY277" s="506">
        <v>0</v>
      </c>
      <c r="AZ277" s="506">
        <v>0.200051282051282</v>
      </c>
      <c r="BA277" s="506">
        <v>57.765384615384598</v>
      </c>
      <c r="BB277" s="506">
        <v>62.5</v>
      </c>
      <c r="BC277" s="506">
        <v>722.06730769230796</v>
      </c>
      <c r="BD277" s="506">
        <v>0.17749999999999999</v>
      </c>
      <c r="BE277" s="506">
        <v>2.2499999999999999E-2</v>
      </c>
      <c r="BF277" s="506">
        <v>5.12820512820513E-5</v>
      </c>
      <c r="BG277" s="506">
        <v>0</v>
      </c>
      <c r="BH277" s="506">
        <v>8.3748749999999994</v>
      </c>
      <c r="BI277" s="506">
        <v>1.4895624999999999</v>
      </c>
    </row>
    <row r="278" spans="1:61" ht="12.95" customHeight="1" thickBot="1">
      <c r="A278" s="254" t="s">
        <v>1793</v>
      </c>
      <c r="B278" s="254" t="s">
        <v>92</v>
      </c>
      <c r="C278" s="204">
        <v>4</v>
      </c>
      <c r="D278" s="254" t="s">
        <v>1427</v>
      </c>
      <c r="E278" s="502">
        <v>1</v>
      </c>
      <c r="F278" s="501">
        <v>-27.073823057261801</v>
      </c>
      <c r="G278" s="506">
        <v>50</v>
      </c>
      <c r="H278" s="506">
        <v>7.5374999999999996</v>
      </c>
      <c r="I278" s="506">
        <v>0</v>
      </c>
      <c r="J278" s="506">
        <v>0.2</v>
      </c>
      <c r="K278" s="506">
        <v>0</v>
      </c>
      <c r="L278" s="506">
        <v>22.5</v>
      </c>
      <c r="M278" s="506">
        <v>30.237500000000001</v>
      </c>
      <c r="N278" s="506">
        <v>-2.0433816522944599</v>
      </c>
      <c r="O278" s="506">
        <v>-13.2176109831532</v>
      </c>
      <c r="P278" s="506">
        <v>11.174229330858701</v>
      </c>
      <c r="Q278" s="506">
        <v>3.0892297860698699E-2</v>
      </c>
      <c r="R278" s="506">
        <v>164.43302510082299</v>
      </c>
      <c r="S278" s="506">
        <v>152.08609407290299</v>
      </c>
      <c r="T278" s="506">
        <v>5.88091926958406E-3</v>
      </c>
      <c r="U278" s="506">
        <v>1.35042640206391E-2</v>
      </c>
      <c r="V278" s="506">
        <v>9.7625124152682604E-7</v>
      </c>
      <c r="W278" s="506">
        <v>11.174229330858701</v>
      </c>
      <c r="X278" s="506">
        <v>3.0892297860698699E-2</v>
      </c>
      <c r="Y278" s="506">
        <v>164.43302510082299</v>
      </c>
      <c r="Z278" s="506">
        <v>152.08609407290299</v>
      </c>
      <c r="AA278" s="506">
        <v>5.88091926958406E-3</v>
      </c>
      <c r="AB278" s="506">
        <v>1.35042640206391E-2</v>
      </c>
      <c r="AC278" s="506">
        <v>9.7625124152682604E-7</v>
      </c>
      <c r="AD278" s="506">
        <v>0</v>
      </c>
      <c r="AE278" s="506">
        <v>0</v>
      </c>
      <c r="AF278" s="506">
        <v>0</v>
      </c>
      <c r="AG278" s="506">
        <v>0</v>
      </c>
      <c r="AH278" s="506">
        <v>7.7230744651746903E-3</v>
      </c>
      <c r="AI278" s="506">
        <v>41.108256275205697</v>
      </c>
      <c r="AJ278" s="506">
        <v>0.100025641025641</v>
      </c>
      <c r="AK278" s="506">
        <v>28.882692307692299</v>
      </c>
      <c r="AL278" s="506">
        <v>62.5</v>
      </c>
      <c r="AM278" s="506">
        <v>360.93365384615402</v>
      </c>
      <c r="AN278" s="506">
        <v>7.5374999999999996</v>
      </c>
      <c r="AO278" s="506">
        <v>0</v>
      </c>
      <c r="AP278" s="506">
        <v>2.5641025641025599E-5</v>
      </c>
      <c r="AQ278" s="506">
        <v>0.1</v>
      </c>
      <c r="AR278" s="506">
        <v>0.100025641025641</v>
      </c>
      <c r="AS278" s="506">
        <v>28.882692307692299</v>
      </c>
      <c r="AT278" s="506">
        <v>62.5</v>
      </c>
      <c r="AU278" s="506">
        <v>361.03365384615398</v>
      </c>
      <c r="AV278" s="506">
        <v>2.5000000000000001E-2</v>
      </c>
      <c r="AW278" s="506">
        <v>7.4999999999999997E-2</v>
      </c>
      <c r="AX278" s="506">
        <v>2.5641025641025599E-5</v>
      </c>
      <c r="AY278" s="506">
        <v>0</v>
      </c>
      <c r="AZ278" s="506">
        <v>0.200051282051282</v>
      </c>
      <c r="BA278" s="506">
        <v>57.765384615384598</v>
      </c>
      <c r="BB278" s="506">
        <v>62.5</v>
      </c>
      <c r="BC278" s="506">
        <v>722.06730769230796</v>
      </c>
      <c r="BD278" s="506">
        <v>0.05</v>
      </c>
      <c r="BE278" s="506">
        <v>0.15</v>
      </c>
      <c r="BF278" s="506">
        <v>5.12820512820513E-5</v>
      </c>
      <c r="BG278" s="506">
        <v>0</v>
      </c>
      <c r="BH278" s="506">
        <v>8.5087499999999991</v>
      </c>
      <c r="BI278" s="506">
        <v>1.5118750000000001</v>
      </c>
    </row>
    <row r="279" spans="1:61" ht="12.95" customHeight="1" thickBot="1">
      <c r="A279" s="254" t="s">
        <v>1794</v>
      </c>
      <c r="B279" s="254" t="s">
        <v>92</v>
      </c>
      <c r="C279" s="204"/>
      <c r="D279" s="254"/>
      <c r="E279" s="502"/>
      <c r="F279" s="501"/>
      <c r="G279" s="90"/>
      <c r="H279" s="90"/>
      <c r="I279" s="90"/>
      <c r="J279" s="90"/>
      <c r="K279" s="90"/>
      <c r="L279" s="90"/>
      <c r="M279" s="90"/>
      <c r="N279" s="90"/>
      <c r="O279" s="90"/>
      <c r="P279" s="90"/>
      <c r="Q279" s="90"/>
      <c r="R279" s="90"/>
      <c r="S279" s="90"/>
      <c r="T279" s="90"/>
      <c r="U279" s="90"/>
      <c r="V279" s="90"/>
      <c r="W279" s="90"/>
      <c r="X279" s="90"/>
      <c r="Y279" s="90"/>
      <c r="Z279" s="90"/>
      <c r="AA279" s="90"/>
      <c r="AB279" s="90"/>
      <c r="AC279" s="90"/>
      <c r="AD279" s="90"/>
      <c r="AE279" s="90"/>
      <c r="AF279" s="90"/>
      <c r="AG279" s="90"/>
      <c r="AH279" s="90"/>
      <c r="AI279" s="90"/>
      <c r="AJ279" s="90"/>
      <c r="AK279" s="90"/>
      <c r="AL279" s="90"/>
      <c r="AM279" s="90"/>
      <c r="AN279" s="90"/>
      <c r="AO279" s="90"/>
      <c r="AP279" s="90"/>
      <c r="AQ279" s="90"/>
      <c r="AR279" s="90"/>
      <c r="AS279" s="90"/>
      <c r="AT279" s="90"/>
      <c r="AU279" s="90"/>
      <c r="AV279" s="90"/>
      <c r="AW279" s="90"/>
      <c r="AX279" s="90"/>
      <c r="AY279" s="90"/>
      <c r="AZ279" s="90"/>
      <c r="BA279" s="90"/>
      <c r="BB279" s="90"/>
      <c r="BC279" s="90"/>
      <c r="BD279" s="90"/>
      <c r="BE279" s="90"/>
      <c r="BF279" s="90"/>
      <c r="BG279" s="90"/>
      <c r="BH279" s="90"/>
      <c r="BI279" s="506"/>
    </row>
    <row r="280" spans="1:61" ht="12.95" customHeight="1" thickBot="1">
      <c r="A280" s="549" t="s">
        <v>1870</v>
      </c>
      <c r="B280" s="549"/>
      <c r="C280" s="261">
        <v>0</v>
      </c>
      <c r="D280" s="549"/>
      <c r="E280" s="502"/>
      <c r="F280" s="501">
        <v>0</v>
      </c>
      <c r="G280" s="507" t="s">
        <v>2070</v>
      </c>
      <c r="H280" s="507">
        <v>0</v>
      </c>
      <c r="I280" s="507">
        <v>0</v>
      </c>
      <c r="J280" s="507">
        <v>0</v>
      </c>
      <c r="K280" s="507">
        <v>0</v>
      </c>
      <c r="L280" s="507">
        <v>0</v>
      </c>
      <c r="M280" s="507">
        <v>0</v>
      </c>
      <c r="N280" s="507">
        <v>0</v>
      </c>
      <c r="O280" s="507">
        <v>0</v>
      </c>
      <c r="P280" s="507">
        <v>0</v>
      </c>
      <c r="Q280" s="507">
        <v>0</v>
      </c>
      <c r="R280" s="507">
        <v>0</v>
      </c>
      <c r="S280" s="507">
        <v>0</v>
      </c>
      <c r="T280" s="507">
        <v>0</v>
      </c>
      <c r="U280" s="507">
        <v>0</v>
      </c>
      <c r="V280" s="507">
        <v>0</v>
      </c>
      <c r="W280" s="507">
        <v>0</v>
      </c>
      <c r="X280" s="507">
        <v>0</v>
      </c>
      <c r="Y280" s="507">
        <v>0</v>
      </c>
      <c r="Z280" s="507">
        <v>0</v>
      </c>
      <c r="AA280" s="507">
        <v>0</v>
      </c>
      <c r="AB280" s="507">
        <v>0</v>
      </c>
      <c r="AC280" s="507">
        <v>0</v>
      </c>
      <c r="AD280" s="507">
        <v>0</v>
      </c>
      <c r="AE280" s="507">
        <v>0</v>
      </c>
      <c r="AF280" s="507">
        <v>0</v>
      </c>
      <c r="AG280" s="507">
        <v>0</v>
      </c>
      <c r="AH280" s="507">
        <v>0</v>
      </c>
      <c r="AI280" s="507">
        <v>0</v>
      </c>
      <c r="AJ280" s="507">
        <v>0</v>
      </c>
      <c r="AK280" s="507">
        <v>0</v>
      </c>
      <c r="AL280" s="507">
        <v>0</v>
      </c>
      <c r="AM280" s="507">
        <v>0</v>
      </c>
      <c r="AN280" s="507">
        <v>0</v>
      </c>
      <c r="AO280" s="507">
        <v>0</v>
      </c>
      <c r="AP280" s="507">
        <v>0</v>
      </c>
      <c r="AQ280" s="507">
        <v>0</v>
      </c>
      <c r="AR280" s="507">
        <v>0</v>
      </c>
      <c r="AS280" s="507">
        <v>0</v>
      </c>
      <c r="AT280" s="507">
        <v>0</v>
      </c>
      <c r="AU280" s="507">
        <v>0</v>
      </c>
      <c r="AV280" s="507">
        <v>0</v>
      </c>
      <c r="AW280" s="507">
        <v>0</v>
      </c>
      <c r="AX280" s="507">
        <v>0</v>
      </c>
      <c r="AY280" s="507">
        <v>0</v>
      </c>
      <c r="AZ280" s="507">
        <v>0</v>
      </c>
      <c r="BA280" s="507">
        <v>0</v>
      </c>
      <c r="BB280" s="507">
        <v>0</v>
      </c>
      <c r="BC280" s="507">
        <v>0</v>
      </c>
      <c r="BD280" s="507">
        <v>0</v>
      </c>
      <c r="BE280" s="507">
        <v>0</v>
      </c>
      <c r="BF280" s="507">
        <v>0</v>
      </c>
      <c r="BG280" s="507">
        <v>0</v>
      </c>
      <c r="BH280" s="507">
        <v>0</v>
      </c>
      <c r="BI280" s="507">
        <v>0</v>
      </c>
    </row>
    <row r="281" spans="1:61" ht="12.95" customHeight="1" thickTop="1" thickBot="1">
      <c r="A281" s="493"/>
      <c r="B281" s="493"/>
      <c r="C281" s="491"/>
      <c r="D281" s="493"/>
      <c r="E281" s="555"/>
      <c r="F281" s="636" t="s">
        <v>2688</v>
      </c>
      <c r="G281" s="636"/>
      <c r="H281" s="636"/>
      <c r="I281" s="493"/>
      <c r="J281" s="493"/>
      <c r="K281" s="493"/>
      <c r="L281" s="493"/>
      <c r="M281" s="491"/>
      <c r="N281" s="491"/>
      <c r="O281" s="491"/>
      <c r="P281" s="491"/>
      <c r="Q281" s="491"/>
      <c r="R281" s="491"/>
      <c r="S281" s="493"/>
      <c r="T281" s="493"/>
      <c r="U281" s="493"/>
      <c r="V281" s="493"/>
      <c r="W281" s="493"/>
      <c r="X281" s="493"/>
      <c r="Y281" s="493"/>
      <c r="Z281" s="493"/>
      <c r="AA281" s="493"/>
      <c r="AB281" s="493"/>
      <c r="AC281" s="493"/>
      <c r="AD281" s="493"/>
      <c r="AE281" s="493"/>
      <c r="AF281" s="493"/>
      <c r="AG281" s="493"/>
      <c r="AH281" s="493"/>
      <c r="AI281" s="493"/>
      <c r="AJ281" s="493"/>
      <c r="AK281" s="493"/>
      <c r="AL281" s="493"/>
      <c r="AM281" s="493"/>
      <c r="AN281" s="493"/>
      <c r="AO281" s="493"/>
      <c r="AP281" s="493"/>
      <c r="AQ281" s="493"/>
      <c r="AR281" s="493"/>
      <c r="AS281" s="493"/>
      <c r="AT281" s="493"/>
      <c r="AU281" s="493"/>
      <c r="AV281" s="493"/>
      <c r="AW281" s="493"/>
      <c r="AX281" s="493"/>
      <c r="AY281" s="493"/>
      <c r="AZ281" s="493"/>
      <c r="BA281" s="493"/>
      <c r="BB281" s="493"/>
      <c r="BC281" s="493"/>
      <c r="BD281" s="493"/>
      <c r="BE281" s="493"/>
      <c r="BF281" s="493"/>
      <c r="BG281" s="493"/>
      <c r="BH281" s="493"/>
      <c r="BI281" s="493"/>
    </row>
    <row r="282" spans="1:61" ht="12.95" customHeight="1" thickTop="1">
      <c r="A282" s="23"/>
      <c r="B282" s="23"/>
      <c r="C282" s="499"/>
      <c r="D282" s="23"/>
      <c r="E282" s="552"/>
      <c r="F282" s="553"/>
      <c r="G282" s="23"/>
      <c r="H282" s="23"/>
      <c r="I282" s="23"/>
      <c r="J282" s="23"/>
      <c r="K282" s="23"/>
      <c r="L282" s="23"/>
      <c r="M282" s="499"/>
      <c r="N282" s="499"/>
      <c r="O282" s="499"/>
      <c r="P282" s="499"/>
      <c r="Q282" s="499"/>
      <c r="R282" s="499"/>
      <c r="S282" s="23"/>
      <c r="T282" s="23"/>
      <c r="U282" s="23"/>
      <c r="V282" s="23"/>
      <c r="W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row>
    <row r="283" spans="1:61" ht="12.95" customHeight="1">
      <c r="A283" s="23"/>
      <c r="B283" s="23"/>
      <c r="C283" s="499"/>
      <c r="D283" s="23"/>
      <c r="E283" s="552"/>
      <c r="F283" s="553"/>
      <c r="G283" s="23"/>
      <c r="H283" s="23"/>
      <c r="I283" s="23"/>
      <c r="J283" s="23"/>
      <c r="K283" s="23"/>
      <c r="L283" s="23"/>
      <c r="M283" s="499"/>
      <c r="N283" s="499"/>
      <c r="O283" s="499"/>
      <c r="P283" s="499"/>
      <c r="Q283" s="499"/>
      <c r="R283" s="499"/>
      <c r="S283" s="23"/>
      <c r="T283" s="23"/>
      <c r="U283" s="23"/>
      <c r="V283" s="23"/>
      <c r="W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row>
    <row r="284" spans="1:61" ht="12.95" customHeight="1">
      <c r="A284" s="23"/>
      <c r="B284" s="23"/>
      <c r="C284" s="499"/>
      <c r="D284" s="23"/>
      <c r="E284" s="552"/>
      <c r="F284" s="553"/>
      <c r="G284" s="23"/>
      <c r="H284" s="23"/>
      <c r="I284" s="23"/>
      <c r="J284" s="23"/>
      <c r="K284" s="23"/>
      <c r="L284" s="23"/>
      <c r="M284" s="499"/>
      <c r="N284" s="499"/>
      <c r="O284" s="499"/>
      <c r="P284" s="499"/>
      <c r="Q284" s="499"/>
      <c r="R284" s="499"/>
      <c r="S284" s="23"/>
      <c r="T284" s="23"/>
      <c r="U284" s="23"/>
      <c r="V284" s="23"/>
      <c r="W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row>
    <row r="285" spans="1:61" ht="12.95" customHeight="1">
      <c r="A285" s="23"/>
      <c r="B285" s="23"/>
      <c r="C285" s="499"/>
      <c r="D285" s="23"/>
      <c r="E285" s="552"/>
      <c r="F285" s="553"/>
      <c r="G285" s="23"/>
      <c r="H285" s="23"/>
      <c r="I285" s="23"/>
      <c r="J285" s="23"/>
      <c r="K285" s="23"/>
      <c r="L285" s="23"/>
      <c r="M285" s="499"/>
      <c r="N285" s="499"/>
      <c r="O285" s="499"/>
      <c r="P285" s="499"/>
      <c r="Q285" s="499"/>
      <c r="R285" s="499"/>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row>
    <row r="286" spans="1:61" ht="12.95" customHeight="1">
      <c r="A286" s="23"/>
      <c r="B286" s="23"/>
      <c r="C286" s="499"/>
      <c r="D286" s="23"/>
      <c r="E286" s="552"/>
      <c r="F286" s="553"/>
      <c r="G286" s="23"/>
      <c r="H286" s="23"/>
      <c r="I286" s="23"/>
      <c r="J286" s="23"/>
      <c r="K286" s="23"/>
      <c r="L286" s="23"/>
      <c r="M286" s="499"/>
      <c r="N286" s="499"/>
      <c r="O286" s="499"/>
      <c r="P286" s="499"/>
      <c r="Q286" s="499"/>
      <c r="R286" s="499"/>
      <c r="S286" s="23"/>
      <c r="T286" s="23"/>
      <c r="U286" s="23"/>
      <c r="V286" s="23"/>
      <c r="W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row>
    <row r="287" spans="1:61" ht="12.95" customHeight="1">
      <c r="A287" s="23"/>
      <c r="B287" s="23"/>
      <c r="C287" s="499"/>
      <c r="D287" s="23"/>
      <c r="E287" s="552"/>
      <c r="F287" s="553"/>
      <c r="G287" s="23"/>
      <c r="H287" s="23"/>
      <c r="I287" s="23"/>
      <c r="J287" s="23"/>
      <c r="K287" s="23"/>
      <c r="L287" s="23"/>
      <c r="M287" s="499"/>
      <c r="N287" s="499"/>
      <c r="O287" s="499"/>
      <c r="P287" s="499"/>
      <c r="Q287" s="499"/>
      <c r="R287" s="499"/>
      <c r="S287" s="23"/>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row>
    <row r="288" spans="1:61" ht="12.95" customHeight="1">
      <c r="A288" s="23"/>
      <c r="B288" s="23"/>
      <c r="C288" s="499"/>
      <c r="D288" s="23"/>
      <c r="E288" s="552"/>
      <c r="F288" s="553"/>
      <c r="G288" s="23"/>
      <c r="H288" s="23"/>
      <c r="I288" s="23"/>
      <c r="J288" s="23"/>
      <c r="K288" s="23"/>
      <c r="L288" s="23"/>
      <c r="M288" s="499"/>
      <c r="N288" s="499"/>
      <c r="O288" s="499"/>
      <c r="P288" s="499"/>
      <c r="Q288" s="499"/>
      <c r="R288" s="499"/>
      <c r="S288" s="23"/>
      <c r="T288" s="23"/>
      <c r="U288" s="23"/>
      <c r="V288" s="23"/>
      <c r="W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row>
    <row r="289" spans="1:61" ht="12.95" customHeight="1">
      <c r="A289" s="23"/>
      <c r="B289" s="23"/>
      <c r="C289" s="499"/>
      <c r="D289" s="23"/>
      <c r="E289" s="552"/>
      <c r="F289" s="553"/>
      <c r="G289" s="23"/>
      <c r="H289" s="23"/>
      <c r="I289" s="23"/>
      <c r="J289" s="23"/>
      <c r="K289" s="23"/>
      <c r="L289" s="23"/>
      <c r="M289" s="499"/>
      <c r="N289" s="499"/>
      <c r="O289" s="499"/>
      <c r="P289" s="499"/>
      <c r="Q289" s="499"/>
      <c r="R289" s="499"/>
      <c r="S289" s="23"/>
      <c r="T289" s="23"/>
      <c r="U289" s="23"/>
      <c r="V289" s="23"/>
      <c r="W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row>
    <row r="290" spans="1:61" ht="12.95" customHeight="1">
      <c r="A290" s="23"/>
      <c r="B290" s="23"/>
      <c r="C290" s="499"/>
      <c r="D290" s="23"/>
      <c r="E290" s="552"/>
      <c r="F290" s="553"/>
      <c r="G290" s="23"/>
      <c r="H290" s="23"/>
      <c r="I290" s="23"/>
      <c r="J290" s="23"/>
      <c r="K290" s="23"/>
      <c r="L290" s="23"/>
      <c r="M290" s="499"/>
      <c r="N290" s="499"/>
      <c r="O290" s="499"/>
      <c r="P290" s="499"/>
      <c r="Q290" s="499"/>
      <c r="R290" s="499"/>
      <c r="S290" s="23"/>
      <c r="T290" s="23"/>
      <c r="U290" s="23"/>
      <c r="V290" s="23"/>
      <c r="W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row>
    <row r="291" spans="1:61" ht="12.95" customHeight="1">
      <c r="A291" s="23"/>
      <c r="B291" s="23"/>
      <c r="C291" s="499"/>
      <c r="D291" s="23"/>
      <c r="E291" s="552"/>
      <c r="F291" s="553"/>
      <c r="G291" s="23"/>
      <c r="H291" s="23"/>
      <c r="I291" s="23"/>
      <c r="J291" s="23"/>
      <c r="K291" s="23"/>
      <c r="L291" s="23"/>
      <c r="M291" s="499"/>
      <c r="N291" s="499"/>
      <c r="O291" s="499"/>
      <c r="P291" s="499"/>
      <c r="Q291" s="499"/>
      <c r="R291" s="499"/>
      <c r="S291" s="23"/>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row>
    <row r="292" spans="1:61" ht="12.95" customHeight="1">
      <c r="A292" s="23"/>
      <c r="B292" s="23"/>
      <c r="C292" s="499"/>
      <c r="D292" s="23"/>
      <c r="E292" s="552"/>
      <c r="F292" s="553"/>
      <c r="G292" s="23"/>
      <c r="H292" s="23"/>
      <c r="I292" s="23"/>
      <c r="J292" s="23"/>
      <c r="K292" s="23"/>
      <c r="L292" s="23"/>
      <c r="M292" s="499"/>
      <c r="N292" s="499"/>
      <c r="O292" s="499"/>
      <c r="P292" s="499"/>
      <c r="Q292" s="499"/>
      <c r="R292" s="499"/>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row>
    <row r="293" spans="1:61" ht="12.95" customHeight="1">
      <c r="A293" s="23"/>
      <c r="B293" s="23"/>
      <c r="C293" s="499"/>
      <c r="D293" s="23"/>
      <c r="E293" s="552"/>
      <c r="F293" s="553"/>
      <c r="G293" s="23"/>
      <c r="H293" s="23"/>
      <c r="I293" s="23"/>
      <c r="J293" s="23"/>
      <c r="K293" s="23"/>
      <c r="L293" s="23"/>
      <c r="M293" s="499"/>
      <c r="N293" s="499"/>
      <c r="O293" s="499"/>
      <c r="P293" s="499"/>
      <c r="Q293" s="499"/>
      <c r="R293" s="499"/>
      <c r="S293" s="23"/>
      <c r="T293" s="23"/>
      <c r="U293" s="23"/>
      <c r="V293" s="23"/>
      <c r="W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row>
    <row r="294" spans="1:61" ht="12.95" customHeight="1">
      <c r="A294" s="23"/>
      <c r="B294" s="23"/>
      <c r="C294" s="499"/>
      <c r="D294" s="23"/>
      <c r="E294" s="552"/>
      <c r="F294" s="553"/>
      <c r="G294" s="23"/>
      <c r="H294" s="23"/>
      <c r="I294" s="23"/>
      <c r="J294" s="23"/>
      <c r="K294" s="23"/>
      <c r="L294" s="23"/>
      <c r="M294" s="499"/>
      <c r="N294" s="499"/>
      <c r="O294" s="499"/>
      <c r="P294" s="499"/>
      <c r="Q294" s="499"/>
      <c r="R294" s="499"/>
      <c r="S294" s="23"/>
      <c r="T294" s="23"/>
      <c r="U294" s="23"/>
      <c r="V294" s="23"/>
      <c r="W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row>
    <row r="295" spans="1:61" ht="12.95" customHeight="1">
      <c r="A295" s="23"/>
      <c r="B295" s="23"/>
      <c r="C295" s="499"/>
      <c r="D295" s="23"/>
      <c r="E295" s="552"/>
      <c r="F295" s="553"/>
      <c r="G295" s="23"/>
      <c r="H295" s="23"/>
      <c r="I295" s="23"/>
      <c r="J295" s="23"/>
      <c r="K295" s="23"/>
      <c r="L295" s="23"/>
      <c r="M295" s="499"/>
      <c r="N295" s="499"/>
      <c r="O295" s="499"/>
      <c r="P295" s="499"/>
      <c r="Q295" s="499"/>
      <c r="R295" s="499"/>
      <c r="S295" s="23"/>
      <c r="T295" s="23"/>
      <c r="U295" s="23"/>
      <c r="V295" s="23"/>
      <c r="W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row>
    <row r="296" spans="1:61" ht="12.95" customHeight="1">
      <c r="A296" s="23"/>
      <c r="B296" s="23"/>
      <c r="C296" s="499"/>
      <c r="D296" s="23"/>
      <c r="E296" s="552"/>
      <c r="F296" s="553"/>
      <c r="G296" s="23"/>
      <c r="H296" s="23"/>
      <c r="I296" s="23"/>
      <c r="J296" s="23"/>
      <c r="K296" s="23"/>
      <c r="L296" s="23"/>
      <c r="M296" s="499"/>
      <c r="N296" s="499"/>
      <c r="O296" s="499"/>
      <c r="P296" s="499"/>
      <c r="Q296" s="499"/>
      <c r="R296" s="499"/>
      <c r="S296" s="23"/>
      <c r="T296" s="23"/>
      <c r="U296" s="23"/>
      <c r="V296" s="23"/>
      <c r="W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row>
    <row r="297" spans="1:61" ht="12.95" customHeight="1">
      <c r="A297" s="23"/>
      <c r="B297" s="23"/>
      <c r="C297" s="499"/>
      <c r="D297" s="23"/>
      <c r="E297" s="552"/>
      <c r="F297" s="553"/>
      <c r="G297" s="23"/>
      <c r="H297" s="23"/>
      <c r="I297" s="23"/>
      <c r="J297" s="23"/>
      <c r="K297" s="23"/>
      <c r="L297" s="23"/>
      <c r="M297" s="499"/>
      <c r="N297" s="499"/>
      <c r="O297" s="499"/>
      <c r="P297" s="499"/>
      <c r="Q297" s="499"/>
      <c r="R297" s="499"/>
      <c r="S297" s="23"/>
      <c r="T297" s="23"/>
      <c r="U297" s="23"/>
      <c r="V297" s="23"/>
      <c r="W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row>
    <row r="298" spans="1:61" ht="12.95" customHeight="1">
      <c r="A298" s="23"/>
      <c r="B298" s="23"/>
      <c r="C298" s="499"/>
      <c r="D298" s="23"/>
      <c r="E298" s="552"/>
      <c r="F298" s="553"/>
      <c r="G298" s="23"/>
      <c r="H298" s="23"/>
      <c r="I298" s="23"/>
      <c r="J298" s="23"/>
      <c r="K298" s="23"/>
      <c r="L298" s="23"/>
      <c r="M298" s="499"/>
      <c r="N298" s="499"/>
      <c r="O298" s="499"/>
      <c r="P298" s="499"/>
      <c r="Q298" s="499"/>
      <c r="R298" s="499"/>
      <c r="S298" s="23"/>
      <c r="T298" s="23"/>
      <c r="U298" s="23"/>
      <c r="V298" s="23"/>
      <c r="W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row>
    <row r="299" spans="1:61" ht="12.95" customHeight="1">
      <c r="A299" s="23"/>
      <c r="B299" s="23"/>
      <c r="C299" s="499"/>
      <c r="D299" s="23"/>
      <c r="E299" s="552"/>
      <c r="F299" s="553"/>
      <c r="G299" s="23"/>
      <c r="H299" s="23"/>
      <c r="I299" s="23"/>
      <c r="J299" s="23"/>
      <c r="K299" s="23"/>
      <c r="L299" s="23"/>
      <c r="M299" s="499"/>
      <c r="N299" s="499"/>
      <c r="O299" s="499"/>
      <c r="P299" s="499"/>
      <c r="Q299" s="499"/>
      <c r="R299" s="499"/>
      <c r="S299" s="23"/>
      <c r="T299" s="23"/>
      <c r="U299" s="23"/>
      <c r="V299" s="23"/>
      <c r="W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row>
    <row r="300" spans="1:61" ht="12.95" customHeight="1">
      <c r="A300" s="23"/>
      <c r="B300" s="23"/>
      <c r="C300" s="499"/>
      <c r="D300" s="23"/>
      <c r="E300" s="552"/>
      <c r="F300" s="553"/>
      <c r="G300" s="23"/>
      <c r="H300" s="23"/>
      <c r="I300" s="23"/>
      <c r="J300" s="23"/>
      <c r="K300" s="23"/>
      <c r="L300" s="23"/>
      <c r="M300" s="499"/>
      <c r="N300" s="499"/>
      <c r="O300" s="499"/>
      <c r="P300" s="499"/>
      <c r="Q300" s="499"/>
      <c r="R300" s="499"/>
      <c r="S300" s="23"/>
      <c r="T300" s="23"/>
      <c r="U300" s="23"/>
      <c r="V300" s="23"/>
      <c r="W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row>
    <row r="301" spans="1:61" ht="12.95" customHeight="1">
      <c r="A301" s="23"/>
      <c r="B301" s="23"/>
      <c r="C301" s="499"/>
      <c r="D301" s="23"/>
      <c r="E301" s="552"/>
      <c r="F301" s="553"/>
      <c r="G301" s="23"/>
      <c r="H301" s="23"/>
      <c r="I301" s="23"/>
      <c r="J301" s="23"/>
      <c r="K301" s="23"/>
      <c r="L301" s="23"/>
      <c r="M301" s="499"/>
      <c r="N301" s="499"/>
      <c r="O301" s="499"/>
      <c r="P301" s="499"/>
      <c r="Q301" s="499"/>
      <c r="R301" s="499"/>
      <c r="S301" s="23"/>
      <c r="T301" s="23"/>
      <c r="U301" s="23"/>
      <c r="V301" s="23"/>
      <c r="W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row>
    <row r="302" spans="1:61" ht="12.95" customHeight="1">
      <c r="A302" s="23"/>
      <c r="B302" s="23"/>
      <c r="C302" s="499"/>
      <c r="D302" s="23"/>
      <c r="E302" s="552"/>
      <c r="F302" s="553"/>
      <c r="G302" s="23"/>
      <c r="H302" s="23"/>
      <c r="I302" s="23"/>
      <c r="J302" s="23"/>
      <c r="K302" s="23"/>
      <c r="L302" s="23"/>
      <c r="M302" s="499"/>
      <c r="N302" s="499"/>
      <c r="O302" s="499"/>
      <c r="P302" s="499"/>
      <c r="Q302" s="499"/>
      <c r="R302" s="499"/>
      <c r="S302" s="23"/>
      <c r="T302" s="23"/>
      <c r="U302" s="23"/>
      <c r="V302" s="23"/>
      <c r="W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row>
  </sheetData>
  <sheetProtection password="FDAF" sheet="1" objects="1" scenarios="1" selectLockedCells="1"/>
  <mergeCells count="17">
    <mergeCell ref="BH1:BH2"/>
    <mergeCell ref="BI1:BI2"/>
    <mergeCell ref="E1:E2"/>
    <mergeCell ref="G1:G2"/>
    <mergeCell ref="H1:H2"/>
    <mergeCell ref="I1:I2"/>
    <mergeCell ref="J1:J2"/>
    <mergeCell ref="K1:K2"/>
    <mergeCell ref="L1:L2"/>
    <mergeCell ref="F281:H281"/>
    <mergeCell ref="F10:H10"/>
    <mergeCell ref="F34:H34"/>
    <mergeCell ref="F105:H105"/>
    <mergeCell ref="F157:H157"/>
    <mergeCell ref="F174:H174"/>
    <mergeCell ref="F183:H183"/>
    <mergeCell ref="F236:H236"/>
  </mergeCells>
  <hyperlinks>
    <hyperlink ref="F281:H281" location="Errichtung!L179" display="zurück zu &quot;Errichtung&quot;"/>
    <hyperlink ref="F10:H10" location="Errichtung!L24" display="zurück zu &quot;Errichtung&quot;"/>
    <hyperlink ref="F34:H34" location="Errichtung!L39" display="zurück zu &quot;Errichtung&quot;"/>
    <hyperlink ref="F105:H105" location="Errichtung!L64" display="zurück zu &quot;Errichtung&quot;"/>
    <hyperlink ref="F157:H157" location="Errichtung!L83" display="zurück zu &quot;Errichtung&quot;"/>
    <hyperlink ref="F174:H174" location="Errichtung!L134" display="zurück zu &quot;Errichtung&quot;"/>
    <hyperlink ref="F183:H183" location="Errichtung!L134" display="zurück zu &quot;Errichtung&quot;"/>
    <hyperlink ref="F236:H236" location="Errichtung!L168" display="zurück zu &quot;Errichtung&quot;"/>
  </hyperlinks>
  <pageMargins left="0.70866141732283472" right="0.70866141732283472" top="0.78740157480314965" bottom="0.78740157480314965" header="0.31496062992125984" footer="0.31496062992125984"/>
  <pageSetup paperSize="8" scale="94" fitToHeight="0" orientation="landscape" r:id="rId1"/>
  <headerFooter>
    <oddFooter>&amp;L&amp;F&amp;C&amp;A&amp;R&amp;P von &amp;N</oddFooter>
  </headerFooter>
  <rowBreaks count="2" manualBreakCount="2">
    <brk id="157" max="60" man="1"/>
    <brk id="236" max="60" man="1"/>
  </rowBreaks>
</worksheet>
</file>

<file path=xl/worksheets/sheet25.xml><?xml version="1.0" encoding="utf-8"?>
<worksheet xmlns="http://schemas.openxmlformats.org/spreadsheetml/2006/main" xmlns:r="http://schemas.openxmlformats.org/officeDocument/2006/relationships">
  <sheetPr codeName="Tabelle161">
    <tabColor rgb="FFFFFF00"/>
  </sheetPr>
  <dimension ref="A1:P113"/>
  <sheetViews>
    <sheetView workbookViewId="0">
      <selection activeCell="C22" sqref="C22"/>
    </sheetView>
  </sheetViews>
  <sheetFormatPr baseColWidth="10" defaultRowHeight="10.5" outlineLevelCol="1"/>
  <cols>
    <col min="1" max="1" width="25" style="179" customWidth="1"/>
    <col min="2" max="2" width="37.5" style="179" customWidth="1"/>
    <col min="3" max="4" width="16.5" style="179" customWidth="1" outlineLevel="1"/>
    <col min="5" max="5" width="18.1640625" style="179" customWidth="1" outlineLevel="1"/>
    <col min="6" max="6" width="13" style="179" customWidth="1" outlineLevel="1"/>
    <col min="7" max="7" width="17.33203125" style="179" customWidth="1" outlineLevel="1"/>
    <col min="8" max="9" width="19.6640625" style="179" customWidth="1" outlineLevel="1"/>
    <col min="10" max="10" width="18.83203125" style="179" customWidth="1" outlineLevel="1"/>
    <col min="11" max="11" width="19" style="179" customWidth="1" outlineLevel="1"/>
    <col min="12" max="12" width="14" style="179" customWidth="1"/>
    <col min="13" max="16" width="3.83203125" style="179" customWidth="1"/>
    <col min="17" max="17" width="11.1640625" style="179" customWidth="1"/>
    <col min="18" max="18" width="15.33203125" style="179" bestFit="1" customWidth="1"/>
    <col min="19" max="16384" width="12" style="179"/>
  </cols>
  <sheetData>
    <row r="1" spans="1:12" s="181" customFormat="1" ht="31.5">
      <c r="A1" s="180" t="s">
        <v>1267</v>
      </c>
      <c r="B1" s="19" t="s">
        <v>1242</v>
      </c>
      <c r="C1" s="180" t="s">
        <v>2165</v>
      </c>
      <c r="D1" s="19" t="s">
        <v>1261</v>
      </c>
      <c r="E1" s="19" t="s">
        <v>2155</v>
      </c>
      <c r="F1" s="19" t="s">
        <v>2072</v>
      </c>
      <c r="G1" s="19" t="s">
        <v>1265</v>
      </c>
      <c r="H1" s="19" t="s">
        <v>2462</v>
      </c>
    </row>
    <row r="2" spans="1:12" s="181" customFormat="1">
      <c r="B2" s="181" t="s">
        <v>2071</v>
      </c>
      <c r="C2" s="181" t="s">
        <v>2071</v>
      </c>
      <c r="D2" s="179" t="s">
        <v>2071</v>
      </c>
      <c r="E2" s="179" t="s">
        <v>2071</v>
      </c>
      <c r="F2" s="179" t="s">
        <v>2071</v>
      </c>
      <c r="G2" s="179" t="s">
        <v>2071</v>
      </c>
      <c r="H2" s="179" t="s">
        <v>2071</v>
      </c>
    </row>
    <row r="3" spans="1:12">
      <c r="B3" s="179" t="s">
        <v>1241</v>
      </c>
      <c r="C3" s="179" t="s">
        <v>2025</v>
      </c>
      <c r="D3" s="179" t="s">
        <v>2161</v>
      </c>
      <c r="E3" s="179" t="s">
        <v>2129</v>
      </c>
      <c r="F3" s="179" t="s">
        <v>1177</v>
      </c>
      <c r="G3" s="179" t="s">
        <v>1826</v>
      </c>
      <c r="H3" s="179" t="s">
        <v>2463</v>
      </c>
    </row>
    <row r="4" spans="1:12">
      <c r="A4" s="19"/>
      <c r="B4" s="179" t="s">
        <v>2024</v>
      </c>
      <c r="C4" s="179" t="s">
        <v>2026</v>
      </c>
      <c r="D4" s="179" t="s">
        <v>1262</v>
      </c>
      <c r="E4" s="179" t="s">
        <v>1262</v>
      </c>
      <c r="F4" s="179" t="s">
        <v>1269</v>
      </c>
      <c r="G4" s="179" t="s">
        <v>1827</v>
      </c>
      <c r="H4" s="179" t="s">
        <v>2464</v>
      </c>
    </row>
    <row r="5" spans="1:12">
      <c r="A5" s="19"/>
      <c r="B5" s="179" t="s">
        <v>1266</v>
      </c>
      <c r="D5" s="179" t="s">
        <v>1263</v>
      </c>
      <c r="E5" s="179" t="s">
        <v>1263</v>
      </c>
      <c r="G5" s="179" t="s">
        <v>1869</v>
      </c>
    </row>
    <row r="6" spans="1:12">
      <c r="A6" s="19"/>
      <c r="D6" s="179" t="s">
        <v>1264</v>
      </c>
      <c r="E6" s="179" t="s">
        <v>1264</v>
      </c>
      <c r="G6" s="188"/>
      <c r="L6" s="19"/>
    </row>
    <row r="7" spans="1:12">
      <c r="A7" s="19"/>
      <c r="L7" s="19" t="s">
        <v>2164</v>
      </c>
    </row>
    <row r="8" spans="1:12">
      <c r="A8" s="182" t="s">
        <v>1243</v>
      </c>
      <c r="B8" s="179" t="s">
        <v>2071</v>
      </c>
    </row>
    <row r="9" spans="1:12">
      <c r="A9" s="19"/>
      <c r="B9" s="179" t="s">
        <v>1247</v>
      </c>
      <c r="G9" s="179" t="s">
        <v>2009</v>
      </c>
      <c r="H9" s="19" t="s">
        <v>2161</v>
      </c>
      <c r="I9" s="19" t="s">
        <v>1262</v>
      </c>
      <c r="J9" s="19" t="s">
        <v>1263</v>
      </c>
      <c r="K9" s="19" t="s">
        <v>1264</v>
      </c>
      <c r="L9" s="188">
        <v>0</v>
      </c>
    </row>
    <row r="10" spans="1:12">
      <c r="A10" s="19"/>
      <c r="B10" s="179" t="s">
        <v>1248</v>
      </c>
      <c r="L10" s="179">
        <f>VLOOKUP("KOÖKOST",Ver_Entsorgung,5,0)</f>
        <v>0.219</v>
      </c>
    </row>
    <row r="11" spans="1:12">
      <c r="A11" s="19"/>
      <c r="B11" s="179" t="s">
        <v>1249</v>
      </c>
      <c r="L11" s="179">
        <f>VLOOKUP("KOST",Ver_Entsorgung,5,0)</f>
        <v>0.18</v>
      </c>
    </row>
    <row r="12" spans="1:12">
      <c r="A12" s="19"/>
      <c r="B12" s="179" t="s">
        <v>1250</v>
      </c>
      <c r="L12" s="179">
        <f>VLOOKUP("KOST",Ver_Entsorgung,5,0)</f>
        <v>0.18</v>
      </c>
    </row>
    <row r="13" spans="1:12">
      <c r="A13" s="19"/>
      <c r="B13" s="188" t="s">
        <v>1860</v>
      </c>
      <c r="L13" s="188">
        <f>VLOOKUP("KOST",Ver_Entsorgung,5,0)</f>
        <v>0.18</v>
      </c>
    </row>
    <row r="14" spans="1:12" ht="31.5">
      <c r="A14" s="19"/>
      <c r="C14" s="183"/>
      <c r="D14" s="180" t="s">
        <v>1837</v>
      </c>
      <c r="E14" s="180" t="s">
        <v>1837</v>
      </c>
      <c r="F14" s="180" t="str">
        <f>"HEB (Endenergie) Strom+FW"</f>
        <v>HEB (Endenergie) Strom+FW</v>
      </c>
      <c r="G14" s="180" t="s">
        <v>2388</v>
      </c>
      <c r="H14" s="180" t="s">
        <v>2003</v>
      </c>
      <c r="I14" s="180"/>
      <c r="J14" s="180"/>
      <c r="K14" s="180"/>
    </row>
    <row r="15" spans="1:12">
      <c r="A15" s="182" t="s">
        <v>1244</v>
      </c>
      <c r="B15" s="179" t="s">
        <v>2071</v>
      </c>
      <c r="C15" s="184"/>
    </row>
    <row r="16" spans="1:12">
      <c r="B16" s="179" t="s">
        <v>2731</v>
      </c>
      <c r="C16" s="185"/>
      <c r="D16" s="178">
        <f>1/0.95</f>
        <v>1.0526315789473684</v>
      </c>
      <c r="E16" s="178">
        <f>1/0.95</f>
        <v>1.0526315789473684</v>
      </c>
      <c r="G16" s="186">
        <v>0</v>
      </c>
      <c r="H16" s="186">
        <v>0.02</v>
      </c>
      <c r="I16" s="186">
        <v>0.02</v>
      </c>
      <c r="J16" s="186">
        <v>0.04</v>
      </c>
      <c r="K16" s="186">
        <v>0.08</v>
      </c>
      <c r="L16" s="179">
        <f>VLOOKUP("KOFERNW",Ver_Entsorgung,5,0)</f>
        <v>9.2604000000000006E-2</v>
      </c>
    </row>
    <row r="17" spans="1:12">
      <c r="A17" s="19"/>
      <c r="B17" s="177" t="s">
        <v>2732</v>
      </c>
      <c r="C17" s="185"/>
      <c r="D17" s="178">
        <f t="shared" ref="D17:E21" si="0">1/0.95</f>
        <v>1.0526315789473684</v>
      </c>
      <c r="E17" s="178">
        <f t="shared" si="0"/>
        <v>1.0526315789473684</v>
      </c>
      <c r="G17" s="186">
        <v>0</v>
      </c>
      <c r="H17" s="186">
        <v>0.02</v>
      </c>
      <c r="I17" s="186">
        <v>0.02</v>
      </c>
      <c r="J17" s="186">
        <v>0.04</v>
      </c>
      <c r="K17" s="186">
        <v>0.08</v>
      </c>
      <c r="L17" s="179">
        <f>VLOOKUP("KOFERNW",Ver_Entsorgung,5,0)</f>
        <v>9.2604000000000006E-2</v>
      </c>
    </row>
    <row r="18" spans="1:12">
      <c r="A18" s="19"/>
      <c r="B18" s="177" t="s">
        <v>2733</v>
      </c>
      <c r="C18" s="185"/>
      <c r="D18" s="178">
        <f t="shared" si="0"/>
        <v>1.0526315789473684</v>
      </c>
      <c r="E18" s="178">
        <f t="shared" si="0"/>
        <v>1.0526315789473684</v>
      </c>
      <c r="G18" s="186">
        <v>0</v>
      </c>
      <c r="H18" s="186">
        <v>0.02</v>
      </c>
      <c r="I18" s="186">
        <v>0.02</v>
      </c>
      <c r="J18" s="186">
        <v>0.04</v>
      </c>
      <c r="K18" s="186">
        <v>0.08</v>
      </c>
      <c r="L18" s="179">
        <f>VLOOKUP("KOFERNW",Ver_Entsorgung,5,0)</f>
        <v>9.2604000000000006E-2</v>
      </c>
    </row>
    <row r="19" spans="1:12">
      <c r="A19" s="19"/>
      <c r="B19" s="177" t="s">
        <v>2737</v>
      </c>
      <c r="C19" s="185"/>
      <c r="D19" s="178">
        <f>1/0.95</f>
        <v>1.0526315789473684</v>
      </c>
      <c r="E19" s="178">
        <f t="shared" si="0"/>
        <v>1.0526315789473684</v>
      </c>
      <c r="G19" s="186">
        <v>0</v>
      </c>
      <c r="H19" s="186">
        <v>0.02</v>
      </c>
      <c r="I19" s="186">
        <v>0.02</v>
      </c>
      <c r="J19" s="186">
        <v>0.04</v>
      </c>
      <c r="K19" s="186">
        <v>0.08</v>
      </c>
      <c r="L19" s="179">
        <f>VLOOKUP("KOFERNW",Ver_Entsorgung,5,0)</f>
        <v>9.2604000000000006E-2</v>
      </c>
    </row>
    <row r="20" spans="1:12">
      <c r="A20" s="19"/>
      <c r="B20" s="177" t="s">
        <v>2738</v>
      </c>
      <c r="C20" s="185"/>
      <c r="D20" s="178">
        <f>1/0.95</f>
        <v>1.0526315789473684</v>
      </c>
      <c r="E20" s="178">
        <f t="shared" si="0"/>
        <v>1.0526315789473684</v>
      </c>
      <c r="G20" s="186">
        <v>0</v>
      </c>
      <c r="H20" s="186">
        <v>0.02</v>
      </c>
      <c r="I20" s="186">
        <v>0.02</v>
      </c>
      <c r="J20" s="186">
        <v>0.04</v>
      </c>
      <c r="K20" s="186">
        <v>0.08</v>
      </c>
      <c r="L20" s="179">
        <f>VLOOKUP("KOFERNW",Ver_Entsorgung,5,0)</f>
        <v>9.2604000000000006E-2</v>
      </c>
    </row>
    <row r="21" spans="1:12">
      <c r="A21" s="19"/>
      <c r="B21" s="179" t="s">
        <v>2402</v>
      </c>
      <c r="C21" s="185"/>
      <c r="D21" s="178">
        <f t="shared" si="0"/>
        <v>1.0526315789473684</v>
      </c>
      <c r="E21" s="178">
        <f t="shared" si="0"/>
        <v>1.0526315789473684</v>
      </c>
      <c r="G21" s="186">
        <v>0</v>
      </c>
      <c r="H21" s="186">
        <v>0.02</v>
      </c>
      <c r="I21" s="186">
        <v>0.02</v>
      </c>
      <c r="J21" s="186">
        <v>0.04</v>
      </c>
      <c r="K21" s="186">
        <v>0.08</v>
      </c>
      <c r="L21" s="193">
        <v>0</v>
      </c>
    </row>
    <row r="22" spans="1:12" ht="21">
      <c r="A22" s="178" t="str">
        <f>"HWB*Verteilverluste*solarerDeckungsgrad*0,02"</f>
        <v>HWB*Verteilverluste*solarerDeckungsgrad*0,02</v>
      </c>
      <c r="B22" s="179" t="s">
        <v>1252</v>
      </c>
      <c r="C22" s="185"/>
      <c r="D22" s="179">
        <v>1</v>
      </c>
      <c r="E22" s="179">
        <v>0.02</v>
      </c>
      <c r="G22" s="186">
        <v>0.02</v>
      </c>
      <c r="H22" s="186">
        <v>0.02</v>
      </c>
      <c r="I22" s="186">
        <v>0.02</v>
      </c>
      <c r="J22" s="186">
        <v>0.04</v>
      </c>
      <c r="K22" s="186">
        <v>0.08</v>
      </c>
      <c r="L22" s="188">
        <v>0</v>
      </c>
    </row>
    <row r="23" spans="1:12">
      <c r="A23" s="19"/>
      <c r="B23" s="179" t="s">
        <v>1251</v>
      </c>
      <c r="C23" s="185"/>
      <c r="D23" s="178">
        <f>1/0.8</f>
        <v>1.25</v>
      </c>
      <c r="E23" s="178">
        <f>1/0.8</f>
        <v>1.25</v>
      </c>
      <c r="G23" s="186">
        <v>0.05</v>
      </c>
      <c r="H23" s="186">
        <v>0.02</v>
      </c>
      <c r="I23" s="186">
        <v>0.02</v>
      </c>
      <c r="J23" s="186">
        <v>0.04</v>
      </c>
      <c r="K23" s="186">
        <v>0.08</v>
      </c>
      <c r="L23" s="179">
        <f>VLOOKUP("KOPELL",Ver_Entsorgung,5,0)</f>
        <v>5.4204000000000002E-2</v>
      </c>
    </row>
    <row r="24" spans="1:12">
      <c r="A24" s="19"/>
      <c r="B24" s="179" t="s">
        <v>1812</v>
      </c>
      <c r="C24" s="185"/>
      <c r="D24" s="178">
        <f>1/0.8</f>
        <v>1.25</v>
      </c>
      <c r="E24" s="178">
        <f>1/0.8</f>
        <v>1.25</v>
      </c>
      <c r="G24" s="186">
        <v>0.05</v>
      </c>
      <c r="H24" s="186">
        <v>0.02</v>
      </c>
      <c r="I24" s="186">
        <v>0.02</v>
      </c>
      <c r="J24" s="186">
        <v>0.04</v>
      </c>
      <c r="K24" s="186">
        <v>0.08</v>
      </c>
      <c r="L24" s="179">
        <f>VLOOKUP("KOHACK",Ver_Entsorgung,5,0)</f>
        <v>4.6199999999999998E-2</v>
      </c>
    </row>
    <row r="25" spans="1:12">
      <c r="A25" s="19"/>
      <c r="B25" s="179" t="s">
        <v>1813</v>
      </c>
      <c r="C25" s="185"/>
      <c r="D25" s="178">
        <f>1/0.95</f>
        <v>1.0526315789473684</v>
      </c>
      <c r="E25" s="178">
        <f>1/0.95</f>
        <v>1.0526315789473684</v>
      </c>
      <c r="G25" s="186">
        <v>0.02</v>
      </c>
      <c r="H25" s="186">
        <v>0.02</v>
      </c>
      <c r="I25" s="186">
        <v>0.02</v>
      </c>
      <c r="J25" s="186">
        <v>0.04</v>
      </c>
      <c r="K25" s="186">
        <v>0.08</v>
      </c>
      <c r="L25" s="179">
        <f>VLOOKUP("KOGA",Ver_Entsorgung,5,0)</f>
        <v>7.2996000000000005E-2</v>
      </c>
    </row>
    <row r="26" spans="1:12">
      <c r="A26" s="19"/>
      <c r="B26" s="179" t="s">
        <v>1814</v>
      </c>
      <c r="C26" s="185"/>
      <c r="D26" s="178">
        <f>1/0.85</f>
        <v>1.1764705882352942</v>
      </c>
      <c r="E26" s="178">
        <f>1/0.85</f>
        <v>1.1764705882352942</v>
      </c>
      <c r="G26" s="186">
        <v>0.02</v>
      </c>
      <c r="H26" s="186">
        <v>0.02</v>
      </c>
      <c r="I26" s="186">
        <v>0.02</v>
      </c>
      <c r="J26" s="186">
        <v>0.04</v>
      </c>
      <c r="K26" s="186">
        <v>0.08</v>
      </c>
      <c r="L26" s="179">
        <f>VLOOKUP("KOGA",Ver_Entsorgung,5,0)</f>
        <v>7.2996000000000005E-2</v>
      </c>
    </row>
    <row r="27" spans="1:12">
      <c r="A27" s="19"/>
      <c r="B27" s="187" t="s">
        <v>1815</v>
      </c>
      <c r="C27" s="185"/>
      <c r="D27" s="178">
        <f>1/4</f>
        <v>0.25</v>
      </c>
      <c r="E27" s="178">
        <f>1/4</f>
        <v>0.25</v>
      </c>
      <c r="G27" s="186">
        <v>0.04</v>
      </c>
      <c r="H27" s="186">
        <v>0.02</v>
      </c>
      <c r="I27" s="186">
        <v>0.02</v>
      </c>
      <c r="J27" s="186">
        <v>0.04</v>
      </c>
      <c r="K27" s="186">
        <v>0.08</v>
      </c>
      <c r="L27" s="179" t="e">
        <f>VLOOKUP("KOSTROM",Energie,8,0)</f>
        <v>#N/A</v>
      </c>
    </row>
    <row r="28" spans="1:12">
      <c r="A28" s="19"/>
      <c r="B28" s="187" t="s">
        <v>1816</v>
      </c>
      <c r="C28" s="185"/>
      <c r="D28" s="178">
        <f>1/3.5</f>
        <v>0.2857142857142857</v>
      </c>
      <c r="E28" s="178">
        <f>1/3.5</f>
        <v>0.2857142857142857</v>
      </c>
      <c r="G28" s="186">
        <v>0.04</v>
      </c>
      <c r="H28" s="186">
        <v>0.02</v>
      </c>
      <c r="I28" s="186">
        <v>0.02</v>
      </c>
      <c r="J28" s="186">
        <v>0.04</v>
      </c>
      <c r="K28" s="186">
        <v>0.08</v>
      </c>
      <c r="L28" s="179" t="e">
        <f>VLOOKUP("KOSTROM",Energie,8,0)</f>
        <v>#N/A</v>
      </c>
    </row>
    <row r="29" spans="1:12">
      <c r="A29" s="19"/>
      <c r="B29" s="187" t="s">
        <v>1817</v>
      </c>
      <c r="C29" s="185"/>
      <c r="D29" s="178">
        <f>1/2.7</f>
        <v>0.37037037037037035</v>
      </c>
      <c r="E29" s="178">
        <f>1/2.7</f>
        <v>0.37037037037037035</v>
      </c>
      <c r="G29" s="186">
        <v>0.02</v>
      </c>
      <c r="H29" s="186">
        <v>0.02</v>
      </c>
      <c r="I29" s="186">
        <v>0.02</v>
      </c>
      <c r="J29" s="186">
        <v>0.04</v>
      </c>
      <c r="K29" s="186">
        <v>0.08</v>
      </c>
      <c r="L29" s="179" t="e">
        <f>VLOOKUP("KOSTROM",Energie,8,0)</f>
        <v>#N/A</v>
      </c>
    </row>
    <row r="30" spans="1:12" s="193" customFormat="1">
      <c r="B30" s="193" t="s">
        <v>2769</v>
      </c>
      <c r="D30" s="193">
        <v>1</v>
      </c>
      <c r="E30" s="193">
        <v>1</v>
      </c>
      <c r="G30" s="193">
        <v>0</v>
      </c>
      <c r="H30" s="193">
        <v>0</v>
      </c>
      <c r="I30" s="193">
        <v>0</v>
      </c>
      <c r="J30" s="193">
        <v>0</v>
      </c>
      <c r="K30" s="193">
        <v>0</v>
      </c>
      <c r="L30" s="193" t="e">
        <f>VLOOKUP("KOSTROM",Energie,8,0)</f>
        <v>#N/A</v>
      </c>
    </row>
    <row r="31" spans="1:12" s="193" customFormat="1">
      <c r="B31" s="193" t="s">
        <v>1861</v>
      </c>
      <c r="D31" s="193">
        <f>VLOOKUP(B31,Ökodaten_Energie,11,0)</f>
        <v>0</v>
      </c>
      <c r="E31" s="193">
        <f>VLOOKUP(B31,Ökodaten_Energie,11,0)</f>
        <v>0</v>
      </c>
      <c r="G31" s="193">
        <f>VLOOKUP(B31,Ökodaten_Energie,12,0)</f>
        <v>0</v>
      </c>
      <c r="H31" s="193">
        <v>0.02</v>
      </c>
      <c r="I31" s="193">
        <v>0.02</v>
      </c>
      <c r="J31" s="193">
        <v>0.04</v>
      </c>
      <c r="K31" s="193">
        <v>0.08</v>
      </c>
      <c r="L31" s="193">
        <f>VLOOKUP(B31,Ökodaten_Energie,10,0)</f>
        <v>0</v>
      </c>
    </row>
    <row r="32" spans="1:12" s="193" customFormat="1">
      <c r="B32" s="193" t="s">
        <v>1870</v>
      </c>
      <c r="D32" s="193">
        <v>0</v>
      </c>
      <c r="E32" s="193">
        <v>0</v>
      </c>
      <c r="G32" s="193">
        <v>0</v>
      </c>
      <c r="H32" s="193">
        <v>0</v>
      </c>
      <c r="I32" s="193">
        <v>0</v>
      </c>
      <c r="J32" s="193">
        <v>0</v>
      </c>
      <c r="K32" s="193">
        <v>0</v>
      </c>
      <c r="L32" s="193">
        <v>0</v>
      </c>
    </row>
    <row r="33" spans="1:12">
      <c r="A33" s="19" t="s">
        <v>1245</v>
      </c>
      <c r="B33" s="19" t="s">
        <v>2071</v>
      </c>
      <c r="D33" s="193"/>
      <c r="E33" s="193"/>
      <c r="F33" s="193"/>
      <c r="G33" s="198" t="s">
        <v>2076</v>
      </c>
      <c r="H33" s="19" t="s">
        <v>2161</v>
      </c>
      <c r="I33" s="19" t="s">
        <v>1262</v>
      </c>
      <c r="J33" s="19" t="s">
        <v>1263</v>
      </c>
      <c r="K33" s="19" t="s">
        <v>1264</v>
      </c>
    </row>
    <row r="34" spans="1:12" s="193" customFormat="1">
      <c r="B34" s="193" t="s">
        <v>1485</v>
      </c>
      <c r="D34" s="193" t="e">
        <f>VLOOKUP("HEIZE1",Energie,5,0)*VLOOKUP(VLOOKUP("HEIZE1",Energie,8,0),Energietraeger,4,0)+VLOOKUP("HEIZE2",Energie,5,0)*VLOOKUP(VLOOKUP("HEIZE2",Energie,8,0),Energietraeger,4,0)+VLOOKUP("HEIZE3",Energie,5,0)*VLOOKUP(VLOOKUP("HEIZE3",Energie,8,0),Energietraeger,4,0)</f>
        <v>#N/A</v>
      </c>
      <c r="E34" s="193" t="e">
        <f>VLOOKUP("HEIZE1",Energie,5,0)*VLOOKUP(VLOOKUP("HEIZE1",Energie,8,0),Energietraeger,4,0)+VLOOKUP("HEIZE2",Energie,5,0)*VLOOKUP(VLOOKUP("HEIZE2",Energie,8,0),Energietraeger,4,0)+VLOOKUP("HEIZE3",Energie,5,0)*VLOOKUP(VLOOKUP("HEIZE3",Energie,8,0),Energietraeger,4,0)</f>
        <v>#N/A</v>
      </c>
      <c r="G34" s="193" t="e">
        <f>VLOOKUP("HILFHEIZ",Energie,8,0)/VLOOKUP("HEBRW",Energie,8,0)</f>
        <v>#N/A</v>
      </c>
      <c r="H34" s="193">
        <v>0</v>
      </c>
      <c r="I34" s="193">
        <v>0</v>
      </c>
      <c r="J34" s="193">
        <v>0</v>
      </c>
      <c r="K34" s="193">
        <v>0</v>
      </c>
      <c r="L34" s="193" t="e">
        <f>VLOOKUP("KOHEIZ",Energie,8,0)</f>
        <v>#N/A</v>
      </c>
    </row>
    <row r="35" spans="1:12" s="193" customFormat="1">
      <c r="A35" s="193" t="str">
        <f>"HWB*Verteilverluste*solarerDeckungsgrad*0,02"</f>
        <v>HWB*Verteilverluste*solarerDeckungsgrad*0,02</v>
      </c>
      <c r="B35" s="193" t="s">
        <v>1252</v>
      </c>
      <c r="D35" s="193">
        <v>1</v>
      </c>
      <c r="E35" s="193">
        <v>0.02</v>
      </c>
      <c r="G35" s="193">
        <v>0.02</v>
      </c>
      <c r="H35" s="193">
        <v>0.02</v>
      </c>
      <c r="I35" s="193">
        <v>0.02</v>
      </c>
      <c r="J35" s="193">
        <v>0.04</v>
      </c>
      <c r="K35" s="193">
        <v>0.08</v>
      </c>
      <c r="L35" s="193">
        <v>0</v>
      </c>
    </row>
    <row r="36" spans="1:12" s="193" customFormat="1">
      <c r="B36" s="193" t="s">
        <v>1818</v>
      </c>
      <c r="D36" s="193">
        <v>1</v>
      </c>
      <c r="E36" s="193">
        <v>1</v>
      </c>
      <c r="G36" s="193">
        <v>0.02</v>
      </c>
      <c r="H36" s="193">
        <v>0.02</v>
      </c>
      <c r="I36" s="193">
        <v>0.02</v>
      </c>
      <c r="J36" s="193">
        <v>0.04</v>
      </c>
      <c r="K36" s="193">
        <v>0.08</v>
      </c>
      <c r="L36" s="193" t="e">
        <f>VLOOKUP("KOSTROM",Energie,8,0)</f>
        <v>#N/A</v>
      </c>
    </row>
    <row r="37" spans="1:12" s="193" customFormat="1">
      <c r="B37" s="193" t="s">
        <v>1819</v>
      </c>
      <c r="D37" s="193">
        <v>1</v>
      </c>
      <c r="E37" s="193">
        <v>1</v>
      </c>
      <c r="G37" s="193">
        <v>0.02</v>
      </c>
      <c r="H37" s="193">
        <v>0</v>
      </c>
      <c r="I37" s="193">
        <v>0</v>
      </c>
      <c r="J37" s="193">
        <v>0</v>
      </c>
      <c r="K37" s="193">
        <v>0</v>
      </c>
      <c r="L37" s="193" t="e">
        <f>VLOOKUP("KOSTROM",Energie,8,0)</f>
        <v>#N/A</v>
      </c>
    </row>
    <row r="38" spans="1:12" s="193" customFormat="1">
      <c r="B38" s="193" t="s">
        <v>1862</v>
      </c>
      <c r="D38" s="193">
        <f>VLOOKUP(B38,Ökodaten_Energie,11,0)</f>
        <v>0</v>
      </c>
      <c r="E38" s="193">
        <f>VLOOKUP(B38,Ökodaten_Energie,11,0)</f>
        <v>0</v>
      </c>
      <c r="G38" s="193">
        <f>VLOOKUP(B38,Ökodaten_Energie,12,0)</f>
        <v>0</v>
      </c>
      <c r="H38" s="193">
        <v>0.02</v>
      </c>
      <c r="I38" s="193">
        <v>0.02</v>
      </c>
      <c r="J38" s="193">
        <v>0.04</v>
      </c>
      <c r="K38" s="193">
        <v>0.08</v>
      </c>
      <c r="L38" s="193">
        <f>VLOOKUP(B38,Ökodaten_Energie,10,0)</f>
        <v>0</v>
      </c>
    </row>
    <row r="39" spans="1:12" s="193" customFormat="1">
      <c r="B39" s="193" t="s">
        <v>1870</v>
      </c>
      <c r="D39" s="193">
        <v>0</v>
      </c>
      <c r="E39" s="193">
        <v>0</v>
      </c>
      <c r="G39" s="193">
        <v>0</v>
      </c>
      <c r="H39" s="193">
        <v>0</v>
      </c>
      <c r="I39" s="193">
        <v>0</v>
      </c>
      <c r="J39" s="193">
        <v>0</v>
      </c>
      <c r="K39" s="193">
        <v>0</v>
      </c>
      <c r="L39" s="193">
        <v>0</v>
      </c>
    </row>
    <row r="40" spans="1:12">
      <c r="A40" s="19" t="s">
        <v>1246</v>
      </c>
      <c r="B40" s="179" t="s">
        <v>2071</v>
      </c>
      <c r="G40" s="596"/>
      <c r="H40" s="192"/>
      <c r="I40" s="192"/>
    </row>
    <row r="41" spans="1:12">
      <c r="B41" s="193" t="s">
        <v>2735</v>
      </c>
      <c r="C41" s="193"/>
      <c r="D41" s="193"/>
      <c r="E41" s="193">
        <f>1/0.95</f>
        <v>1.0526315789473684</v>
      </c>
      <c r="F41" s="193"/>
      <c r="G41" s="186">
        <v>0.06</v>
      </c>
      <c r="H41" s="186"/>
      <c r="I41" s="192"/>
      <c r="L41" s="179">
        <f>VLOOKUP("KOFERNK",Ver_Entsorgung,5,0)</f>
        <v>0</v>
      </c>
    </row>
    <row r="42" spans="1:12">
      <c r="B42" s="193" t="s">
        <v>2736</v>
      </c>
      <c r="C42" s="193"/>
      <c r="D42" s="193"/>
      <c r="E42" s="193">
        <f>1/0.95</f>
        <v>1.0526315789473684</v>
      </c>
      <c r="F42" s="193"/>
      <c r="G42" s="186">
        <v>0.06</v>
      </c>
      <c r="H42" s="186"/>
      <c r="I42" s="192"/>
      <c r="L42" s="179">
        <f>VLOOKUP("KOFERNK",Ver_Entsorgung,5,0)</f>
        <v>0</v>
      </c>
    </row>
    <row r="43" spans="1:12">
      <c r="A43" s="19"/>
      <c r="B43" s="193" t="s">
        <v>1820</v>
      </c>
      <c r="C43" s="193"/>
      <c r="D43" s="193"/>
      <c r="E43" s="193">
        <f>1.67+0.02*3.6</f>
        <v>1.742</v>
      </c>
      <c r="F43" s="193"/>
      <c r="G43" s="186">
        <v>0.04</v>
      </c>
      <c r="H43" s="186"/>
      <c r="I43" s="192"/>
      <c r="L43" s="179">
        <f>VLOOKUP("KOFERNW",Ver_Entsorgung,5,0)</f>
        <v>9.2604000000000006E-2</v>
      </c>
    </row>
    <row r="44" spans="1:12">
      <c r="A44" s="19"/>
      <c r="B44" s="193" t="s">
        <v>1821</v>
      </c>
      <c r="C44" s="193"/>
      <c r="D44" s="193"/>
      <c r="E44" s="193">
        <f>1.67+0.02*3.6</f>
        <v>1.742</v>
      </c>
      <c r="F44" s="193"/>
      <c r="G44" s="186">
        <v>0.04</v>
      </c>
      <c r="H44" s="186"/>
      <c r="I44" s="192"/>
      <c r="L44" s="179">
        <f>VLOOKUP("KOGA",Ver_Entsorgung,5,0)</f>
        <v>7.2996000000000005E-2</v>
      </c>
    </row>
    <row r="45" spans="1:12">
      <c r="A45" s="19"/>
      <c r="B45" s="193" t="s">
        <v>2406</v>
      </c>
      <c r="C45" s="193"/>
      <c r="D45" s="193"/>
      <c r="E45" s="193">
        <f>1.67+0.02*3.6</f>
        <v>1.742</v>
      </c>
      <c r="F45" s="193" t="s">
        <v>2407</v>
      </c>
      <c r="G45" s="186">
        <v>0.04</v>
      </c>
      <c r="H45" s="186"/>
      <c r="I45" s="192"/>
      <c r="L45" s="179">
        <f>VLOOKUP("KOFERNW",Ver_Entsorgung,5,0)</f>
        <v>9.2604000000000006E-2</v>
      </c>
    </row>
    <row r="46" spans="1:12">
      <c r="A46" s="19"/>
      <c r="B46" s="193" t="s">
        <v>2405</v>
      </c>
      <c r="C46" s="193"/>
      <c r="D46" s="193"/>
      <c r="E46" s="193">
        <f>1.67+0.02*3.6</f>
        <v>1.742</v>
      </c>
      <c r="F46" s="193" t="s">
        <v>2407</v>
      </c>
      <c r="G46" s="186">
        <v>0.04</v>
      </c>
      <c r="H46" s="186"/>
      <c r="I46" s="192"/>
      <c r="L46" s="179">
        <f>VLOOKUP("KOGA",Ver_Entsorgung,5,0)</f>
        <v>7.2996000000000005E-2</v>
      </c>
    </row>
    <row r="47" spans="1:12">
      <c r="A47" s="19"/>
      <c r="B47" s="193" t="s">
        <v>1822</v>
      </c>
      <c r="C47" s="193"/>
      <c r="D47" s="193"/>
      <c r="E47" s="193">
        <v>7.0000000000000007E-2</v>
      </c>
      <c r="F47" s="193"/>
      <c r="G47" s="186">
        <v>0</v>
      </c>
      <c r="H47" s="186">
        <v>0</v>
      </c>
      <c r="I47" s="596">
        <v>0</v>
      </c>
      <c r="J47" s="186">
        <v>0</v>
      </c>
      <c r="K47" s="186">
        <v>0</v>
      </c>
      <c r="L47" s="179" t="e">
        <f>VLOOKUP("KOSTROM",Energie,8,0)</f>
        <v>#N/A</v>
      </c>
    </row>
    <row r="48" spans="1:12">
      <c r="A48" s="19"/>
      <c r="B48" s="193" t="s">
        <v>1823</v>
      </c>
      <c r="C48" s="193"/>
      <c r="D48" s="193"/>
      <c r="E48" s="193">
        <v>0.05</v>
      </c>
      <c r="F48" s="193"/>
      <c r="G48" s="186">
        <v>0</v>
      </c>
      <c r="H48" s="186">
        <v>0</v>
      </c>
      <c r="I48" s="596">
        <v>0</v>
      </c>
      <c r="J48" s="186">
        <v>0</v>
      </c>
      <c r="K48" s="186">
        <v>0</v>
      </c>
      <c r="L48" s="179" t="e">
        <f>VLOOKUP("KOSTROM",Energie,8,0)</f>
        <v>#N/A</v>
      </c>
    </row>
    <row r="49" spans="1:16">
      <c r="A49" s="19"/>
      <c r="B49" s="193" t="s">
        <v>1824</v>
      </c>
      <c r="C49" s="193"/>
      <c r="D49" s="193"/>
      <c r="E49" s="193">
        <f>1/2.5</f>
        <v>0.4</v>
      </c>
      <c r="F49" s="193"/>
      <c r="G49" s="186">
        <v>0</v>
      </c>
      <c r="H49" s="186"/>
      <c r="I49" s="192"/>
      <c r="L49" s="179" t="e">
        <f>VLOOKUP("KOSTROM",Energie,8,0)</f>
        <v>#N/A</v>
      </c>
    </row>
    <row r="50" spans="1:16">
      <c r="A50" s="19"/>
      <c r="B50" s="193" t="s">
        <v>1825</v>
      </c>
      <c r="C50" s="193"/>
      <c r="D50" s="193"/>
      <c r="E50" s="193">
        <f>1/6</f>
        <v>0.16666666666666666</v>
      </c>
      <c r="F50" s="193"/>
      <c r="G50" s="186">
        <v>0</v>
      </c>
      <c r="H50" s="186"/>
      <c r="I50" s="192"/>
      <c r="L50" s="179" t="e">
        <f>VLOOKUP("KOSTROM",Energie,8,0)</f>
        <v>#N/A</v>
      </c>
    </row>
    <row r="51" spans="1:16">
      <c r="A51" s="19"/>
      <c r="B51" s="193" t="s">
        <v>1253</v>
      </c>
      <c r="C51" s="193"/>
      <c r="D51" s="193"/>
      <c r="E51" s="193">
        <v>0</v>
      </c>
      <c r="F51" s="193"/>
      <c r="G51" s="186">
        <v>0</v>
      </c>
      <c r="H51" s="186"/>
      <c r="I51" s="192"/>
      <c r="L51" s="179">
        <v>0</v>
      </c>
    </row>
    <row r="52" spans="1:16">
      <c r="A52" s="19"/>
      <c r="B52" s="193" t="s">
        <v>1863</v>
      </c>
      <c r="C52" s="193"/>
      <c r="D52" s="193"/>
      <c r="E52" s="193">
        <f>VLOOKUP(B52,Ökodaten_Energie,11,0)</f>
        <v>0</v>
      </c>
      <c r="F52" s="193"/>
      <c r="G52" s="186">
        <f>VLOOKUP(B52,Ökodaten_Energie,13,0)</f>
        <v>0</v>
      </c>
      <c r="H52" s="186"/>
      <c r="I52" s="192"/>
      <c r="L52" s="188">
        <f>VLOOKUP(B52,Ökodaten_Energie,10,0)</f>
        <v>0</v>
      </c>
    </row>
    <row r="53" spans="1:16">
      <c r="B53" s="193"/>
      <c r="C53" s="193"/>
      <c r="D53" s="193"/>
      <c r="E53" s="193"/>
      <c r="F53" s="193"/>
      <c r="G53" s="597"/>
      <c r="H53" s="597"/>
      <c r="I53" s="597"/>
      <c r="J53" s="193"/>
    </row>
    <row r="54" spans="1:16">
      <c r="B54" s="193"/>
      <c r="C54" s="193"/>
      <c r="D54" s="193"/>
      <c r="E54" s="193"/>
      <c r="F54" s="193"/>
      <c r="G54" s="597"/>
      <c r="H54" s="597"/>
      <c r="I54" s="597"/>
      <c r="J54" s="193"/>
    </row>
    <row r="55" spans="1:16">
      <c r="A55" s="19"/>
      <c r="G55" s="597"/>
      <c r="H55" s="597"/>
      <c r="I55" s="597"/>
      <c r="J55" s="193"/>
    </row>
    <row r="56" spans="1:16">
      <c r="G56" s="193"/>
      <c r="H56" s="193"/>
      <c r="I56" s="193"/>
      <c r="J56" s="193"/>
    </row>
    <row r="57" spans="1:16">
      <c r="A57" s="19"/>
      <c r="G57" s="193"/>
      <c r="H57" s="193"/>
      <c r="I57" s="193"/>
      <c r="J57" s="193"/>
    </row>
    <row r="58" spans="1:16">
      <c r="A58" s="19" t="s">
        <v>1270</v>
      </c>
      <c r="B58" s="19" t="s">
        <v>2161</v>
      </c>
      <c r="C58" s="19" t="s">
        <v>1262</v>
      </c>
      <c r="D58" s="19" t="s">
        <v>1263</v>
      </c>
      <c r="E58" s="19" t="s">
        <v>1264</v>
      </c>
      <c r="F58" s="19"/>
      <c r="G58" s="193"/>
      <c r="H58" s="193"/>
      <c r="I58" s="193"/>
      <c r="J58" s="193"/>
      <c r="K58" s="19"/>
      <c r="L58" s="19"/>
      <c r="M58" s="19"/>
      <c r="N58" s="19"/>
      <c r="O58" s="19"/>
      <c r="P58" s="19"/>
    </row>
    <row r="59" spans="1:16">
      <c r="A59" s="19" t="s">
        <v>2379</v>
      </c>
      <c r="G59" s="193"/>
      <c r="H59" s="193"/>
      <c r="I59" s="193"/>
      <c r="J59" s="193"/>
    </row>
    <row r="60" spans="1:16">
      <c r="A60" s="179" t="s">
        <v>1241</v>
      </c>
      <c r="B60" s="189">
        <v>1.5</v>
      </c>
      <c r="C60" s="189">
        <v>2</v>
      </c>
      <c r="D60" s="189">
        <v>4</v>
      </c>
      <c r="E60" s="189">
        <v>6</v>
      </c>
      <c r="F60" s="179" t="s">
        <v>2394</v>
      </c>
    </row>
    <row r="61" spans="1:16">
      <c r="A61" s="179" t="s">
        <v>2024</v>
      </c>
      <c r="B61" s="189">
        <v>1.5</v>
      </c>
      <c r="C61" s="189">
        <v>2</v>
      </c>
      <c r="D61" s="189">
        <v>4</v>
      </c>
      <c r="E61" s="189">
        <v>6</v>
      </c>
      <c r="F61" s="179" t="s">
        <v>2394</v>
      </c>
    </row>
    <row r="62" spans="1:16">
      <c r="A62" s="179" t="s">
        <v>1266</v>
      </c>
      <c r="B62" s="189">
        <v>1.5</v>
      </c>
      <c r="C62" s="189">
        <v>2</v>
      </c>
      <c r="D62" s="189">
        <v>4</v>
      </c>
      <c r="E62" s="189">
        <v>6</v>
      </c>
      <c r="F62" s="179" t="s">
        <v>2394</v>
      </c>
    </row>
    <row r="63" spans="1:16">
      <c r="A63" s="19" t="s">
        <v>2380</v>
      </c>
    </row>
    <row r="64" spans="1:16">
      <c r="A64" s="179" t="s">
        <v>1241</v>
      </c>
      <c r="B64" s="189">
        <v>3</v>
      </c>
      <c r="C64" s="189">
        <v>6</v>
      </c>
      <c r="D64" s="189">
        <v>12</v>
      </c>
      <c r="E64" s="189">
        <v>24</v>
      </c>
      <c r="F64" s="179" t="s">
        <v>2394</v>
      </c>
    </row>
    <row r="65" spans="1:6">
      <c r="A65" s="179" t="s">
        <v>2024</v>
      </c>
      <c r="B65" s="189">
        <v>2</v>
      </c>
      <c r="C65" s="189">
        <v>4</v>
      </c>
      <c r="D65" s="189">
        <v>8</v>
      </c>
      <c r="E65" s="189">
        <v>16</v>
      </c>
      <c r="F65" s="179" t="s">
        <v>2394</v>
      </c>
    </row>
    <row r="66" spans="1:6">
      <c r="A66" s="179" t="s">
        <v>1266</v>
      </c>
      <c r="B66" s="189">
        <v>3</v>
      </c>
      <c r="C66" s="189">
        <v>6</v>
      </c>
      <c r="D66" s="189">
        <v>12</v>
      </c>
      <c r="E66" s="189">
        <v>24</v>
      </c>
      <c r="F66" s="179" t="s">
        <v>2394</v>
      </c>
    </row>
    <row r="67" spans="1:6">
      <c r="A67" s="19" t="s">
        <v>2385</v>
      </c>
    </row>
    <row r="68" spans="1:6">
      <c r="A68" s="179" t="s">
        <v>1241</v>
      </c>
      <c r="B68" s="189">
        <f>10</f>
        <v>10</v>
      </c>
      <c r="C68" s="189">
        <v>25</v>
      </c>
      <c r="D68" s="189">
        <v>50</v>
      </c>
      <c r="E68" s="189">
        <v>100</v>
      </c>
      <c r="F68" s="179" t="s">
        <v>2394</v>
      </c>
    </row>
    <row r="69" spans="1:6">
      <c r="A69" s="179" t="s">
        <v>2024</v>
      </c>
      <c r="B69" s="189">
        <f>10</f>
        <v>10</v>
      </c>
      <c r="C69" s="189">
        <v>25</v>
      </c>
      <c r="D69" s="189">
        <v>50</v>
      </c>
      <c r="E69" s="189">
        <v>100</v>
      </c>
      <c r="F69" s="179" t="s">
        <v>2394</v>
      </c>
    </row>
    <row r="70" spans="1:6">
      <c r="A70" s="179" t="s">
        <v>1266</v>
      </c>
      <c r="B70" s="189">
        <f>10</f>
        <v>10</v>
      </c>
      <c r="C70" s="189">
        <v>30</v>
      </c>
      <c r="D70" s="189">
        <v>60</v>
      </c>
      <c r="E70" s="189">
        <v>120</v>
      </c>
      <c r="F70" s="179" t="s">
        <v>2394</v>
      </c>
    </row>
    <row r="71" spans="1:6">
      <c r="A71" s="19" t="s">
        <v>2384</v>
      </c>
    </row>
    <row r="72" spans="1:6">
      <c r="A72" s="179" t="s">
        <v>1241</v>
      </c>
      <c r="B72" s="189">
        <v>4</v>
      </c>
      <c r="C72" s="189">
        <v>5</v>
      </c>
      <c r="D72" s="189">
        <v>7.5</v>
      </c>
      <c r="E72" s="196">
        <v>13</v>
      </c>
      <c r="F72" s="179" t="s">
        <v>2394</v>
      </c>
    </row>
    <row r="73" spans="1:6">
      <c r="A73" s="179" t="s">
        <v>2024</v>
      </c>
      <c r="B73" s="189">
        <v>4</v>
      </c>
      <c r="C73" s="189">
        <v>5</v>
      </c>
      <c r="D73" s="189">
        <v>7.5</v>
      </c>
      <c r="E73" s="189">
        <v>10</v>
      </c>
      <c r="F73" s="179" t="s">
        <v>2394</v>
      </c>
    </row>
    <row r="74" spans="1:6">
      <c r="A74" s="179" t="s">
        <v>1266</v>
      </c>
      <c r="B74" s="189">
        <f>C74</f>
        <v>12.75</v>
      </c>
      <c r="C74" s="189">
        <v>12.75</v>
      </c>
      <c r="D74" s="189">
        <v>22</v>
      </c>
      <c r="E74" s="189">
        <v>34</v>
      </c>
      <c r="F74" s="179" t="s">
        <v>2394</v>
      </c>
    </row>
    <row r="75" spans="1:6">
      <c r="A75" s="19" t="s">
        <v>2383</v>
      </c>
    </row>
    <row r="76" spans="1:6">
      <c r="A76" s="179" t="s">
        <v>1241</v>
      </c>
      <c r="B76" s="189">
        <v>10</v>
      </c>
      <c r="C76" s="189">
        <v>20</v>
      </c>
      <c r="D76" s="189">
        <v>40</v>
      </c>
      <c r="E76" s="189">
        <v>80</v>
      </c>
      <c r="F76" s="179" t="s">
        <v>2394</v>
      </c>
    </row>
    <row r="77" spans="1:6">
      <c r="A77" s="179" t="s">
        <v>2024</v>
      </c>
      <c r="B77" s="189">
        <v>5</v>
      </c>
      <c r="C77" s="189">
        <v>10</v>
      </c>
      <c r="D77" s="189">
        <v>20</v>
      </c>
      <c r="E77" s="189">
        <v>40</v>
      </c>
      <c r="F77" s="179" t="s">
        <v>2394</v>
      </c>
    </row>
    <row r="78" spans="1:6">
      <c r="A78" s="179" t="s">
        <v>1266</v>
      </c>
      <c r="B78" s="189">
        <v>2.5</v>
      </c>
      <c r="C78" s="189">
        <v>5</v>
      </c>
      <c r="D78" s="189">
        <v>10</v>
      </c>
      <c r="E78" s="189">
        <v>20</v>
      </c>
      <c r="F78" s="179" t="s">
        <v>2394</v>
      </c>
    </row>
    <row r="79" spans="1:6">
      <c r="A79" s="19" t="s">
        <v>2389</v>
      </c>
    </row>
    <row r="80" spans="1:6">
      <c r="A80" s="179" t="s">
        <v>1241</v>
      </c>
      <c r="B80" s="189">
        <v>1.25</v>
      </c>
      <c r="C80" s="189">
        <v>2.75</v>
      </c>
      <c r="D80" s="189">
        <v>8.25</v>
      </c>
      <c r="E80" s="189">
        <v>17.5</v>
      </c>
      <c r="F80" s="179" t="s">
        <v>2394</v>
      </c>
    </row>
    <row r="81" spans="1:6">
      <c r="A81" s="179" t="s">
        <v>2024</v>
      </c>
      <c r="B81" s="189">
        <v>0.25</v>
      </c>
      <c r="C81" s="189">
        <v>1.25</v>
      </c>
      <c r="D81" s="189">
        <v>5.75</v>
      </c>
      <c r="E81" s="189">
        <v>17.5</v>
      </c>
      <c r="F81" s="179" t="s">
        <v>2394</v>
      </c>
    </row>
    <row r="82" spans="1:6">
      <c r="A82" s="179" t="s">
        <v>1266</v>
      </c>
      <c r="B82" s="189">
        <v>1</v>
      </c>
      <c r="C82" s="189">
        <v>2</v>
      </c>
      <c r="D82" s="189">
        <v>3.5</v>
      </c>
      <c r="E82" s="189">
        <v>8.25</v>
      </c>
      <c r="F82" s="179" t="s">
        <v>2394</v>
      </c>
    </row>
    <row r="83" spans="1:6">
      <c r="A83" s="19" t="s">
        <v>2390</v>
      </c>
    </row>
    <row r="84" spans="1:6">
      <c r="A84" s="179" t="s">
        <v>1241</v>
      </c>
      <c r="B84" s="189">
        <v>1</v>
      </c>
      <c r="C84" s="189">
        <v>1.5</v>
      </c>
      <c r="D84" s="189">
        <v>2</v>
      </c>
      <c r="E84" s="189">
        <v>5</v>
      </c>
      <c r="F84" s="179" t="s">
        <v>2394</v>
      </c>
    </row>
    <row r="85" spans="1:6">
      <c r="A85" s="179" t="s">
        <v>2024</v>
      </c>
      <c r="B85" s="189">
        <v>1</v>
      </c>
      <c r="C85" s="189">
        <v>1</v>
      </c>
      <c r="D85" s="189">
        <v>1.5</v>
      </c>
      <c r="E85" s="189">
        <v>2</v>
      </c>
      <c r="F85" s="179" t="s">
        <v>2394</v>
      </c>
    </row>
    <row r="86" spans="1:6">
      <c r="A86" s="179" t="s">
        <v>1266</v>
      </c>
      <c r="B86" s="189">
        <v>1</v>
      </c>
      <c r="C86" s="189">
        <v>1</v>
      </c>
      <c r="D86" s="189">
        <v>2</v>
      </c>
      <c r="E86" s="189">
        <v>3</v>
      </c>
      <c r="F86" s="179" t="s">
        <v>2394</v>
      </c>
    </row>
    <row r="87" spans="1:6">
      <c r="A87" s="19" t="s">
        <v>2391</v>
      </c>
    </row>
    <row r="88" spans="1:6">
      <c r="A88" s="179" t="s">
        <v>1241</v>
      </c>
      <c r="B88" s="189">
        <v>5</v>
      </c>
      <c r="C88" s="189">
        <v>10</v>
      </c>
      <c r="D88" s="189">
        <v>15</v>
      </c>
      <c r="E88" s="189">
        <v>25</v>
      </c>
      <c r="F88" s="179" t="s">
        <v>2394</v>
      </c>
    </row>
    <row r="89" spans="1:6">
      <c r="A89" s="179" t="s">
        <v>2024</v>
      </c>
      <c r="B89" s="189">
        <v>2</v>
      </c>
      <c r="C89" s="189">
        <v>6</v>
      </c>
      <c r="D89" s="189">
        <v>12</v>
      </c>
      <c r="E89" s="189">
        <v>20</v>
      </c>
      <c r="F89" s="179" t="s">
        <v>2394</v>
      </c>
    </row>
    <row r="90" spans="1:6">
      <c r="A90" s="179" t="s">
        <v>1266</v>
      </c>
      <c r="B90" s="189">
        <v>0</v>
      </c>
      <c r="C90" s="189">
        <v>0</v>
      </c>
      <c r="D90" s="189">
        <v>0</v>
      </c>
      <c r="E90" s="189">
        <v>0</v>
      </c>
      <c r="F90" s="179" t="s">
        <v>2394</v>
      </c>
    </row>
    <row r="91" spans="1:6">
      <c r="A91" s="19" t="s">
        <v>2392</v>
      </c>
    </row>
    <row r="92" spans="1:6">
      <c r="A92" s="179" t="s">
        <v>1241</v>
      </c>
      <c r="B92" s="189">
        <v>5</v>
      </c>
      <c r="C92" s="189">
        <v>12</v>
      </c>
      <c r="D92" s="189">
        <v>36</v>
      </c>
      <c r="E92" s="189">
        <v>60</v>
      </c>
      <c r="F92" s="179" t="s">
        <v>2394</v>
      </c>
    </row>
    <row r="93" spans="1:6">
      <c r="A93" s="179" t="s">
        <v>2024</v>
      </c>
      <c r="B93" s="189">
        <v>2</v>
      </c>
      <c r="C93" s="189">
        <v>4</v>
      </c>
      <c r="D93" s="189">
        <v>12</v>
      </c>
      <c r="E93" s="189">
        <v>24</v>
      </c>
      <c r="F93" s="179" t="s">
        <v>2394</v>
      </c>
    </row>
    <row r="94" spans="1:6">
      <c r="A94" s="179" t="s">
        <v>1266</v>
      </c>
      <c r="B94" s="189">
        <v>4</v>
      </c>
      <c r="C94" s="189">
        <v>5</v>
      </c>
      <c r="D94" s="189">
        <v>10</v>
      </c>
      <c r="E94" s="189">
        <v>20</v>
      </c>
      <c r="F94" s="179" t="s">
        <v>2394</v>
      </c>
    </row>
    <row r="95" spans="1:6">
      <c r="A95" s="19" t="s">
        <v>2393</v>
      </c>
    </row>
    <row r="96" spans="1:6">
      <c r="A96" s="179" t="s">
        <v>1241</v>
      </c>
      <c r="B96" s="189">
        <v>0</v>
      </c>
      <c r="C96" s="189">
        <v>0</v>
      </c>
      <c r="D96" s="189">
        <v>0</v>
      </c>
      <c r="E96" s="189">
        <v>0</v>
      </c>
      <c r="F96" s="179" t="s">
        <v>2394</v>
      </c>
    </row>
    <row r="97" spans="1:6">
      <c r="A97" s="179" t="s">
        <v>2024</v>
      </c>
      <c r="B97" s="189">
        <v>0</v>
      </c>
      <c r="C97" s="189">
        <v>0</v>
      </c>
      <c r="D97" s="189">
        <v>0</v>
      </c>
      <c r="E97" s="189">
        <v>0</v>
      </c>
      <c r="F97" s="179" t="s">
        <v>2394</v>
      </c>
    </row>
    <row r="98" spans="1:6">
      <c r="A98" s="179" t="s">
        <v>1266</v>
      </c>
      <c r="B98" s="189">
        <v>10</v>
      </c>
      <c r="C98" s="189">
        <v>20</v>
      </c>
      <c r="D98" s="189">
        <v>30</v>
      </c>
      <c r="E98" s="189">
        <v>40</v>
      </c>
      <c r="F98" s="179" t="s">
        <v>2394</v>
      </c>
    </row>
    <row r="99" spans="1:6">
      <c r="A99" s="19" t="s">
        <v>2381</v>
      </c>
      <c r="B99" s="184"/>
      <c r="C99" s="184"/>
      <c r="D99" s="184"/>
      <c r="E99" s="184"/>
    </row>
    <row r="100" spans="1:6">
      <c r="A100" s="179" t="s">
        <v>1241</v>
      </c>
      <c r="B100" s="189">
        <v>0</v>
      </c>
      <c r="C100" s="189">
        <v>10</v>
      </c>
      <c r="D100" s="189">
        <v>20</v>
      </c>
      <c r="E100" s="189">
        <v>40</v>
      </c>
      <c r="F100" s="179" t="s">
        <v>2394</v>
      </c>
    </row>
    <row r="101" spans="1:6">
      <c r="A101" s="179" t="s">
        <v>2024</v>
      </c>
      <c r="B101" s="189">
        <v>0</v>
      </c>
      <c r="C101" s="189">
        <v>0</v>
      </c>
      <c r="D101" s="189">
        <v>0</v>
      </c>
      <c r="E101" s="189">
        <v>0</v>
      </c>
      <c r="F101" s="179" t="s">
        <v>2394</v>
      </c>
    </row>
    <row r="102" spans="1:6">
      <c r="A102" s="179" t="s">
        <v>1266</v>
      </c>
      <c r="B102" s="189">
        <v>0</v>
      </c>
      <c r="C102" s="189">
        <v>0</v>
      </c>
      <c r="D102" s="189">
        <v>0</v>
      </c>
      <c r="E102" s="189">
        <v>0</v>
      </c>
      <c r="F102" s="179" t="s">
        <v>2394</v>
      </c>
    </row>
    <row r="103" spans="1:6">
      <c r="A103" s="19" t="s">
        <v>2382</v>
      </c>
      <c r="B103" s="184"/>
      <c r="C103" s="184"/>
      <c r="D103" s="184"/>
      <c r="E103" s="184"/>
    </row>
    <row r="104" spans="1:6">
      <c r="A104" s="179" t="s">
        <v>1241</v>
      </c>
      <c r="B104" s="189">
        <v>0</v>
      </c>
      <c r="C104" s="189">
        <v>5</v>
      </c>
      <c r="D104" s="189">
        <v>10</v>
      </c>
      <c r="E104" s="189">
        <v>20</v>
      </c>
      <c r="F104" s="179" t="s">
        <v>2394</v>
      </c>
    </row>
    <row r="105" spans="1:6">
      <c r="A105" s="179" t="s">
        <v>2024</v>
      </c>
      <c r="B105" s="189">
        <v>0</v>
      </c>
      <c r="C105" s="189">
        <v>0</v>
      </c>
      <c r="D105" s="189">
        <v>0</v>
      </c>
      <c r="E105" s="189">
        <v>0</v>
      </c>
      <c r="F105" s="179" t="s">
        <v>2394</v>
      </c>
    </row>
    <row r="106" spans="1:6">
      <c r="A106" s="179" t="s">
        <v>1266</v>
      </c>
      <c r="B106" s="189">
        <v>0</v>
      </c>
      <c r="C106" s="189">
        <v>0</v>
      </c>
      <c r="D106" s="189">
        <v>0</v>
      </c>
      <c r="E106" s="189">
        <v>0</v>
      </c>
      <c r="F106" s="179" t="s">
        <v>2394</v>
      </c>
    </row>
    <row r="107" spans="1:6">
      <c r="A107" s="19" t="s">
        <v>2155</v>
      </c>
      <c r="B107" s="19" t="s">
        <v>1252</v>
      </c>
      <c r="C107" s="19" t="s">
        <v>2378</v>
      </c>
    </row>
    <row r="108" spans="1:6">
      <c r="A108" s="19"/>
      <c r="B108" s="190" t="s">
        <v>2386</v>
      </c>
      <c r="C108" s="190" t="s">
        <v>2387</v>
      </c>
    </row>
    <row r="109" spans="1:6">
      <c r="A109" s="179" t="s">
        <v>2129</v>
      </c>
      <c r="B109" s="191">
        <v>0</v>
      </c>
      <c r="C109" s="191">
        <v>0</v>
      </c>
      <c r="D109" s="192"/>
      <c r="E109" s="192"/>
      <c r="F109" s="179" t="s">
        <v>2394</v>
      </c>
    </row>
    <row r="110" spans="1:6">
      <c r="A110" s="179" t="s">
        <v>1262</v>
      </c>
      <c r="B110" s="191">
        <v>250</v>
      </c>
      <c r="C110" s="191">
        <v>70</v>
      </c>
      <c r="D110" s="192"/>
      <c r="E110" s="192"/>
      <c r="F110" s="179" t="s">
        <v>2394</v>
      </c>
    </row>
    <row r="111" spans="1:6">
      <c r="A111" s="179" t="s">
        <v>1263</v>
      </c>
      <c r="B111" s="191">
        <v>400</v>
      </c>
      <c r="C111" s="191">
        <v>130</v>
      </c>
      <c r="D111" s="192"/>
      <c r="E111" s="192"/>
      <c r="F111" s="179" t="s">
        <v>2394</v>
      </c>
    </row>
    <row r="112" spans="1:6">
      <c r="A112" s="179" t="s">
        <v>1264</v>
      </c>
      <c r="B112" s="191">
        <v>600</v>
      </c>
      <c r="C112" s="191">
        <v>170</v>
      </c>
      <c r="D112" s="192"/>
      <c r="E112" s="192"/>
      <c r="F112" s="179" t="s">
        <v>2394</v>
      </c>
    </row>
    <row r="113" spans="4:5">
      <c r="D113" s="192"/>
      <c r="E113" s="192"/>
    </row>
  </sheetData>
  <pageMargins left="0.7" right="0.7" top="0.78740157499999996" bottom="0.78740157499999996" header="0.3" footer="0.3"/>
  <pageSetup paperSize="8" orientation="landscape" r:id="rId1"/>
</worksheet>
</file>

<file path=xl/worksheets/sheet26.xml><?xml version="1.0" encoding="utf-8"?>
<worksheet xmlns="http://schemas.openxmlformats.org/spreadsheetml/2006/main" xmlns:r="http://schemas.openxmlformats.org/officeDocument/2006/relationships">
  <sheetPr codeName="Tabelle19">
    <tabColor rgb="FFFFFF00"/>
  </sheetPr>
  <dimension ref="A1:T99"/>
  <sheetViews>
    <sheetView topLeftCell="D1" workbookViewId="0">
      <selection activeCell="A92" sqref="A92"/>
    </sheetView>
  </sheetViews>
  <sheetFormatPr baseColWidth="10" defaultRowHeight="15" customHeight="1" outlineLevelCol="2"/>
  <cols>
    <col min="1" max="1" width="6.1640625" style="408" hidden="1" customWidth="1" outlineLevel="1"/>
    <col min="2" max="2" width="7" style="408" hidden="1" customWidth="1" outlineLevel="1"/>
    <col min="3" max="3" width="15.5" style="408" hidden="1" customWidth="1" outlineLevel="1"/>
    <col min="4" max="4" width="29.33203125" style="408" customWidth="1" collapsed="1"/>
    <col min="5" max="5" width="9" style="408" customWidth="1" outlineLevel="2"/>
    <col min="6" max="6" width="15.1640625" style="408" customWidth="1" outlineLevel="2"/>
    <col min="7" max="7" width="18.1640625" style="179" customWidth="1" outlineLevel="1"/>
    <col min="8" max="8" width="12.83203125" style="179" customWidth="1" outlineLevel="1"/>
    <col min="9" max="10" width="12.5" style="417" customWidth="1" outlineLevel="1"/>
    <col min="11" max="12" width="13.83203125" style="417" customWidth="1" outlineLevel="1"/>
    <col min="13" max="13" width="12" style="179"/>
    <col min="14" max="14" width="14" style="179" customWidth="1"/>
    <col min="15" max="16384" width="12" style="179"/>
  </cols>
  <sheetData>
    <row r="1" spans="1:18" ht="15" customHeight="1">
      <c r="A1" s="3"/>
      <c r="B1" s="4"/>
      <c r="C1" s="4"/>
      <c r="D1" s="4"/>
      <c r="E1" s="4"/>
      <c r="F1" s="4"/>
      <c r="G1" s="4" t="s">
        <v>2170</v>
      </c>
      <c r="H1" s="4"/>
      <c r="I1" s="12"/>
      <c r="J1" s="12"/>
      <c r="K1" s="12"/>
      <c r="L1" s="12"/>
      <c r="M1" s="12"/>
      <c r="N1" s="4" t="s">
        <v>2171</v>
      </c>
      <c r="O1" s="14">
        <f>VLOOKUP("LEBENT",Allgemeine_Angaben,5,0)</f>
        <v>30</v>
      </c>
      <c r="P1" s="12"/>
      <c r="Q1" s="12"/>
      <c r="R1" s="24"/>
    </row>
    <row r="2" spans="1:18" ht="15" customHeight="1">
      <c r="A2" s="3"/>
      <c r="B2" s="4"/>
      <c r="C2" s="4"/>
      <c r="D2" s="4"/>
      <c r="E2" s="4"/>
      <c r="F2" s="4"/>
      <c r="G2" s="4"/>
      <c r="H2" s="4"/>
      <c r="I2" s="12"/>
      <c r="J2" s="12"/>
      <c r="K2" s="12"/>
      <c r="L2" s="12"/>
      <c r="M2" s="12"/>
      <c r="N2" s="4" t="s">
        <v>2172</v>
      </c>
      <c r="O2" s="15">
        <f>IF(O1&lt;=VLOOKUP("LEBENT",Allgemeine_Angaben,5,0),O1,VLOOKUP("LEBENT",Allgemeine_Angaben,5,0))</f>
        <v>30</v>
      </c>
      <c r="P2" s="12"/>
      <c r="Q2" s="12"/>
      <c r="R2" s="24"/>
    </row>
    <row r="3" spans="1:18" s="402" customFormat="1" ht="31.5">
      <c r="A3" s="20" t="s">
        <v>1</v>
      </c>
      <c r="B3" s="21" t="s">
        <v>719</v>
      </c>
      <c r="C3" s="20" t="s">
        <v>2</v>
      </c>
      <c r="D3" s="20" t="s">
        <v>66</v>
      </c>
      <c r="E3" s="2" t="s">
        <v>89</v>
      </c>
      <c r="F3" s="2" t="s">
        <v>90</v>
      </c>
      <c r="G3" s="20" t="s">
        <v>1490</v>
      </c>
      <c r="H3" s="20" t="s">
        <v>1491</v>
      </c>
      <c r="I3" s="20" t="s">
        <v>1492</v>
      </c>
      <c r="J3" s="20" t="s">
        <v>1890</v>
      </c>
      <c r="K3" s="20" t="s">
        <v>1891</v>
      </c>
      <c r="L3" s="20" t="s">
        <v>2054</v>
      </c>
      <c r="M3" s="20" t="s">
        <v>2169</v>
      </c>
      <c r="N3" s="20" t="s">
        <v>1655</v>
      </c>
      <c r="O3" s="20" t="s">
        <v>2168</v>
      </c>
      <c r="P3" s="20" t="s">
        <v>1656</v>
      </c>
      <c r="Q3" s="20" t="s">
        <v>1653</v>
      </c>
      <c r="R3" s="20" t="s">
        <v>2173</v>
      </c>
    </row>
    <row r="4" spans="1:18" ht="15" customHeight="1">
      <c r="A4" s="5">
        <v>100</v>
      </c>
      <c r="B4" s="9" t="s">
        <v>721</v>
      </c>
      <c r="C4" s="6" t="s">
        <v>354</v>
      </c>
      <c r="D4" s="6" t="s">
        <v>353</v>
      </c>
      <c r="E4" s="6"/>
      <c r="F4" s="16"/>
      <c r="G4" s="13"/>
      <c r="H4" s="13"/>
      <c r="I4" s="13"/>
      <c r="J4" s="13"/>
      <c r="K4" s="13"/>
      <c r="L4" s="13"/>
      <c r="M4" s="13"/>
      <c r="N4" s="13"/>
      <c r="O4" s="13"/>
      <c r="P4" s="13"/>
      <c r="Q4" s="13"/>
      <c r="R4" s="13"/>
    </row>
    <row r="5" spans="1:18" ht="15" customHeight="1">
      <c r="A5" s="5">
        <v>1400</v>
      </c>
      <c r="B5" s="9" t="s">
        <v>724</v>
      </c>
      <c r="C5" s="6" t="s">
        <v>334</v>
      </c>
      <c r="D5" s="6" t="s">
        <v>333</v>
      </c>
      <c r="E5" s="6"/>
      <c r="F5" s="16"/>
      <c r="G5" s="13"/>
      <c r="H5" s="13"/>
      <c r="I5" s="403"/>
      <c r="J5" s="403"/>
      <c r="K5" s="403"/>
      <c r="L5" s="403"/>
      <c r="M5" s="403"/>
      <c r="N5" s="13"/>
      <c r="O5" s="13"/>
      <c r="P5" s="403"/>
      <c r="Q5" s="403"/>
      <c r="R5" s="403"/>
    </row>
    <row r="6" spans="1:18" ht="15" customHeight="1">
      <c r="A6" s="5">
        <v>1700</v>
      </c>
      <c r="B6" s="9" t="s">
        <v>728</v>
      </c>
      <c r="C6" s="6" t="s">
        <v>328</v>
      </c>
      <c r="D6" s="6" t="s">
        <v>327</v>
      </c>
      <c r="E6" s="6"/>
      <c r="F6" s="16"/>
      <c r="G6" s="13"/>
      <c r="H6" s="13"/>
      <c r="I6" s="17"/>
      <c r="J6" s="17"/>
      <c r="K6" s="17"/>
      <c r="L6" s="17"/>
      <c r="M6" s="17"/>
      <c r="N6" s="13"/>
      <c r="O6" s="13"/>
      <c r="P6" s="17"/>
      <c r="Q6" s="17"/>
      <c r="R6" s="17"/>
    </row>
    <row r="7" spans="1:18" ht="15" customHeight="1">
      <c r="A7" s="404"/>
      <c r="B7" s="405"/>
      <c r="C7" s="205" t="s">
        <v>1186</v>
      </c>
      <c r="D7" s="205" t="s">
        <v>1182</v>
      </c>
      <c r="E7" s="205"/>
      <c r="F7" s="406"/>
      <c r="I7" s="179"/>
      <c r="J7" s="179"/>
      <c r="K7" s="179"/>
      <c r="L7" s="179"/>
    </row>
    <row r="8" spans="1:18" ht="15" customHeight="1">
      <c r="A8" s="404"/>
      <c r="B8" s="405"/>
      <c r="C8" s="205" t="s">
        <v>1671</v>
      </c>
      <c r="D8" s="206" t="s">
        <v>1430</v>
      </c>
      <c r="E8" s="205"/>
      <c r="F8" s="406"/>
      <c r="G8" s="22">
        <f>VLOOKUP("E2.C.03",Errichtungskosten,4,0)*VLOOKUP(VLOOKUP("E2.C.03a",Errichtungskosten,8,0),ÖkodatenKonstruktionen,8,0)</f>
        <v>0</v>
      </c>
      <c r="H8" s="22">
        <f>VLOOKUP("E2.C.03",Errichtungskosten,4,0)*VLOOKUP(VLOOKUP("E2.C.03a",Errichtungskosten,8,0),ÖkodatenKonstruktionen,9,0)</f>
        <v>0</v>
      </c>
      <c r="I8" s="22">
        <f>VLOOKUP("E2.C.03",Errichtungskosten,4,0)*VLOOKUP(VLOOKUP("E2.C.03a",Errichtungskosten,8,0),ÖkodatenKonstruktionen,10,0)</f>
        <v>0</v>
      </c>
      <c r="J8" s="22">
        <f>VLOOKUP("E2.C.03",Errichtungskosten,4,0)*VLOOKUP(VLOOKUP("E2.C.03a",Errichtungskosten,8,0),ÖkodatenKonstruktionen,11,0)</f>
        <v>0</v>
      </c>
      <c r="K8" s="22">
        <f>VLOOKUP("E2.C.03",Errichtungskosten,4,0)*VLOOKUP(VLOOKUP("E2.C.03a",Errichtungskosten,8,0),ÖkodatenKonstruktionen,12,0)</f>
        <v>0</v>
      </c>
      <c r="L8" s="22">
        <f>VLOOKUP("E2.C.03",Errichtungskosten,4,0)*VLOOKUP(VLOOKUP("E2.C.03a",Errichtungskosten,8,0),ÖkodatenKonstruktionen,13,0)</f>
        <v>0</v>
      </c>
      <c r="M8" s="407" t="str">
        <f>VLOOKUP(C8,Nutzungsdauern,5,0)</f>
        <v>k.A.</v>
      </c>
      <c r="N8" s="22">
        <f>IF($M8&lt;&gt;"k.A.",(ROUNDDOWN($O$2/$M8,0)+1)*G8,0)</f>
        <v>0</v>
      </c>
      <c r="O8" s="22">
        <f t="shared" ref="O8:R8" si="0">IF($M8&lt;&gt;"k.A.",(ROUNDDOWN($O$2/$M8,0)+1)*H8,0)</f>
        <v>0</v>
      </c>
      <c r="P8" s="22">
        <f t="shared" si="0"/>
        <v>0</v>
      </c>
      <c r="Q8" s="22">
        <f t="shared" si="0"/>
        <v>0</v>
      </c>
      <c r="R8" s="22">
        <f t="shared" si="0"/>
        <v>0</v>
      </c>
    </row>
    <row r="9" spans="1:18" ht="15" customHeight="1">
      <c r="A9" s="404"/>
      <c r="B9" s="405"/>
      <c r="C9" s="205" t="s">
        <v>1672</v>
      </c>
      <c r="D9" s="206" t="s">
        <v>1431</v>
      </c>
      <c r="G9" s="22">
        <f>VLOOKUP("E2.C.03",Errichtungskosten,4,0)*0.01*VLOOKUP("E2.C.03b",Errichtungskosten,4,0)*VLOOKUP(VLOOKUP("E2.C.03b",Errichtungskosten,8,0),ÖkodatenKonstruktionen,8,0)</f>
        <v>0</v>
      </c>
      <c r="H9" s="22">
        <f>VLOOKUP("E2.C.03",Errichtungskosten,4,0)*0.01*VLOOKUP("E2.C.03b",Errichtungskosten,4,0)*VLOOKUP(VLOOKUP("E2.C.03b",Errichtungskosten,8,0),ÖkodatenKonstruktionen,9,0)</f>
        <v>0</v>
      </c>
      <c r="I9" s="22">
        <f>VLOOKUP("E2.C.03",Errichtungskosten,4,0)*0.01*VLOOKUP("E2.C.03b",Errichtungskosten,4,0)*VLOOKUP(VLOOKUP("E2.C.03b",Errichtungskosten,8,0),ÖkodatenKonstruktionen,10,0)</f>
        <v>0</v>
      </c>
      <c r="J9" s="22">
        <f>VLOOKUP("E2.C.03",Errichtungskosten,4,0)*0.01*VLOOKUP("E2.C.03b",Errichtungskosten,4,0)*VLOOKUP(VLOOKUP("E2.C.03b",Errichtungskosten,8,0),ÖkodatenKonstruktionen,11,0)</f>
        <v>0</v>
      </c>
      <c r="K9" s="22">
        <f>VLOOKUP("E2.C.03",Errichtungskosten,4,0)*0.01*VLOOKUP("E2.C.03b",Errichtungskosten,4,0)*VLOOKUP(VLOOKUP("E2.C.03b",Errichtungskosten,8,0),ÖkodatenKonstruktionen,12,0)</f>
        <v>0</v>
      </c>
      <c r="L9" s="22">
        <f>VLOOKUP("E2.C.03",Errichtungskosten,4,0)*0.01*VLOOKUP("E2.C.03b",Errichtungskosten,4,0)*VLOOKUP(VLOOKUP("E2.C.03b",Errichtungskosten,8,0),ÖkodatenKonstruktionen,13,0)</f>
        <v>0</v>
      </c>
      <c r="M9" s="407" t="str">
        <f>VLOOKUP(C9,Nutzungsdauern,5,0)</f>
        <v>k.A.</v>
      </c>
      <c r="N9" s="22">
        <f t="shared" ref="N9:N10" si="1">IF($M9&lt;&gt;"k.A.",(ROUNDDOWN($O$2/$M9,0)+1)*G9,0)</f>
        <v>0</v>
      </c>
      <c r="O9" s="22">
        <f t="shared" ref="O9:O10" si="2">IF($M9&lt;&gt;"k.A.",(ROUNDDOWN($O$2/$M9,0)+1)*H9,0)</f>
        <v>0</v>
      </c>
      <c r="P9" s="22">
        <f t="shared" ref="P9:P10" si="3">IF($M9&lt;&gt;"k.A.",(ROUNDDOWN($O$2/$M9,0)+1)*I9,0)</f>
        <v>0</v>
      </c>
      <c r="Q9" s="22">
        <f t="shared" ref="Q9:Q10" si="4">IF($M9&lt;&gt;"k.A.",(ROUNDDOWN($O$2/$M9,0)+1)*J9,0)</f>
        <v>0</v>
      </c>
      <c r="R9" s="22">
        <f t="shared" ref="R9:R10" si="5">IF($M9&lt;&gt;"k.A.",(ROUNDDOWN($O$2/$M9,0)+1)*K9,0)</f>
        <v>0</v>
      </c>
    </row>
    <row r="10" spans="1:18" ht="15" customHeight="1">
      <c r="A10" s="404"/>
      <c r="B10" s="405"/>
      <c r="C10" s="205" t="s">
        <v>1673</v>
      </c>
      <c r="D10" s="206" t="s">
        <v>1432</v>
      </c>
      <c r="E10" s="205"/>
      <c r="F10" s="406"/>
      <c r="G10" s="22">
        <f>VLOOKUP("E2.C.03",Errichtungskosten,4,0)*VLOOKUP(VLOOKUP("E2.C.03c",Errichtungskosten,8,0),ÖkodatenKonstruktionen,8,0)</f>
        <v>0</v>
      </c>
      <c r="H10" s="22">
        <f>VLOOKUP("E2.C.03",Errichtungskosten,4,0)*VLOOKUP(VLOOKUP("E2.C.03c",Errichtungskosten,8,0),ÖkodatenKonstruktionen,9,0)</f>
        <v>0</v>
      </c>
      <c r="I10" s="22">
        <f>VLOOKUP("E2.C.03",Errichtungskosten,4,0)*VLOOKUP(VLOOKUP("E2.C.03c",Errichtungskosten,8,0),ÖkodatenKonstruktionen,10,0)</f>
        <v>0</v>
      </c>
      <c r="J10" s="22">
        <f>VLOOKUP("E2.C.03",Errichtungskosten,4,0)*VLOOKUP(VLOOKUP("E2.C.03c",Errichtungskosten,8,0),ÖkodatenKonstruktionen,11,0)</f>
        <v>0</v>
      </c>
      <c r="K10" s="22">
        <f>VLOOKUP("E2.C.03",Errichtungskosten,4,0)*VLOOKUP(VLOOKUP("E2.C.03c",Errichtungskosten,8,0),ÖkodatenKonstruktionen,12,0)</f>
        <v>0</v>
      </c>
      <c r="L10" s="22">
        <f>VLOOKUP("E2.C.03",Errichtungskosten,4,0)*VLOOKUP(VLOOKUP("E2.C.03c",Errichtungskosten,8,0),ÖkodatenKonstruktionen,13,0)</f>
        <v>0</v>
      </c>
      <c r="M10" s="407" t="str">
        <f>VLOOKUP(C10,Nutzungsdauern,5,0)</f>
        <v>k.A.</v>
      </c>
      <c r="N10" s="22">
        <f t="shared" si="1"/>
        <v>0</v>
      </c>
      <c r="O10" s="22">
        <f t="shared" si="2"/>
        <v>0</v>
      </c>
      <c r="P10" s="22">
        <f t="shared" si="3"/>
        <v>0</v>
      </c>
      <c r="Q10" s="22">
        <f t="shared" si="4"/>
        <v>0</v>
      </c>
      <c r="R10" s="22">
        <f t="shared" si="5"/>
        <v>0</v>
      </c>
    </row>
    <row r="11" spans="1:18" ht="15" customHeight="1">
      <c r="A11" s="404"/>
      <c r="B11" s="405"/>
      <c r="C11" s="205" t="s">
        <v>1187</v>
      </c>
      <c r="D11" s="205" t="s">
        <v>1183</v>
      </c>
      <c r="E11" s="205"/>
      <c r="F11" s="406"/>
      <c r="I11" s="179"/>
      <c r="J11" s="179"/>
      <c r="K11" s="179"/>
      <c r="L11" s="179"/>
      <c r="M11" s="409"/>
    </row>
    <row r="12" spans="1:18" ht="15" customHeight="1">
      <c r="A12" s="404"/>
      <c r="B12" s="405"/>
      <c r="C12" s="205" t="s">
        <v>1674</v>
      </c>
      <c r="D12" s="206" t="s">
        <v>2052</v>
      </c>
      <c r="E12" s="205"/>
      <c r="F12" s="406"/>
      <c r="G12" s="22">
        <f>VLOOKUP("E2.C.04",Errichtungskosten,4,0)*VLOOKUP(VLOOKUP("E2.C.04a",Errichtungskosten,8,0),ÖkodatenKonstruktionen,8,0)</f>
        <v>0</v>
      </c>
      <c r="H12" s="22">
        <f>VLOOKUP("E2.C.04",Errichtungskosten,4,0)*VLOOKUP(VLOOKUP("E2.C.04a",Errichtungskosten,8,0),ÖkodatenKonstruktionen,9,0)</f>
        <v>0</v>
      </c>
      <c r="I12" s="22">
        <f>VLOOKUP("E2.C.04",Errichtungskosten,4,0)*VLOOKUP(VLOOKUP("E2.C.04a",Errichtungskosten,8,0),ÖkodatenKonstruktionen,10,0)</f>
        <v>0</v>
      </c>
      <c r="J12" s="22">
        <f>VLOOKUP("E2.C.04",Errichtungskosten,4,0)*VLOOKUP(VLOOKUP("E2.C.04a",Errichtungskosten,8,0),ÖkodatenKonstruktionen,11,0)</f>
        <v>0</v>
      </c>
      <c r="K12" s="22">
        <f>VLOOKUP("E2.C.04",Errichtungskosten,4,0)*VLOOKUP(VLOOKUP("E2.C.04a",Errichtungskosten,8,0),ÖkodatenKonstruktionen,12,0)</f>
        <v>0</v>
      </c>
      <c r="L12" s="22">
        <f>VLOOKUP("E2.C.04",Errichtungskosten,4,0)*VLOOKUP(VLOOKUP("E2.C.04a",Errichtungskosten,8,0),ÖkodatenKonstruktionen,13,0)</f>
        <v>0</v>
      </c>
      <c r="M12" s="407" t="str">
        <f>VLOOKUP(C12,Nutzungsdauern,5,0)</f>
        <v>k.A.</v>
      </c>
      <c r="N12" s="22">
        <f t="shared" ref="N12:N19" si="6">IF($M12&lt;&gt;"k.A.",(ROUNDDOWN($O$2/$M12,0)+1)*G12,0)</f>
        <v>0</v>
      </c>
      <c r="O12" s="22">
        <f t="shared" ref="O12:O19" si="7">IF($M12&lt;&gt;"k.A.",(ROUNDDOWN($O$2/$M12,0)+1)*H12,0)</f>
        <v>0</v>
      </c>
      <c r="P12" s="22">
        <f t="shared" ref="P12:P19" si="8">IF($M12&lt;&gt;"k.A.",(ROUNDDOWN($O$2/$M12,0)+1)*I12,0)</f>
        <v>0</v>
      </c>
      <c r="Q12" s="22">
        <f t="shared" ref="Q12:Q19" si="9">IF($M12&lt;&gt;"k.A.",(ROUNDDOWN($O$2/$M12,0)+1)*J12,0)</f>
        <v>0</v>
      </c>
      <c r="R12" s="22">
        <f t="shared" ref="R12:R19" si="10">IF($M12&lt;&gt;"k.A.",(ROUNDDOWN($O$2/$M12,0)+1)*K12,0)</f>
        <v>0</v>
      </c>
    </row>
    <row r="13" spans="1:18" ht="15" customHeight="1">
      <c r="A13" s="404"/>
      <c r="B13" s="405"/>
      <c r="C13" s="205" t="s">
        <v>1675</v>
      </c>
      <c r="D13" s="206" t="s">
        <v>1431</v>
      </c>
      <c r="E13" s="205"/>
      <c r="F13" s="406"/>
      <c r="G13" s="22">
        <f>VLOOKUP("E2.C.04",Errichtungskosten,4,0)*0.01*VLOOKUP("E2.C.04b",Errichtungskosten,4,0)*VLOOKUP(VLOOKUP("E2.C.04b",Errichtungskosten,8,0),ÖkodatenKonstruktionen,8,0)</f>
        <v>0</v>
      </c>
      <c r="H13" s="22">
        <f>VLOOKUP("E2.C.04",Errichtungskosten,4,0)*0.01*VLOOKUP("E2.C.04b",Errichtungskosten,4,0)*VLOOKUP(VLOOKUP("E2.C.04b",Errichtungskosten,8,0),ÖkodatenKonstruktionen,9,0)</f>
        <v>0</v>
      </c>
      <c r="I13" s="22">
        <f>VLOOKUP("E2.C.04",Errichtungskosten,4,0)*0.01*VLOOKUP("E2.C.04b",Errichtungskosten,4,0)*VLOOKUP(VLOOKUP("E2.C.04b",Errichtungskosten,8,0),ÖkodatenKonstruktionen,10,0)</f>
        <v>0</v>
      </c>
      <c r="J13" s="22">
        <f>VLOOKUP("E2.C.04",Errichtungskosten,4,0)*0.01*VLOOKUP("E2.C.04b",Errichtungskosten,4,0)*VLOOKUP(VLOOKUP("E2.C.04b",Errichtungskosten,8,0),ÖkodatenKonstruktionen,11,0)</f>
        <v>0</v>
      </c>
      <c r="K13" s="22">
        <f>VLOOKUP("E2.C.04",Errichtungskosten,4,0)*0.01*VLOOKUP("E2.C.04b",Errichtungskosten,4,0)*VLOOKUP(VLOOKUP("E2.C.04b",Errichtungskosten,8,0),ÖkodatenKonstruktionen,12,0)</f>
        <v>0</v>
      </c>
      <c r="L13" s="22">
        <f>VLOOKUP("E2.C.04",Errichtungskosten,4,0)*0.01*VLOOKUP("E2.C.04b",Errichtungskosten,4,0)*VLOOKUP(VLOOKUP("E2.C.04b",Errichtungskosten,8,0),ÖkodatenKonstruktionen,13,0)</f>
        <v>0</v>
      </c>
      <c r="M13" s="407" t="str">
        <f>VLOOKUP(C13,Nutzungsdauern,5,0)</f>
        <v>k.A.</v>
      </c>
      <c r="N13" s="22">
        <f t="shared" si="6"/>
        <v>0</v>
      </c>
      <c r="O13" s="22">
        <f t="shared" si="7"/>
        <v>0</v>
      </c>
      <c r="P13" s="22">
        <f t="shared" si="8"/>
        <v>0</v>
      </c>
      <c r="Q13" s="22">
        <f t="shared" si="9"/>
        <v>0</v>
      </c>
      <c r="R13" s="22">
        <f t="shared" si="10"/>
        <v>0</v>
      </c>
    </row>
    <row r="14" spans="1:18" ht="15" customHeight="1">
      <c r="A14" s="404"/>
      <c r="B14" s="405"/>
      <c r="C14" s="205" t="s">
        <v>1676</v>
      </c>
      <c r="D14" s="206" t="s">
        <v>1432</v>
      </c>
      <c r="E14" s="205"/>
      <c r="F14" s="406"/>
      <c r="G14" s="22">
        <f>VLOOKUP("E2.C.04",Errichtungskosten,4,0)*VLOOKUP(VLOOKUP("E2.C.04c",Errichtungskosten,8,0),ÖkodatenKonstruktionen,8,0)</f>
        <v>0</v>
      </c>
      <c r="H14" s="22">
        <f>VLOOKUP("E2.C.04",Errichtungskosten,4,0)*VLOOKUP(VLOOKUP("E2.C.04c",Errichtungskosten,8,0),ÖkodatenKonstruktionen,9,0)</f>
        <v>0</v>
      </c>
      <c r="I14" s="22">
        <f>VLOOKUP("E2.C.04",Errichtungskosten,4,0)*VLOOKUP(VLOOKUP("E2.C.04c",Errichtungskosten,8,0),ÖkodatenKonstruktionen,10,0)</f>
        <v>0</v>
      </c>
      <c r="J14" s="22">
        <f>VLOOKUP("E2.C.04",Errichtungskosten,4,0)*VLOOKUP(VLOOKUP("E2.C.04c",Errichtungskosten,8,0),ÖkodatenKonstruktionen,11,0)</f>
        <v>0</v>
      </c>
      <c r="K14" s="22">
        <f>VLOOKUP("E2.C.04",Errichtungskosten,4,0)*VLOOKUP(VLOOKUP("E2.C.04c",Errichtungskosten,8,0),ÖkodatenKonstruktionen,12,0)</f>
        <v>0</v>
      </c>
      <c r="L14" s="22">
        <f>VLOOKUP("E2.C.04",Errichtungskosten,4,0)*VLOOKUP(VLOOKUP("E2.C.04c",Errichtungskosten,8,0),ÖkodatenKonstruktionen,13,0)</f>
        <v>0</v>
      </c>
      <c r="M14" s="407" t="str">
        <f>VLOOKUP(C14,Nutzungsdauern,5,0)</f>
        <v>k.A.</v>
      </c>
      <c r="N14" s="22">
        <f t="shared" si="6"/>
        <v>0</v>
      </c>
      <c r="O14" s="22">
        <f t="shared" si="7"/>
        <v>0</v>
      </c>
      <c r="P14" s="22">
        <f t="shared" si="8"/>
        <v>0</v>
      </c>
      <c r="Q14" s="22">
        <f t="shared" si="9"/>
        <v>0</v>
      </c>
      <c r="R14" s="22">
        <f t="shared" si="10"/>
        <v>0</v>
      </c>
    </row>
    <row r="15" spans="1:18" ht="15" customHeight="1">
      <c r="A15" s="404"/>
      <c r="B15" s="405"/>
      <c r="C15" s="205" t="s">
        <v>1188</v>
      </c>
      <c r="D15" s="205" t="s">
        <v>1184</v>
      </c>
      <c r="E15" s="205"/>
      <c r="F15" s="406"/>
      <c r="G15" s="22">
        <f>VLOOKUP("E2.C.05",Errichtungskosten,4,0)*VLOOKUP(VLOOKUP("E2.C.05",Errichtungskosten,8,0),ÖkodatenKonstruktionen,8,0)</f>
        <v>0</v>
      </c>
      <c r="H15" s="22">
        <f>VLOOKUP("E2.C.05",Errichtungskosten,4,0)*VLOOKUP(VLOOKUP("E2.C.05",Errichtungskosten,8,0),ÖkodatenKonstruktionen,9,0)</f>
        <v>0</v>
      </c>
      <c r="I15" s="22">
        <f>VLOOKUP("E2.C.05",Errichtungskosten,4,0)*VLOOKUP(VLOOKUP("E2.C.05",Errichtungskosten,8,0),ÖkodatenKonstruktionen,10,0)</f>
        <v>0</v>
      </c>
      <c r="J15" s="22">
        <f>VLOOKUP("E2.C.05",Errichtungskosten,4,0)*VLOOKUP(VLOOKUP("E2.C.05",Errichtungskosten,8,0),ÖkodatenKonstruktionen,11,0)</f>
        <v>0</v>
      </c>
      <c r="K15" s="22">
        <f>VLOOKUP("E2.C.05",Errichtungskosten,4,0)*VLOOKUP(VLOOKUP("E2.C.05",Errichtungskosten,8,0),ÖkodatenKonstruktionen,12,0)</f>
        <v>0</v>
      </c>
      <c r="L15" s="22">
        <f>VLOOKUP("E2.C.05",Errichtungskosten,4,0)*VLOOKUP(VLOOKUP("E2.C.05",Errichtungskosten,8,0),ÖkodatenKonstruktionen,13,0)</f>
        <v>0</v>
      </c>
      <c r="M15" s="407" t="str">
        <f>VLOOKUP(C15,Nutzungsdauern,5,0)</f>
        <v>k.A.</v>
      </c>
      <c r="N15" s="22">
        <f t="shared" si="6"/>
        <v>0</v>
      </c>
      <c r="O15" s="22">
        <f t="shared" si="7"/>
        <v>0</v>
      </c>
      <c r="P15" s="22">
        <f t="shared" si="8"/>
        <v>0</v>
      </c>
      <c r="Q15" s="22">
        <f t="shared" si="9"/>
        <v>0</v>
      </c>
      <c r="R15" s="22">
        <f t="shared" si="10"/>
        <v>0</v>
      </c>
    </row>
    <row r="16" spans="1:18" ht="15" customHeight="1">
      <c r="A16" s="404"/>
      <c r="B16" s="405"/>
      <c r="C16" s="205" t="s">
        <v>1439</v>
      </c>
      <c r="D16" s="205" t="s">
        <v>1435</v>
      </c>
      <c r="E16" s="205"/>
      <c r="F16" s="406"/>
      <c r="I16" s="179"/>
      <c r="J16" s="179"/>
      <c r="K16" s="179"/>
      <c r="L16" s="179"/>
    </row>
    <row r="17" spans="1:18" ht="15" customHeight="1">
      <c r="A17" s="404"/>
      <c r="B17" s="405"/>
      <c r="C17" s="205" t="s">
        <v>1703</v>
      </c>
      <c r="D17" s="206" t="s">
        <v>1436</v>
      </c>
      <c r="E17" s="205"/>
      <c r="F17" s="406"/>
      <c r="G17" s="22">
        <f>VLOOKUP("E2.C.Fun.a",Errichtungskosten,4,0)*VLOOKUP("Normalbeton",ÖkodatenKonstruktionen,8,0)</f>
        <v>0</v>
      </c>
      <c r="H17" s="22">
        <f>VLOOKUP("E2.C.Fun.a",Errichtungskosten,4,0)*VLOOKUP("Normalbeton",ÖkodatenKonstruktionen,9,0)</f>
        <v>0</v>
      </c>
      <c r="I17" s="22">
        <f>VLOOKUP("E2.C.Fun.a",Errichtungskosten,4,0)*VLOOKUP("Normalbeton",ÖkodatenKonstruktionen,10,0)</f>
        <v>0</v>
      </c>
      <c r="J17" s="22">
        <f>VLOOKUP("E2.C.Fun.a",Errichtungskosten,4,0)*VLOOKUP("Normalbeton",ÖkodatenKonstruktionen,11,0)</f>
        <v>0</v>
      </c>
      <c r="K17" s="22">
        <f>VLOOKUP("E2.C.Fun.a",Errichtungskosten,4,0)*VLOOKUP("Normalbeton",ÖkodatenKonstruktionen,12,0)</f>
        <v>0</v>
      </c>
      <c r="L17" s="22">
        <f>VLOOKUP("E2.C.Fun.a",Errichtungskosten,4,0)*VLOOKUP("Normalbeton",ÖkodatenKonstruktionen,13,0)</f>
        <v>0</v>
      </c>
      <c r="M17" s="407">
        <f>VLOOKUP(C17,Nutzungsdauern,5,0)</f>
        <v>100</v>
      </c>
      <c r="N17" s="22">
        <f t="shared" si="6"/>
        <v>0</v>
      </c>
      <c r="O17" s="22">
        <f t="shared" si="7"/>
        <v>0</v>
      </c>
      <c r="P17" s="22">
        <f t="shared" si="8"/>
        <v>0</v>
      </c>
      <c r="Q17" s="22">
        <f t="shared" si="9"/>
        <v>0</v>
      </c>
      <c r="R17" s="22">
        <f t="shared" si="10"/>
        <v>0</v>
      </c>
    </row>
    <row r="18" spans="1:18" ht="15" customHeight="1">
      <c r="A18" s="404"/>
      <c r="B18" s="405"/>
      <c r="C18" s="205" t="s">
        <v>1704</v>
      </c>
      <c r="D18" s="206" t="s">
        <v>1437</v>
      </c>
      <c r="E18" s="205"/>
      <c r="F18" s="406"/>
      <c r="G18" s="22">
        <f>VLOOKUP("E2.C.Fun.b",Errichtungskosten,4,0)*VLOOKUP("Armierungsstahl",ÖkodatenKonstruktionen,8,0)</f>
        <v>0</v>
      </c>
      <c r="H18" s="22">
        <f>VLOOKUP("E2.C.Fun.b",Errichtungskosten,4,0)*VLOOKUP("Armierungsstahl",ÖkodatenKonstruktionen,9,0)</f>
        <v>0</v>
      </c>
      <c r="I18" s="22">
        <f>VLOOKUP("E2.C.Fun.b",Errichtungskosten,4,0)*VLOOKUP("Armierungsstahl",ÖkodatenKonstruktionen,10,0)</f>
        <v>0</v>
      </c>
      <c r="J18" s="22">
        <f>VLOOKUP("E2.C.Fun.b",Errichtungskosten,4,0)*VLOOKUP("Armierungsstahl",ÖkodatenKonstruktionen,11,0)</f>
        <v>0</v>
      </c>
      <c r="K18" s="22">
        <f>VLOOKUP("E2.C.Fun.b",Errichtungskosten,4,0)*VLOOKUP("Armierungsstahl",ÖkodatenKonstruktionen,12,0)</f>
        <v>0</v>
      </c>
      <c r="L18" s="22">
        <f>VLOOKUP("E2.C.Fun.b",Errichtungskosten,4,0)*VLOOKUP("Armierungsstahl",ÖkodatenKonstruktionen,13,0)</f>
        <v>0</v>
      </c>
      <c r="M18" s="407">
        <f>VLOOKUP(C18,Nutzungsdauern,5,0)</f>
        <v>100</v>
      </c>
      <c r="N18" s="22">
        <f t="shared" si="6"/>
        <v>0</v>
      </c>
      <c r="O18" s="22">
        <f t="shared" si="7"/>
        <v>0</v>
      </c>
      <c r="P18" s="22">
        <f t="shared" si="8"/>
        <v>0</v>
      </c>
      <c r="Q18" s="22">
        <f t="shared" si="9"/>
        <v>0</v>
      </c>
      <c r="R18" s="22">
        <f t="shared" si="10"/>
        <v>0</v>
      </c>
    </row>
    <row r="19" spans="1:18" ht="15" customHeight="1">
      <c r="A19" s="404"/>
      <c r="B19" s="405"/>
      <c r="C19" s="205" t="s">
        <v>1705</v>
      </c>
      <c r="D19" s="206" t="s">
        <v>1438</v>
      </c>
      <c r="E19" s="205"/>
      <c r="F19" s="406"/>
      <c r="G19" s="22">
        <f>VLOOKUP("E2.C.Fun.c",Errichtungskosten,4,0)*VLOOKUP("Kies",ÖkodatenKonstruktionen,8,0)</f>
        <v>0</v>
      </c>
      <c r="H19" s="22">
        <f>VLOOKUP("E2.C.Fun.c",Errichtungskosten,4,0)*VLOOKUP("Kies",ÖkodatenKonstruktionen,9,0)</f>
        <v>0</v>
      </c>
      <c r="I19" s="22">
        <f>VLOOKUP("E2.C.Fun.c",Errichtungskosten,4,0)*VLOOKUP("Kies",ÖkodatenKonstruktionen,10,0)</f>
        <v>0</v>
      </c>
      <c r="J19" s="22">
        <f>VLOOKUP("E2.C.Fun.c",Errichtungskosten,4,0)*VLOOKUP("Kies",ÖkodatenKonstruktionen,11,0)</f>
        <v>0</v>
      </c>
      <c r="K19" s="22">
        <f>VLOOKUP("E2.C.Fun.c",Errichtungskosten,4,0)*VLOOKUP("Kies",ÖkodatenKonstruktionen,12,0)</f>
        <v>0</v>
      </c>
      <c r="L19" s="22">
        <f>VLOOKUP("E2.C.Fun.c",Errichtungskosten,4,0)*VLOOKUP("Kies",ÖkodatenKonstruktionen,13,0)</f>
        <v>0</v>
      </c>
      <c r="M19" s="407">
        <f>VLOOKUP(C19,Nutzungsdauern,5,0)</f>
        <v>100</v>
      </c>
      <c r="N19" s="22">
        <f t="shared" si="6"/>
        <v>0</v>
      </c>
      <c r="O19" s="22">
        <f t="shared" si="7"/>
        <v>0</v>
      </c>
      <c r="P19" s="22">
        <f t="shared" si="8"/>
        <v>0</v>
      </c>
      <c r="Q19" s="22">
        <f t="shared" si="9"/>
        <v>0</v>
      </c>
      <c r="R19" s="22">
        <f t="shared" si="10"/>
        <v>0</v>
      </c>
    </row>
    <row r="20" spans="1:18" ht="15" customHeight="1">
      <c r="A20" s="7">
        <v>1800</v>
      </c>
      <c r="B20" s="10" t="s">
        <v>743</v>
      </c>
      <c r="C20" s="8" t="s">
        <v>325</v>
      </c>
      <c r="D20" s="8" t="s">
        <v>324</v>
      </c>
      <c r="E20" s="6"/>
      <c r="F20" s="16"/>
      <c r="G20" s="13"/>
      <c r="H20" s="13"/>
      <c r="I20" s="13"/>
      <c r="J20" s="13"/>
      <c r="K20" s="13"/>
      <c r="L20" s="13"/>
      <c r="M20" s="13"/>
      <c r="N20" s="13"/>
      <c r="O20" s="13"/>
      <c r="P20" s="13"/>
      <c r="Q20" s="13"/>
      <c r="R20" s="13"/>
    </row>
    <row r="21" spans="1:18" ht="15" customHeight="1">
      <c r="A21" s="404">
        <v>1900</v>
      </c>
      <c r="B21" s="405" t="s">
        <v>728</v>
      </c>
      <c r="C21" s="205" t="s">
        <v>323</v>
      </c>
      <c r="D21" s="205" t="s">
        <v>322</v>
      </c>
      <c r="E21" s="205"/>
      <c r="F21" s="406"/>
      <c r="I21" s="179"/>
      <c r="J21" s="179"/>
      <c r="K21" s="179"/>
      <c r="L21" s="179"/>
    </row>
    <row r="22" spans="1:18" ht="15" customHeight="1">
      <c r="A22" s="404"/>
      <c r="B22" s="405"/>
      <c r="C22" s="205" t="s">
        <v>1708</v>
      </c>
      <c r="D22" s="206" t="s">
        <v>1441</v>
      </c>
      <c r="E22" s="205"/>
      <c r="F22" s="406"/>
      <c r="G22" s="22">
        <f>VLOOKUP("E2.D.01.K",Errichtungskosten,4,0)*VLOOKUP(VLOOKUP("E2.D.01.K",Errichtungskosten,8,0),ÖkodatenKonstruktionen,8,0)</f>
        <v>0</v>
      </c>
      <c r="H22" s="22">
        <f>VLOOKUP("E2.D.01.K",Errichtungskosten,4,0)*VLOOKUP(VLOOKUP("E2.D.01.K",Errichtungskosten,8,0),ÖkodatenKonstruktionen,9,0)</f>
        <v>0</v>
      </c>
      <c r="I22" s="22">
        <f>VLOOKUP("E2.D.01.K",Errichtungskosten,4,0)*VLOOKUP(VLOOKUP("E2.D.01.K",Errichtungskosten,8,0),ÖkodatenKonstruktionen,10,0)</f>
        <v>0</v>
      </c>
      <c r="J22" s="22">
        <f>VLOOKUP("E2.D.01.K",Errichtungskosten,4,0)*VLOOKUP(VLOOKUP("E2.D.01.K",Errichtungskosten,8,0),ÖkodatenKonstruktionen,11,0)</f>
        <v>0</v>
      </c>
      <c r="K22" s="22">
        <f>VLOOKUP("E2.D.01.K",Errichtungskosten,4,0)*VLOOKUP(VLOOKUP("E2.D.01.K",Errichtungskosten,8,0),ÖkodatenKonstruktionen,12,0)</f>
        <v>0</v>
      </c>
      <c r="L22" s="22">
        <f>VLOOKUP("E2.D.01.K",Errichtungskosten,4,0)*VLOOKUP(VLOOKUP("E2.D.01.K",Errichtungskosten,8,0),ÖkodatenKonstruktionen,13,0)</f>
        <v>0</v>
      </c>
      <c r="M22" s="410" t="str">
        <f t="shared" ref="M22:M30" si="11">VLOOKUP(C22,Nutzungsdauern,5,0)</f>
        <v>k.A.</v>
      </c>
      <c r="N22" s="22">
        <f t="shared" ref="N22" si="12">IF($M22&lt;&gt;"k.A.",(ROUNDDOWN($O$2/$M22,0)+1)*G22,0)</f>
        <v>0</v>
      </c>
      <c r="O22" s="22">
        <f t="shared" ref="O22" si="13">IF($M22&lt;&gt;"k.A.",(ROUNDDOWN($O$2/$M22,0)+1)*H22,0)</f>
        <v>0</v>
      </c>
      <c r="P22" s="22">
        <f t="shared" ref="P22" si="14">IF($M22&lt;&gt;"k.A.",(ROUNDDOWN($O$2/$M22,0)+1)*I22,0)</f>
        <v>0</v>
      </c>
      <c r="Q22" s="22">
        <f t="shared" ref="Q22" si="15">IF($M22&lt;&gt;"k.A.",(ROUNDDOWN($O$2/$M22,0)+1)*J22,0)</f>
        <v>0</v>
      </c>
      <c r="R22" s="22">
        <f t="shared" ref="R22" si="16">IF($M22&lt;&gt;"k.A.",(ROUNDDOWN($O$2/$M22,0)+1)*K22,0)</f>
        <v>0</v>
      </c>
    </row>
    <row r="23" spans="1:18" ht="15" customHeight="1">
      <c r="A23" s="404"/>
      <c r="B23" s="405"/>
      <c r="C23" s="205" t="s">
        <v>1707</v>
      </c>
      <c r="D23" s="411" t="s">
        <v>1442</v>
      </c>
      <c r="E23" s="205"/>
      <c r="F23" s="406"/>
      <c r="G23" s="22">
        <f>VLOOKUP("E2.D.01.Kb",Errichtungskosten,4,0)*0.01*VLOOKUP("E2.D.01.Ka",Errichtungskosten,4,0)*VLOOKUP(VLOOKUP("E2.D.01.Ka",Errichtungskosten,8,0),ÖkodatenKonstruktionen,8,0)</f>
        <v>0</v>
      </c>
      <c r="H23" s="22">
        <f>VLOOKUP("E2.D.01.Kb",Errichtungskosten,4,0)*0.01*VLOOKUP("E2.D.01.Ka",Errichtungskosten,4,0)*VLOOKUP(VLOOKUP("E2.D.01.Ka",Errichtungskosten,8,0),ÖkodatenKonstruktionen,9,0)</f>
        <v>0</v>
      </c>
      <c r="I23" s="22">
        <f>VLOOKUP("E2.D.01.Kb",Errichtungskosten,4,0)*0.01*VLOOKUP("E2.D.01.Ka",Errichtungskosten,4,0)*VLOOKUP(VLOOKUP("E2.D.01.Ka",Errichtungskosten,8,0),ÖkodatenKonstruktionen,10,0)</f>
        <v>0</v>
      </c>
      <c r="J23" s="22">
        <f>VLOOKUP("E2.D.01.Kb",Errichtungskosten,4,0)*0.01*VLOOKUP("E2.D.01.Ka",Errichtungskosten,4,0)*VLOOKUP(VLOOKUP("E2.D.01.Ka",Errichtungskosten,8,0),ÖkodatenKonstruktionen,11,0)</f>
        <v>0</v>
      </c>
      <c r="K23" s="22">
        <f>VLOOKUP("E2.D.01.Kb",Errichtungskosten,4,0)*0.01*VLOOKUP("E2.D.01.Ka",Errichtungskosten,4,0)*VLOOKUP(VLOOKUP("E2.D.01.Ka",Errichtungskosten,8,0),ÖkodatenKonstruktionen,12,0)</f>
        <v>0</v>
      </c>
      <c r="L23" s="22">
        <f>VLOOKUP("E2.D.01.Kb",Errichtungskosten,4,0)*0.01*VLOOKUP("E2.D.01.Ka",Errichtungskosten,4,0)*VLOOKUP(VLOOKUP("E2.D.01.Ka",Errichtungskosten,8,0),ÖkodatenKonstruktionen,13,0)</f>
        <v>0</v>
      </c>
      <c r="M23" s="410" t="str">
        <f t="shared" si="11"/>
        <v>k.A.</v>
      </c>
      <c r="N23" s="22">
        <f t="shared" ref="N23:N26" si="17">IF($M23&lt;&gt;"k.A.",(ROUNDDOWN($O$2/$M23,0)+1)*G23,0)</f>
        <v>0</v>
      </c>
      <c r="O23" s="22">
        <f t="shared" ref="O23:O26" si="18">IF($M23&lt;&gt;"k.A.",(ROUNDDOWN($O$2/$M23,0)+1)*H23,0)</f>
        <v>0</v>
      </c>
      <c r="P23" s="22">
        <f t="shared" ref="P23:P26" si="19">IF($M23&lt;&gt;"k.A.",(ROUNDDOWN($O$2/$M23,0)+1)*I23,0)</f>
        <v>0</v>
      </c>
      <c r="Q23" s="22">
        <f t="shared" ref="Q23:Q26" si="20">IF($M23&lt;&gt;"k.A.",(ROUNDDOWN($O$2/$M23,0)+1)*J23,0)</f>
        <v>0</v>
      </c>
      <c r="R23" s="22">
        <f t="shared" ref="R23:R26" si="21">IF($M23&lt;&gt;"k.A.",(ROUNDDOWN($O$2/$M23,0)+1)*K23,0)</f>
        <v>0</v>
      </c>
    </row>
    <row r="24" spans="1:18" ht="15" customHeight="1">
      <c r="A24" s="404"/>
      <c r="B24" s="405"/>
      <c r="C24" s="205" t="s">
        <v>1710</v>
      </c>
      <c r="D24" s="411" t="s">
        <v>1443</v>
      </c>
      <c r="G24" s="22">
        <f>VLOOKUP("E2.D.01.Kc",Errichtungskosten,4,0)*VLOOKUP(VLOOKUP("E2.D.01.Kc",Errichtungskosten,8,0),ÖkodatenKonstruktionen,8,0)</f>
        <v>0</v>
      </c>
      <c r="H24" s="22">
        <f>VLOOKUP("E2.D.01.Kc",Errichtungskosten,4,0)*VLOOKUP(VLOOKUP("E2.D.01.Kc",Errichtungskosten,8,0),ÖkodatenKonstruktionen,9,0)</f>
        <v>0</v>
      </c>
      <c r="I24" s="22">
        <f>VLOOKUP("E2.D.01.Kc",Errichtungskosten,4,0)*VLOOKUP(VLOOKUP("E2.D.01.Kc",Errichtungskosten,8,0),ÖkodatenKonstruktionen,10,0)</f>
        <v>0</v>
      </c>
      <c r="J24" s="22">
        <f>VLOOKUP("E2.D.01.Kc",Errichtungskosten,4,0)*VLOOKUP(VLOOKUP("E2.D.01.Kc",Errichtungskosten,8,0),ÖkodatenKonstruktionen,11,0)</f>
        <v>0</v>
      </c>
      <c r="K24" s="22">
        <f>VLOOKUP("E2.D.01.Kc",Errichtungskosten,4,0)*VLOOKUP(VLOOKUP("E2.D.01.Kc",Errichtungskosten,8,0),ÖkodatenKonstruktionen,12,0)</f>
        <v>0</v>
      </c>
      <c r="L24" s="22">
        <f>VLOOKUP("E2.D.01.Kc",Errichtungskosten,4,0)*VLOOKUP(VLOOKUP("E2.D.01.Kc",Errichtungskosten,8,0),ÖkodatenKonstruktionen,13,0)</f>
        <v>0</v>
      </c>
      <c r="M24" s="410" t="str">
        <f t="shared" si="11"/>
        <v>k.A.</v>
      </c>
      <c r="N24" s="22">
        <f t="shared" si="17"/>
        <v>0</v>
      </c>
      <c r="O24" s="22">
        <f t="shared" si="18"/>
        <v>0</v>
      </c>
      <c r="P24" s="22">
        <f t="shared" si="19"/>
        <v>0</v>
      </c>
      <c r="Q24" s="22">
        <f t="shared" si="20"/>
        <v>0</v>
      </c>
      <c r="R24" s="22">
        <f t="shared" si="21"/>
        <v>0</v>
      </c>
    </row>
    <row r="25" spans="1:18" ht="15" customHeight="1">
      <c r="A25" s="404"/>
      <c r="B25" s="405"/>
      <c r="C25" s="205" t="s">
        <v>1711</v>
      </c>
      <c r="D25" s="206" t="s">
        <v>1444</v>
      </c>
      <c r="E25" s="205"/>
      <c r="F25" s="406"/>
      <c r="G25" s="22">
        <f>VLOOKUP("E2.D.01.G",Errichtungskosten,4,0)*VLOOKUP(VLOOKUP("E2.D.01.G",Errichtungskosten,8,0),ÖkodatenKonstruktionen,8,0)</f>
        <v>0</v>
      </c>
      <c r="H25" s="22">
        <f>VLOOKUP("E2.D.01.G",Errichtungskosten,4,0)*VLOOKUP(VLOOKUP("E2.D.01.G",Errichtungskosten,8,0),ÖkodatenKonstruktionen,9,0)</f>
        <v>0</v>
      </c>
      <c r="I25" s="22">
        <f>VLOOKUP("E2.D.01.G",Errichtungskosten,4,0)*VLOOKUP(VLOOKUP("E2.D.01.G",Errichtungskosten,8,0),ÖkodatenKonstruktionen,10,0)</f>
        <v>0</v>
      </c>
      <c r="J25" s="22">
        <f>VLOOKUP("E2.D.01.G",Errichtungskosten,4,0)*VLOOKUP(VLOOKUP("E2.D.01.G",Errichtungskosten,8,0),ÖkodatenKonstruktionen,11,0)</f>
        <v>0</v>
      </c>
      <c r="K25" s="22">
        <f>VLOOKUP("E2.D.01.G",Errichtungskosten,4,0)*VLOOKUP(VLOOKUP("E2.D.01.G",Errichtungskosten,8,0),ÖkodatenKonstruktionen,12,0)</f>
        <v>0</v>
      </c>
      <c r="L25" s="22">
        <f>VLOOKUP("E2.D.01.G",Errichtungskosten,4,0)*VLOOKUP(VLOOKUP("E2.D.01.G",Errichtungskosten,8,0),ÖkodatenKonstruktionen,13,0)</f>
        <v>0</v>
      </c>
      <c r="M25" s="410" t="str">
        <f t="shared" si="11"/>
        <v>k.A.</v>
      </c>
      <c r="N25" s="22">
        <f t="shared" si="17"/>
        <v>0</v>
      </c>
      <c r="O25" s="22">
        <f t="shared" si="18"/>
        <v>0</v>
      </c>
      <c r="P25" s="22">
        <f t="shared" si="19"/>
        <v>0</v>
      </c>
      <c r="Q25" s="22">
        <f t="shared" si="20"/>
        <v>0</v>
      </c>
      <c r="R25" s="22">
        <f t="shared" si="21"/>
        <v>0</v>
      </c>
    </row>
    <row r="26" spans="1:18" ht="15" customHeight="1">
      <c r="A26" s="404"/>
      <c r="B26" s="405"/>
      <c r="C26" s="205" t="s">
        <v>1712</v>
      </c>
      <c r="D26" s="411" t="s">
        <v>1445</v>
      </c>
      <c r="E26" s="205"/>
      <c r="F26" s="406"/>
      <c r="G26" s="22">
        <f>VLOOKUP("E2.D.01.Ga",Errichtungskosten,4,0)*VLOOKUP(VLOOKUP("E2.D.01.Ga",Errichtungskosten,8,0),ÖkodatenKonstruktionen,8,0)</f>
        <v>0</v>
      </c>
      <c r="H26" s="22">
        <f>VLOOKUP("E2.D.01.Ga",Errichtungskosten,4,0)*VLOOKUP(VLOOKUP("E2.D.01.Ga",Errichtungskosten,8,0),ÖkodatenKonstruktionen,9,0)</f>
        <v>0</v>
      </c>
      <c r="I26" s="22">
        <f>VLOOKUP("E2.D.01.Ga",Errichtungskosten,4,0)*VLOOKUP(VLOOKUP("E2.D.01.Ga",Errichtungskosten,8,0),ÖkodatenKonstruktionen,10,0)</f>
        <v>0</v>
      </c>
      <c r="J26" s="22">
        <f>VLOOKUP("E2.D.01.Ga",Errichtungskosten,4,0)*VLOOKUP(VLOOKUP("E2.D.01.Ga",Errichtungskosten,8,0),ÖkodatenKonstruktionen,11,0)</f>
        <v>0</v>
      </c>
      <c r="K26" s="22">
        <f>VLOOKUP("E2.D.01.Ga",Errichtungskosten,4,0)*VLOOKUP(VLOOKUP("E2.D.01.Ga",Errichtungskosten,8,0),ÖkodatenKonstruktionen,12,0)</f>
        <v>0</v>
      </c>
      <c r="L26" s="22">
        <f>VLOOKUP("E2.D.01.Ga",Errichtungskosten,4,0)*VLOOKUP(VLOOKUP("E2.D.01.Ga",Errichtungskosten,8,0),ÖkodatenKonstruktionen,13,0)</f>
        <v>0</v>
      </c>
      <c r="M26" s="410" t="str">
        <f t="shared" si="11"/>
        <v>k.A.</v>
      </c>
      <c r="N26" s="22">
        <f t="shared" si="17"/>
        <v>0</v>
      </c>
      <c r="O26" s="22">
        <f t="shared" si="18"/>
        <v>0</v>
      </c>
      <c r="P26" s="22">
        <f t="shared" si="19"/>
        <v>0</v>
      </c>
      <c r="Q26" s="22">
        <f t="shared" si="20"/>
        <v>0</v>
      </c>
      <c r="R26" s="22">
        <f t="shared" si="21"/>
        <v>0</v>
      </c>
    </row>
    <row r="27" spans="1:18" ht="15" customHeight="1">
      <c r="A27" s="404"/>
      <c r="B27" s="405"/>
      <c r="C27" s="205" t="s">
        <v>1713</v>
      </c>
      <c r="D27" s="206" t="s">
        <v>1446</v>
      </c>
      <c r="E27" s="205"/>
      <c r="F27" s="406"/>
      <c r="G27" s="22">
        <f>VLOOKUP("E2.D.01.A",Errichtungskosten,4,0)*VLOOKUP(VLOOKUP("E2.D.01.A",Errichtungskosten,8,0),ÖkodatenKonstruktionen,8,0)</f>
        <v>0</v>
      </c>
      <c r="H27" s="22">
        <f>VLOOKUP("E2.D.01.A",Errichtungskosten,4,0)*VLOOKUP(VLOOKUP("E2.D.01.A",Errichtungskosten,8,0),ÖkodatenKonstruktionen,9,0)</f>
        <v>0</v>
      </c>
      <c r="I27" s="22">
        <f>VLOOKUP("E2.D.01.A",Errichtungskosten,4,0)*VLOOKUP(VLOOKUP("E2.D.01.A",Errichtungskosten,8,0),ÖkodatenKonstruktionen,10,0)</f>
        <v>0</v>
      </c>
      <c r="J27" s="22">
        <f>VLOOKUP("E2.D.01.A",Errichtungskosten,4,0)*VLOOKUP(VLOOKUP("E2.D.01.A",Errichtungskosten,8,0),ÖkodatenKonstruktionen,11,0)</f>
        <v>0</v>
      </c>
      <c r="K27" s="22">
        <f>VLOOKUP("E2.D.01.A",Errichtungskosten,4,0)*VLOOKUP(VLOOKUP("E2.D.01.A",Errichtungskosten,8,0),ÖkodatenKonstruktionen,12,0)</f>
        <v>0</v>
      </c>
      <c r="L27" s="22">
        <f>VLOOKUP("E2.D.01.A",Errichtungskosten,4,0)*VLOOKUP(VLOOKUP("E2.D.01.A",Errichtungskosten,8,0),ÖkodatenKonstruktionen,13,0)</f>
        <v>0</v>
      </c>
      <c r="M27" s="410" t="str">
        <f t="shared" si="11"/>
        <v>k.A.</v>
      </c>
      <c r="N27" s="22">
        <f t="shared" ref="N27:N30" si="22">IF($M27&lt;&gt;"k.A.",(ROUNDDOWN($O$2/$M27,0)+1)*G27,0)</f>
        <v>0</v>
      </c>
      <c r="O27" s="22">
        <f t="shared" ref="O27:O30" si="23">IF($M27&lt;&gt;"k.A.",(ROUNDDOWN($O$2/$M27,0)+1)*H27,0)</f>
        <v>0</v>
      </c>
      <c r="P27" s="22">
        <f t="shared" ref="P27:P30" si="24">IF($M27&lt;&gt;"k.A.",(ROUNDDOWN($O$2/$M27,0)+1)*I27,0)</f>
        <v>0</v>
      </c>
      <c r="Q27" s="22">
        <f t="shared" ref="Q27:Q30" si="25">IF($M27&lt;&gt;"k.A.",(ROUNDDOWN($O$2/$M27,0)+1)*J27,0)</f>
        <v>0</v>
      </c>
      <c r="R27" s="22">
        <f t="shared" ref="R27:R30" si="26">IF($M27&lt;&gt;"k.A.",(ROUNDDOWN($O$2/$M27,0)+1)*K27,0)</f>
        <v>0</v>
      </c>
    </row>
    <row r="28" spans="1:18" ht="15" customHeight="1">
      <c r="A28" s="404"/>
      <c r="B28" s="405"/>
      <c r="C28" s="205" t="s">
        <v>1714</v>
      </c>
      <c r="D28" s="411" t="s">
        <v>1447</v>
      </c>
      <c r="E28" s="205"/>
      <c r="F28" s="406"/>
      <c r="G28" s="22">
        <f>VLOOKUP("E2.D.01.Ab",Errichtungskosten,4,0)*0.01*VLOOKUP("E2.D.01.Aa",Errichtungskosten,4,0)*VLOOKUP(VLOOKUP("E2.D.01.Aa",Errichtungskosten,8,0),ÖkodatenKonstruktionen,8,0)</f>
        <v>0</v>
      </c>
      <c r="H28" s="22">
        <f>VLOOKUP("E2.D.01.Ab",Errichtungskosten,4,0)*0.01*VLOOKUP("E2.D.01.Aa",Errichtungskosten,4,0)*VLOOKUP(VLOOKUP("E2.D.01.Aa",Errichtungskosten,8,0),ÖkodatenKonstruktionen,9,0)</f>
        <v>0</v>
      </c>
      <c r="I28" s="22">
        <f>VLOOKUP("E2.D.01.Ab",Errichtungskosten,4,0)*0.01*VLOOKUP("E2.D.01.Aa",Errichtungskosten,4,0)*VLOOKUP(VLOOKUP("E2.D.01.Aa",Errichtungskosten,8,0),ÖkodatenKonstruktionen,10,0)</f>
        <v>0</v>
      </c>
      <c r="J28" s="22">
        <f>VLOOKUP("E2.D.01.Ab",Errichtungskosten,4,0)*0.01*VLOOKUP("E2.D.01.Aa",Errichtungskosten,4,0)*VLOOKUP(VLOOKUP("E2.D.01.Aa",Errichtungskosten,8,0),ÖkodatenKonstruktionen,11,0)</f>
        <v>0</v>
      </c>
      <c r="K28" s="22">
        <f>VLOOKUP("E2.D.01.Ab",Errichtungskosten,4,0)*0.01*VLOOKUP("E2.D.01.Aa",Errichtungskosten,4,0)*VLOOKUP(VLOOKUP("E2.D.01.Aa",Errichtungskosten,8,0),ÖkodatenKonstruktionen,12,0)</f>
        <v>0</v>
      </c>
      <c r="L28" s="22">
        <f>VLOOKUP("E2.D.01.Ab",Errichtungskosten,4,0)*0.01*VLOOKUP("E2.D.01.Aa",Errichtungskosten,4,0)*VLOOKUP(VLOOKUP("E2.D.01.Aa",Errichtungskosten,8,0),ÖkodatenKonstruktionen,13,0)</f>
        <v>0</v>
      </c>
      <c r="M28" s="410" t="str">
        <f t="shared" si="11"/>
        <v>k.A.</v>
      </c>
      <c r="N28" s="22">
        <f t="shared" si="22"/>
        <v>0</v>
      </c>
      <c r="O28" s="22">
        <f t="shared" si="23"/>
        <v>0</v>
      </c>
      <c r="P28" s="22">
        <f t="shared" si="24"/>
        <v>0</v>
      </c>
      <c r="Q28" s="22">
        <f t="shared" si="25"/>
        <v>0</v>
      </c>
      <c r="R28" s="22">
        <f t="shared" si="26"/>
        <v>0</v>
      </c>
    </row>
    <row r="29" spans="1:18" ht="15" customHeight="1">
      <c r="A29" s="404"/>
      <c r="B29" s="405"/>
      <c r="C29" s="205" t="s">
        <v>1716</v>
      </c>
      <c r="D29" s="411" t="s">
        <v>1448</v>
      </c>
      <c r="E29" s="205"/>
      <c r="F29" s="406"/>
      <c r="G29" s="22">
        <f>VLOOKUP("E2.D.01.Ac",Errichtungskosten,4,0)*VLOOKUP(VLOOKUP("E2.D.01.Ac",Errichtungskosten,8,0),ÖkodatenKonstruktionen,8,0)</f>
        <v>0</v>
      </c>
      <c r="H29" s="22">
        <f>VLOOKUP("E2.D.01.Ac",Errichtungskosten,4,0)*VLOOKUP(VLOOKUP("E2.D.01.Ac",Errichtungskosten,8,0),ÖkodatenKonstruktionen,9,0)</f>
        <v>0</v>
      </c>
      <c r="I29" s="22">
        <f>VLOOKUP("E2.D.01.Ac",Errichtungskosten,4,0)*VLOOKUP(VLOOKUP("E2.D.01.Ac",Errichtungskosten,8,0),ÖkodatenKonstruktionen,10,0)</f>
        <v>0</v>
      </c>
      <c r="J29" s="22">
        <f>VLOOKUP("E2.D.01.Ac",Errichtungskosten,4,0)*VLOOKUP(VLOOKUP("E2.D.01.Ac",Errichtungskosten,8,0),ÖkodatenKonstruktionen,11,0)</f>
        <v>0</v>
      </c>
      <c r="K29" s="22">
        <f>VLOOKUP("E2.D.01.Ac",Errichtungskosten,4,0)*VLOOKUP(VLOOKUP("E2.D.01.Ac",Errichtungskosten,8,0),ÖkodatenKonstruktionen,12,0)</f>
        <v>0</v>
      </c>
      <c r="L29" s="22">
        <f>VLOOKUP("E2.D.01.Ac",Errichtungskosten,4,0)*VLOOKUP(VLOOKUP("E2.D.01.Ac",Errichtungskosten,8,0),ÖkodatenKonstruktionen,13,0)</f>
        <v>0</v>
      </c>
      <c r="M29" s="410" t="str">
        <f t="shared" si="11"/>
        <v>k.A.</v>
      </c>
      <c r="N29" s="22">
        <f t="shared" si="22"/>
        <v>0</v>
      </c>
      <c r="O29" s="22">
        <f t="shared" si="23"/>
        <v>0</v>
      </c>
      <c r="P29" s="22">
        <f t="shared" si="24"/>
        <v>0</v>
      </c>
      <c r="Q29" s="22">
        <f t="shared" si="25"/>
        <v>0</v>
      </c>
      <c r="R29" s="22">
        <f t="shared" si="26"/>
        <v>0</v>
      </c>
    </row>
    <row r="30" spans="1:18" ht="15" customHeight="1">
      <c r="A30" s="404">
        <v>2000</v>
      </c>
      <c r="B30" s="405" t="s">
        <v>728</v>
      </c>
      <c r="C30" s="205" t="s">
        <v>320</v>
      </c>
      <c r="D30" s="205" t="s">
        <v>319</v>
      </c>
      <c r="E30" s="205"/>
      <c r="F30" s="406"/>
      <c r="G30" s="403">
        <f>VLOOKUP("E2.D.02",Errichtungskosten,4,0)*VLOOKUP(VLOOKUP("E2.D.02",Errichtungskosten,8,0),ÖkodatenKonstruktionen,8,0)</f>
        <v>0</v>
      </c>
      <c r="H30" s="403">
        <f>VLOOKUP("E2.D.02",Errichtungskosten,4,0)*VLOOKUP(VLOOKUP("E2.D.02",Errichtungskosten,8,0),ÖkodatenKonstruktionen,9,0)</f>
        <v>0</v>
      </c>
      <c r="I30" s="403">
        <f>VLOOKUP("E2.D.02",Errichtungskosten,4,0)*VLOOKUP(VLOOKUP("E2.D.02",Errichtungskosten,8,0),ÖkodatenKonstruktionen,10,0)</f>
        <v>0</v>
      </c>
      <c r="J30" s="403">
        <f>VLOOKUP("E2.D.02",Errichtungskosten,4,0)*VLOOKUP(VLOOKUP("E2.D.02",Errichtungskosten,8,0),ÖkodatenKonstruktionen,11,0)</f>
        <v>0</v>
      </c>
      <c r="K30" s="403">
        <f>VLOOKUP("E2.D.02",Errichtungskosten,4,0)*VLOOKUP(VLOOKUP("E2.D.02",Errichtungskosten,8,0),ÖkodatenKonstruktionen,12,0)</f>
        <v>0</v>
      </c>
      <c r="L30" s="403">
        <f>VLOOKUP("E2.D.02",Errichtungskosten,4,0)*VLOOKUP(VLOOKUP("E2.D.02",Errichtungskosten,8,0),ÖkodatenKonstruktionen,13,0)</f>
        <v>0</v>
      </c>
      <c r="M30" s="410" t="str">
        <f t="shared" si="11"/>
        <v>k.A.</v>
      </c>
      <c r="N30" s="22">
        <f t="shared" si="22"/>
        <v>0</v>
      </c>
      <c r="O30" s="22">
        <f t="shared" si="23"/>
        <v>0</v>
      </c>
      <c r="P30" s="22">
        <f t="shared" si="24"/>
        <v>0</v>
      </c>
      <c r="Q30" s="22">
        <f t="shared" si="25"/>
        <v>0</v>
      </c>
      <c r="R30" s="22">
        <f t="shared" si="26"/>
        <v>0</v>
      </c>
    </row>
    <row r="31" spans="1:18" ht="15" customHeight="1">
      <c r="A31" s="7">
        <v>2100</v>
      </c>
      <c r="B31" s="10" t="s">
        <v>743</v>
      </c>
      <c r="C31" s="8" t="s">
        <v>318</v>
      </c>
      <c r="D31" s="8" t="s">
        <v>317</v>
      </c>
      <c r="E31" s="8"/>
      <c r="F31" s="18"/>
      <c r="G31" s="13"/>
      <c r="H31" s="13"/>
      <c r="I31" s="403"/>
      <c r="J31" s="403"/>
      <c r="K31" s="403"/>
      <c r="L31" s="403"/>
      <c r="M31" s="13"/>
      <c r="N31" s="13"/>
      <c r="O31" s="13"/>
      <c r="P31" s="13"/>
      <c r="Q31" s="13"/>
      <c r="R31" s="13"/>
    </row>
    <row r="32" spans="1:18" ht="15" customHeight="1">
      <c r="A32" s="404"/>
      <c r="B32" s="405"/>
      <c r="C32" s="205"/>
      <c r="D32" s="205" t="s">
        <v>1987</v>
      </c>
      <c r="E32" s="205"/>
      <c r="F32" s="406"/>
      <c r="I32" s="179"/>
      <c r="J32" s="179"/>
      <c r="K32" s="179"/>
      <c r="L32" s="179"/>
    </row>
    <row r="33" spans="1:18" ht="15" customHeight="1">
      <c r="A33" s="404">
        <v>2200</v>
      </c>
      <c r="B33" s="405" t="s">
        <v>728</v>
      </c>
      <c r="C33" s="205" t="s">
        <v>316</v>
      </c>
      <c r="D33" s="206" t="s">
        <v>1978</v>
      </c>
      <c r="E33" s="205"/>
      <c r="F33" s="406"/>
      <c r="G33" s="22">
        <f>VLOOKUP($C$33,Errichtungskosten,4,0)*VLOOKUP(VLOOKUP($C$33,Errichtungskosten,8,0),ÖkodatenKonstruktionen,8,0)</f>
        <v>0</v>
      </c>
      <c r="H33" s="22">
        <f>VLOOKUP($C$33,Errichtungskosten,4,0)*VLOOKUP(VLOOKUP($C$33,Errichtungskosten,8,0),ÖkodatenKonstruktionen,9,0)</f>
        <v>0</v>
      </c>
      <c r="I33" s="22">
        <f>VLOOKUP($C$33,Errichtungskosten,4,0)*VLOOKUP(VLOOKUP($C$33,Errichtungskosten,8,0),ÖkodatenKonstruktionen,10,0)</f>
        <v>0</v>
      </c>
      <c r="J33" s="22">
        <f>VLOOKUP($C$33,Errichtungskosten,4,0)*VLOOKUP(VLOOKUP($C$33,Errichtungskosten,8,0),ÖkodatenKonstruktionen,11,0)</f>
        <v>0</v>
      </c>
      <c r="K33" s="22">
        <f>VLOOKUP($C$33,Errichtungskosten,4,0)*VLOOKUP(VLOOKUP($C$33,Errichtungskosten,8,0),ÖkodatenKonstruktionen,12,0)</f>
        <v>0</v>
      </c>
      <c r="L33" s="22">
        <f>VLOOKUP($C$33,Errichtungskosten,4,0)*VLOOKUP(VLOOKUP($C$33,Errichtungskosten,8,0),ÖkodatenKonstruktionen,13,0)</f>
        <v>0</v>
      </c>
      <c r="M33" s="410" t="str">
        <f>VLOOKUP(C33,Nutzungsdauern,5,0)</f>
        <v>k.A.</v>
      </c>
      <c r="N33" s="22">
        <f t="shared" ref="N33" si="27">IF($M33&lt;&gt;"k.A.",(ROUNDDOWN($O$2/$M33,0)+1)*G33,0)</f>
        <v>0</v>
      </c>
      <c r="O33" s="22">
        <f t="shared" ref="O33" si="28">IF($M33&lt;&gt;"k.A.",(ROUNDDOWN($O$2/$M33,0)+1)*H33,0)</f>
        <v>0</v>
      </c>
      <c r="P33" s="22">
        <f t="shared" ref="P33" si="29">IF($M33&lt;&gt;"k.A.",(ROUNDDOWN($O$2/$M33,0)+1)*I33,0)</f>
        <v>0</v>
      </c>
      <c r="Q33" s="22">
        <f t="shared" ref="Q33" si="30">IF($M33&lt;&gt;"k.A.",(ROUNDDOWN($O$2/$M33,0)+1)*J33,0)</f>
        <v>0</v>
      </c>
      <c r="R33" s="22">
        <f t="shared" ref="R33" si="31">IF($M33&lt;&gt;"k.A.",(ROUNDDOWN($O$2/$M33,0)+1)*K33,0)</f>
        <v>0</v>
      </c>
    </row>
    <row r="34" spans="1:18" ht="15" customHeight="1">
      <c r="A34" s="404"/>
      <c r="B34" s="405"/>
      <c r="C34" s="205" t="s">
        <v>1850</v>
      </c>
      <c r="D34" s="206" t="s">
        <v>1798</v>
      </c>
      <c r="E34" s="205"/>
      <c r="F34" s="406"/>
      <c r="G34" s="22">
        <f>VLOOKUP($C$33,Errichtungskosten,4,0)*0.01*VLOOKUP($C$34,Errichtungskosten,4,0)*VLOOKUP(VLOOKUP($C$34,Errichtungskosten,8,0),ÖkodatenKonstruktionen,8,0)</f>
        <v>0</v>
      </c>
      <c r="H34" s="22">
        <f>VLOOKUP($C$33,Errichtungskosten,4,0)*0.01*VLOOKUP($C$34,Errichtungskosten,4,0)*VLOOKUP(VLOOKUP($C$34,Errichtungskosten,8,0),ÖkodatenKonstruktionen,9,0)</f>
        <v>0</v>
      </c>
      <c r="I34" s="22">
        <f>VLOOKUP($C$33,Errichtungskosten,4,0)*0.01*VLOOKUP($C$34,Errichtungskosten,4,0)*VLOOKUP(VLOOKUP($C$34,Errichtungskosten,8,0),ÖkodatenKonstruktionen,10,0)</f>
        <v>0</v>
      </c>
      <c r="J34" s="22">
        <f>VLOOKUP($C$33,Errichtungskosten,4,0)*0.01*VLOOKUP($C$34,Errichtungskosten,4,0)*VLOOKUP(VLOOKUP($C$34,Errichtungskosten,8,0),ÖkodatenKonstruktionen,11,0)</f>
        <v>0</v>
      </c>
      <c r="K34" s="22">
        <f>VLOOKUP($C$33,Errichtungskosten,4,0)*0.01*VLOOKUP($C$34,Errichtungskosten,4,0)*VLOOKUP(VLOOKUP($C$34,Errichtungskosten,8,0),ÖkodatenKonstruktionen,12,0)</f>
        <v>0</v>
      </c>
      <c r="L34" s="22">
        <f>VLOOKUP($C$33,Errichtungskosten,4,0)*0.01*VLOOKUP($C$34,Errichtungskosten,4,0)*VLOOKUP(VLOOKUP($C$34,Errichtungskosten,8,0),ÖkodatenKonstruktionen,13,0)</f>
        <v>0</v>
      </c>
      <c r="M34" s="410" t="str">
        <f>VLOOKUP(C34,Nutzungsdauern,5,0)</f>
        <v>k.A.</v>
      </c>
      <c r="N34" s="22">
        <f t="shared" ref="N34:N36" si="32">IF($M34&lt;&gt;"k.A.",(ROUNDDOWN($O$2/$M34,0)+1)*G34,0)</f>
        <v>0</v>
      </c>
      <c r="O34" s="22">
        <f t="shared" ref="O34:O36" si="33">IF($M34&lt;&gt;"k.A.",(ROUNDDOWN($O$2/$M34,0)+1)*H34,0)</f>
        <v>0</v>
      </c>
      <c r="P34" s="22">
        <f t="shared" ref="P34:P36" si="34">IF($M34&lt;&gt;"k.A.",(ROUNDDOWN($O$2/$M34,0)+1)*I34,0)</f>
        <v>0</v>
      </c>
      <c r="Q34" s="22">
        <f t="shared" ref="Q34:Q36" si="35">IF($M34&lt;&gt;"k.A.",(ROUNDDOWN($O$2/$M34,0)+1)*J34,0)</f>
        <v>0</v>
      </c>
      <c r="R34" s="22">
        <f t="shared" ref="R34:R36" si="36">IF($M34&lt;&gt;"k.A.",(ROUNDDOWN($O$2/$M34,0)+1)*K34,0)</f>
        <v>0</v>
      </c>
    </row>
    <row r="35" spans="1:18" ht="15" customHeight="1">
      <c r="A35" s="404"/>
      <c r="B35" s="405"/>
      <c r="C35" s="205" t="s">
        <v>1851</v>
      </c>
      <c r="D35" s="206" t="s">
        <v>1799</v>
      </c>
      <c r="E35" s="205"/>
      <c r="F35" s="406"/>
      <c r="G35" s="22">
        <f>VLOOKUP($C$33,Errichtungskosten,4,0)*VLOOKUP(VLOOKUP($C$35,Errichtungskosten,8,0),ÖkodatenKonstruktionen,8,0)</f>
        <v>0</v>
      </c>
      <c r="H35" s="22">
        <f>VLOOKUP($C$33,Errichtungskosten,4,0)*VLOOKUP(VLOOKUP($C$35,Errichtungskosten,8,0),ÖkodatenKonstruktionen,9,0)</f>
        <v>0</v>
      </c>
      <c r="I35" s="22">
        <f>VLOOKUP($C$33,Errichtungskosten,4,0)*VLOOKUP(VLOOKUP($C$35,Errichtungskosten,8,0),ÖkodatenKonstruktionen,10,0)</f>
        <v>0</v>
      </c>
      <c r="J35" s="22">
        <f>VLOOKUP($C$33,Errichtungskosten,4,0)*VLOOKUP(VLOOKUP($C$35,Errichtungskosten,8,0),ÖkodatenKonstruktionen,11,0)</f>
        <v>0</v>
      </c>
      <c r="K35" s="22">
        <f>VLOOKUP($C$33,Errichtungskosten,4,0)*VLOOKUP(VLOOKUP($C$35,Errichtungskosten,8,0),ÖkodatenKonstruktionen,12,0)</f>
        <v>0</v>
      </c>
      <c r="L35" s="22">
        <f>VLOOKUP($C$33,Errichtungskosten,4,0)*VLOOKUP(VLOOKUP($C$35,Errichtungskosten,8,0),ÖkodatenKonstruktionen,13,0)</f>
        <v>0</v>
      </c>
      <c r="M35" s="410" t="str">
        <f>VLOOKUP(C35,Nutzungsdauern,5,0)</f>
        <v>k.A.</v>
      </c>
      <c r="N35" s="22">
        <f t="shared" si="32"/>
        <v>0</v>
      </c>
      <c r="O35" s="22">
        <f t="shared" si="33"/>
        <v>0</v>
      </c>
      <c r="P35" s="22">
        <f t="shared" si="34"/>
        <v>0</v>
      </c>
      <c r="Q35" s="22">
        <f t="shared" si="35"/>
        <v>0</v>
      </c>
      <c r="R35" s="22">
        <f t="shared" si="36"/>
        <v>0</v>
      </c>
    </row>
    <row r="36" spans="1:18" ht="15" customHeight="1">
      <c r="A36" s="404"/>
      <c r="B36" s="405"/>
      <c r="C36" s="205" t="s">
        <v>1852</v>
      </c>
      <c r="D36" s="206" t="s">
        <v>1797</v>
      </c>
      <c r="E36" s="205"/>
      <c r="F36" s="406"/>
      <c r="G36" s="22">
        <f>VLOOKUP($C$33,Errichtungskosten,4,0)*VLOOKUP(VLOOKUP($C$36,Errichtungskosten,8,0),ÖkodatenKonstruktionen,8,0)</f>
        <v>0</v>
      </c>
      <c r="H36" s="22">
        <f>VLOOKUP($C$33,Errichtungskosten,4,0)*VLOOKUP(VLOOKUP($C$36,Errichtungskosten,8,0),ÖkodatenKonstruktionen,9,0)</f>
        <v>0</v>
      </c>
      <c r="I36" s="22">
        <f>VLOOKUP($C$33,Errichtungskosten,4,0)*VLOOKUP(VLOOKUP($C$36,Errichtungskosten,8,0),ÖkodatenKonstruktionen,10,0)</f>
        <v>0</v>
      </c>
      <c r="J36" s="22">
        <f>VLOOKUP($C$33,Errichtungskosten,4,0)*VLOOKUP(VLOOKUP($C$36,Errichtungskosten,8,0),ÖkodatenKonstruktionen,11,0)</f>
        <v>0</v>
      </c>
      <c r="K36" s="22">
        <f>VLOOKUP($C$33,Errichtungskosten,4,0)*VLOOKUP(VLOOKUP($C$36,Errichtungskosten,8,0),ÖkodatenKonstruktionen,12,0)</f>
        <v>0</v>
      </c>
      <c r="L36" s="22">
        <f>VLOOKUP($C$33,Errichtungskosten,4,0)*VLOOKUP(VLOOKUP($C$36,Errichtungskosten,8,0),ÖkodatenKonstruktionen,13,0)</f>
        <v>0</v>
      </c>
      <c r="M36" s="410" t="str">
        <f>VLOOKUP(C36,Nutzungsdauern,5,0)</f>
        <v>k.A.</v>
      </c>
      <c r="N36" s="22">
        <f t="shared" si="32"/>
        <v>0</v>
      </c>
      <c r="O36" s="22">
        <f t="shared" si="33"/>
        <v>0</v>
      </c>
      <c r="P36" s="22">
        <f t="shared" si="34"/>
        <v>0</v>
      </c>
      <c r="Q36" s="22">
        <f t="shared" si="35"/>
        <v>0</v>
      </c>
      <c r="R36" s="22">
        <f t="shared" si="36"/>
        <v>0</v>
      </c>
    </row>
    <row r="37" spans="1:18" ht="15" customHeight="1">
      <c r="A37" s="404"/>
      <c r="B37" s="405"/>
      <c r="C37" s="205"/>
      <c r="D37" s="205" t="s">
        <v>1988</v>
      </c>
      <c r="E37" s="205"/>
      <c r="F37" s="406"/>
      <c r="I37" s="179"/>
      <c r="J37" s="179"/>
      <c r="K37" s="179"/>
      <c r="L37" s="179"/>
    </row>
    <row r="38" spans="1:18" ht="15" customHeight="1">
      <c r="A38" s="404">
        <v>2300</v>
      </c>
      <c r="B38" s="405" t="s">
        <v>728</v>
      </c>
      <c r="C38" s="205" t="s">
        <v>314</v>
      </c>
      <c r="D38" s="206" t="s">
        <v>1978</v>
      </c>
      <c r="E38" s="205"/>
      <c r="F38" s="406"/>
      <c r="G38" s="22">
        <f>VLOOKUP($C$38,Errichtungskosten,4,0)*VLOOKUP(VLOOKUP($C$38,Errichtungskosten,8,0),ÖkodatenKonstruktionen,8,0)</f>
        <v>0</v>
      </c>
      <c r="H38" s="22">
        <f>VLOOKUP($C$38,Errichtungskosten,4,0)*VLOOKUP(VLOOKUP($C$38,Errichtungskosten,8,0),ÖkodatenKonstruktionen,9,0)</f>
        <v>0</v>
      </c>
      <c r="I38" s="22">
        <f>VLOOKUP($C$38,Errichtungskosten,4,0)*VLOOKUP(VLOOKUP($C$38,Errichtungskosten,8,0),ÖkodatenKonstruktionen,10,0)</f>
        <v>0</v>
      </c>
      <c r="J38" s="22">
        <f>VLOOKUP($C$38,Errichtungskosten,4,0)*VLOOKUP(VLOOKUP($C$38,Errichtungskosten,8,0),ÖkodatenKonstruktionen,11,0)</f>
        <v>0</v>
      </c>
      <c r="K38" s="22">
        <f>VLOOKUP($C$38,Errichtungskosten,4,0)*VLOOKUP(VLOOKUP($C$38,Errichtungskosten,8,0),ÖkodatenKonstruktionen,12,0)</f>
        <v>0</v>
      </c>
      <c r="L38" s="22">
        <f>VLOOKUP($C$38,Errichtungskosten,4,0)*VLOOKUP(VLOOKUP($C$38,Errichtungskosten,8,0),ÖkodatenKonstruktionen,13,0)</f>
        <v>0</v>
      </c>
      <c r="M38" s="410" t="str">
        <f>VLOOKUP(C38,Nutzungsdauern,5,0)</f>
        <v>k.A.</v>
      </c>
      <c r="N38" s="22">
        <f t="shared" ref="N38" si="37">IF($M38&lt;&gt;"k.A.",(ROUNDDOWN($O$2/$M38,0)+1)*G38,0)</f>
        <v>0</v>
      </c>
      <c r="O38" s="22">
        <f t="shared" ref="O38" si="38">IF($M38&lt;&gt;"k.A.",(ROUNDDOWN($O$2/$M38,0)+1)*H38,0)</f>
        <v>0</v>
      </c>
      <c r="P38" s="22">
        <f t="shared" ref="P38" si="39">IF($M38&lt;&gt;"k.A.",(ROUNDDOWN($O$2/$M38,0)+1)*I38,0)</f>
        <v>0</v>
      </c>
      <c r="Q38" s="22">
        <f t="shared" ref="Q38" si="40">IF($M38&lt;&gt;"k.A.",(ROUNDDOWN($O$2/$M38,0)+1)*J38,0)</f>
        <v>0</v>
      </c>
      <c r="R38" s="22">
        <f t="shared" ref="R38" si="41">IF($M38&lt;&gt;"k.A.",(ROUNDDOWN($O$2/$M38,0)+1)*K38,0)</f>
        <v>0</v>
      </c>
    </row>
    <row r="39" spans="1:18" ht="15" customHeight="1">
      <c r="A39" s="404"/>
      <c r="B39" s="405"/>
      <c r="C39" s="205" t="s">
        <v>1853</v>
      </c>
      <c r="D39" s="206" t="s">
        <v>1798</v>
      </c>
      <c r="E39" s="205"/>
      <c r="F39" s="406"/>
      <c r="G39" s="22">
        <f>VLOOKUP($C$38,Errichtungskosten,4,0)*0.01*VLOOKUP($C$39,Errichtungskosten,4,0)*VLOOKUP(VLOOKUP($C$39,Errichtungskosten,8,0),ÖkodatenKonstruktionen,8,0)</f>
        <v>0</v>
      </c>
      <c r="H39" s="22">
        <f>VLOOKUP($C$38,Errichtungskosten,4,0)*0.01*VLOOKUP($C$39,Errichtungskosten,4,0)*VLOOKUP(VLOOKUP($C$39,Errichtungskosten,8,0),ÖkodatenKonstruktionen,9,0)</f>
        <v>0</v>
      </c>
      <c r="I39" s="22">
        <f>VLOOKUP($C$38,Errichtungskosten,4,0)*0.01*VLOOKUP($C$39,Errichtungskosten,4,0)*VLOOKUP(VLOOKUP($C$39,Errichtungskosten,8,0),ÖkodatenKonstruktionen,10,0)</f>
        <v>0</v>
      </c>
      <c r="J39" s="22">
        <f>VLOOKUP($C$38,Errichtungskosten,4,0)*0.01*VLOOKUP($C$39,Errichtungskosten,4,0)*VLOOKUP(VLOOKUP($C$39,Errichtungskosten,8,0),ÖkodatenKonstruktionen,11,0)</f>
        <v>0</v>
      </c>
      <c r="K39" s="22">
        <f>VLOOKUP($C$38,Errichtungskosten,4,0)*0.01*VLOOKUP($C$39,Errichtungskosten,4,0)*VLOOKUP(VLOOKUP($C$39,Errichtungskosten,8,0),ÖkodatenKonstruktionen,12,0)</f>
        <v>0</v>
      </c>
      <c r="L39" s="22">
        <f>VLOOKUP($C$38,Errichtungskosten,4,0)*0.01*VLOOKUP($C$39,Errichtungskosten,4,0)*VLOOKUP(VLOOKUP($C$39,Errichtungskosten,8,0),ÖkodatenKonstruktionen,13,0)</f>
        <v>0</v>
      </c>
      <c r="M39" s="410" t="str">
        <f>VLOOKUP(C39,Nutzungsdauern,5,0)</f>
        <v>k.A.</v>
      </c>
      <c r="N39" s="22">
        <f t="shared" ref="N39:N41" si="42">IF($M39&lt;&gt;"k.A.",(ROUNDDOWN($O$2/$M39,0)+1)*G39,0)</f>
        <v>0</v>
      </c>
      <c r="O39" s="22">
        <f t="shared" ref="O39:O41" si="43">IF($M39&lt;&gt;"k.A.",(ROUNDDOWN($O$2/$M39,0)+1)*H39,0)</f>
        <v>0</v>
      </c>
      <c r="P39" s="22">
        <f t="shared" ref="P39:P41" si="44">IF($M39&lt;&gt;"k.A.",(ROUNDDOWN($O$2/$M39,0)+1)*I39,0)</f>
        <v>0</v>
      </c>
      <c r="Q39" s="22">
        <f t="shared" ref="Q39:Q41" si="45">IF($M39&lt;&gt;"k.A.",(ROUNDDOWN($O$2/$M39,0)+1)*J39,0)</f>
        <v>0</v>
      </c>
      <c r="R39" s="22">
        <f t="shared" ref="R39:R41" si="46">IF($M39&lt;&gt;"k.A.",(ROUNDDOWN($O$2/$M39,0)+1)*K39,0)</f>
        <v>0</v>
      </c>
    </row>
    <row r="40" spans="1:18" ht="15" customHeight="1">
      <c r="A40" s="404"/>
      <c r="B40" s="405"/>
      <c r="C40" s="205" t="s">
        <v>1854</v>
      </c>
      <c r="D40" s="206" t="s">
        <v>1799</v>
      </c>
      <c r="E40" s="205"/>
      <c r="F40" s="406"/>
      <c r="G40" s="22">
        <f>VLOOKUP($C$38,Errichtungskosten,4,0)*VLOOKUP(VLOOKUP($C$40,Errichtungskosten,8,0),ÖkodatenKonstruktionen,8,0)</f>
        <v>0</v>
      </c>
      <c r="H40" s="22">
        <f>VLOOKUP($C$38,Errichtungskosten,4,0)*VLOOKUP(VLOOKUP($C$40,Errichtungskosten,8,0),ÖkodatenKonstruktionen,9,0)</f>
        <v>0</v>
      </c>
      <c r="I40" s="22">
        <f>VLOOKUP($C$38,Errichtungskosten,4,0)*VLOOKUP(VLOOKUP($C$40,Errichtungskosten,8,0),ÖkodatenKonstruktionen,10,0)</f>
        <v>0</v>
      </c>
      <c r="J40" s="22">
        <f>VLOOKUP($C$38,Errichtungskosten,4,0)*VLOOKUP(VLOOKUP($C$40,Errichtungskosten,8,0),ÖkodatenKonstruktionen,11,0)</f>
        <v>0</v>
      </c>
      <c r="K40" s="22">
        <f>VLOOKUP($C$38,Errichtungskosten,4,0)*VLOOKUP(VLOOKUP($C$40,Errichtungskosten,8,0),ÖkodatenKonstruktionen,12,0)</f>
        <v>0</v>
      </c>
      <c r="L40" s="22">
        <f>VLOOKUP($C$38,Errichtungskosten,4,0)*VLOOKUP(VLOOKUP($C$40,Errichtungskosten,8,0),ÖkodatenKonstruktionen,13,0)</f>
        <v>0</v>
      </c>
      <c r="M40" s="410" t="str">
        <f>VLOOKUP(C40,Nutzungsdauern,5,0)</f>
        <v>k.A.</v>
      </c>
      <c r="N40" s="22">
        <f t="shared" si="42"/>
        <v>0</v>
      </c>
      <c r="O40" s="22">
        <f t="shared" si="43"/>
        <v>0</v>
      </c>
      <c r="P40" s="22">
        <f t="shared" si="44"/>
        <v>0</v>
      </c>
      <c r="Q40" s="22">
        <f t="shared" si="45"/>
        <v>0</v>
      </c>
      <c r="R40" s="22">
        <f t="shared" si="46"/>
        <v>0</v>
      </c>
    </row>
    <row r="41" spans="1:18" ht="15" customHeight="1">
      <c r="A41" s="404"/>
      <c r="B41" s="405"/>
      <c r="C41" s="205" t="s">
        <v>1855</v>
      </c>
      <c r="D41" s="206" t="s">
        <v>1797</v>
      </c>
      <c r="E41" s="205"/>
      <c r="F41" s="406"/>
      <c r="G41" s="22">
        <f>VLOOKUP($C$38,Errichtungskosten,4,0)*VLOOKUP(VLOOKUP($C$41,Errichtungskosten,8,0),ÖkodatenKonstruktionen,8,0)</f>
        <v>0</v>
      </c>
      <c r="H41" s="22">
        <f>VLOOKUP($C$38,Errichtungskosten,4,0)*VLOOKUP(VLOOKUP($C$41,Errichtungskosten,8,0),ÖkodatenKonstruktionen,9,0)</f>
        <v>0</v>
      </c>
      <c r="I41" s="22">
        <f>VLOOKUP($C$38,Errichtungskosten,4,0)*VLOOKUP(VLOOKUP($C$41,Errichtungskosten,8,0),ÖkodatenKonstruktionen,10,0)</f>
        <v>0</v>
      </c>
      <c r="J41" s="22">
        <f>VLOOKUP($C$38,Errichtungskosten,4,0)*VLOOKUP(VLOOKUP($C$41,Errichtungskosten,8,0),ÖkodatenKonstruktionen,11,0)</f>
        <v>0</v>
      </c>
      <c r="K41" s="22">
        <f>VLOOKUP($C$38,Errichtungskosten,4,0)*VLOOKUP(VLOOKUP($C$41,Errichtungskosten,8,0),ÖkodatenKonstruktionen,12,0)</f>
        <v>0</v>
      </c>
      <c r="L41" s="22">
        <f>VLOOKUP($C$38,Errichtungskosten,4,0)*VLOOKUP(VLOOKUP($C$41,Errichtungskosten,8,0),ÖkodatenKonstruktionen,13,0)</f>
        <v>0</v>
      </c>
      <c r="M41" s="410" t="str">
        <f>VLOOKUP(C41,Nutzungsdauern,5,0)</f>
        <v>k.A.</v>
      </c>
      <c r="N41" s="22">
        <f t="shared" si="42"/>
        <v>0</v>
      </c>
      <c r="O41" s="22">
        <f t="shared" si="43"/>
        <v>0</v>
      </c>
      <c r="P41" s="22">
        <f t="shared" si="44"/>
        <v>0</v>
      </c>
      <c r="Q41" s="22">
        <f t="shared" si="45"/>
        <v>0</v>
      </c>
      <c r="R41" s="22">
        <f t="shared" si="46"/>
        <v>0</v>
      </c>
    </row>
    <row r="42" spans="1:18" ht="15" customHeight="1">
      <c r="A42" s="7">
        <v>2700</v>
      </c>
      <c r="B42" s="10" t="s">
        <v>743</v>
      </c>
      <c r="C42" s="8" t="s">
        <v>311</v>
      </c>
      <c r="D42" s="8" t="s">
        <v>310</v>
      </c>
      <c r="E42" s="8"/>
      <c r="F42" s="18"/>
      <c r="G42" s="13"/>
      <c r="H42" s="13"/>
      <c r="I42" s="403"/>
      <c r="J42" s="403"/>
      <c r="K42" s="403"/>
      <c r="L42" s="403"/>
      <c r="M42" s="13"/>
      <c r="N42" s="13"/>
      <c r="O42" s="13"/>
      <c r="P42" s="13"/>
      <c r="Q42" s="13"/>
      <c r="R42" s="13"/>
    </row>
    <row r="43" spans="1:18" ht="15" customHeight="1">
      <c r="A43" s="7">
        <v>2800</v>
      </c>
      <c r="B43" s="10" t="s">
        <v>743</v>
      </c>
      <c r="C43" s="8" t="s">
        <v>309</v>
      </c>
      <c r="D43" s="8" t="s">
        <v>308</v>
      </c>
      <c r="E43" s="8"/>
      <c r="F43" s="18"/>
      <c r="G43" s="13"/>
      <c r="H43" s="13"/>
      <c r="I43" s="403"/>
      <c r="J43" s="403"/>
      <c r="K43" s="403"/>
      <c r="L43" s="403"/>
      <c r="M43" s="13"/>
      <c r="N43" s="13"/>
      <c r="O43" s="13"/>
      <c r="P43" s="13"/>
      <c r="Q43" s="13"/>
      <c r="R43" s="13"/>
    </row>
    <row r="44" spans="1:18" ht="15" customHeight="1">
      <c r="A44" s="404">
        <v>2900</v>
      </c>
      <c r="B44" s="405" t="s">
        <v>728</v>
      </c>
      <c r="C44" s="205" t="s">
        <v>307</v>
      </c>
      <c r="D44" s="205" t="s">
        <v>2305</v>
      </c>
      <c r="E44" s="205"/>
      <c r="F44" s="406"/>
      <c r="G44" s="22">
        <f>VLOOKUP($C$44,Errichtungskosten,4,0)*VLOOKUP(VLOOKUP($C$44,Errichtungskosten,8,0),ÖkodatenKonstruktionen,8,0)</f>
        <v>0</v>
      </c>
      <c r="H44" s="22">
        <f>VLOOKUP($C$44,Errichtungskosten,4,0)*VLOOKUP(VLOOKUP($C$44,Errichtungskosten,8,0),ÖkodatenKonstruktionen,9,0)</f>
        <v>0</v>
      </c>
      <c r="I44" s="22">
        <f>VLOOKUP($C$44,Errichtungskosten,4,0)*VLOOKUP(VLOOKUP($C$44,Errichtungskosten,8,0),ÖkodatenKonstruktionen,10,0)</f>
        <v>0</v>
      </c>
      <c r="J44" s="22">
        <f>VLOOKUP($C$44,Errichtungskosten,4,0)*VLOOKUP(VLOOKUP($C$44,Errichtungskosten,8,0),ÖkodatenKonstruktionen,11,0)</f>
        <v>0</v>
      </c>
      <c r="K44" s="22">
        <f>VLOOKUP($C$44,Errichtungskosten,4,0)*VLOOKUP(VLOOKUP($C$44,Errichtungskosten,8,0),ÖkodatenKonstruktionen,12,0)</f>
        <v>0</v>
      </c>
      <c r="L44" s="22">
        <f>VLOOKUP($C$44,Errichtungskosten,4,0)*VLOOKUP(VLOOKUP($C$44,Errichtungskosten,8,0),ÖkodatenKonstruktionen,13,0)</f>
        <v>0</v>
      </c>
      <c r="M44" s="410" t="str">
        <f>VLOOKUP(C44,Nutzungsdauern,5,0)</f>
        <v>k.A.</v>
      </c>
      <c r="N44" s="22">
        <f t="shared" ref="N44" si="47">IF($M44&lt;&gt;"k.A.",(ROUNDDOWN($O$2/$M44,0)+1)*G44,0)</f>
        <v>0</v>
      </c>
      <c r="O44" s="22">
        <f t="shared" ref="O44" si="48">IF($M44&lt;&gt;"k.A.",(ROUNDDOWN($O$2/$M44,0)+1)*H44,0)</f>
        <v>0</v>
      </c>
      <c r="P44" s="22">
        <f t="shared" ref="P44" si="49">IF($M44&lt;&gt;"k.A.",(ROUNDDOWN($O$2/$M44,0)+1)*I44,0)</f>
        <v>0</v>
      </c>
      <c r="Q44" s="22">
        <f t="shared" ref="Q44" si="50">IF($M44&lt;&gt;"k.A.",(ROUNDDOWN($O$2/$M44,0)+1)*J44,0)</f>
        <v>0</v>
      </c>
      <c r="R44" s="22">
        <f t="shared" ref="R44" si="51">IF($M44&lt;&gt;"k.A.",(ROUNDDOWN($O$2/$M44,0)+1)*K44,0)</f>
        <v>0</v>
      </c>
    </row>
    <row r="45" spans="1:18" ht="15" customHeight="1">
      <c r="A45" s="404">
        <v>3000</v>
      </c>
      <c r="B45" s="405" t="s">
        <v>728</v>
      </c>
      <c r="C45" s="205" t="s">
        <v>306</v>
      </c>
      <c r="D45" s="205" t="s">
        <v>2306</v>
      </c>
      <c r="E45" s="205"/>
      <c r="F45" s="406"/>
      <c r="G45" s="22">
        <f>VLOOKUP($C$45,Errichtungskosten,4,0)*VLOOKUP(VLOOKUP($C$45,Errichtungskosten,8,0),ÖkodatenKonstruktionen,8,0)</f>
        <v>0</v>
      </c>
      <c r="H45" s="22">
        <f>VLOOKUP($C$45,Errichtungskosten,4,0)*VLOOKUP(VLOOKUP($C$45,Errichtungskosten,8,0),ÖkodatenKonstruktionen,9,0)</f>
        <v>0</v>
      </c>
      <c r="I45" s="22">
        <f>VLOOKUP($C$45,Errichtungskosten,4,0)*VLOOKUP(VLOOKUP($C$45,Errichtungskosten,8,0),ÖkodatenKonstruktionen,10,0)</f>
        <v>0</v>
      </c>
      <c r="J45" s="22">
        <f>VLOOKUP($C$45,Errichtungskosten,4,0)*VLOOKUP(VLOOKUP($C$45,Errichtungskosten,8,0),ÖkodatenKonstruktionen,11,0)</f>
        <v>0</v>
      </c>
      <c r="K45" s="22">
        <f>VLOOKUP($C$45,Errichtungskosten,4,0)*VLOOKUP(VLOOKUP($C$45,Errichtungskosten,8,0),ÖkodatenKonstruktionen,12,0)</f>
        <v>0</v>
      </c>
      <c r="L45" s="22">
        <f>VLOOKUP($C$45,Errichtungskosten,4,0)*VLOOKUP(VLOOKUP($C$45,Errichtungskosten,8,0),ÖkodatenKonstruktionen,13,0)</f>
        <v>0</v>
      </c>
      <c r="M45" s="410" t="str">
        <f t="shared" ref="M45:M47" si="52">VLOOKUP(C45,Nutzungsdauern,5,0)</f>
        <v>k.A.</v>
      </c>
      <c r="N45" s="22">
        <f t="shared" ref="N45:N47" si="53">IF($M45&lt;&gt;"k.A.",(ROUNDDOWN($O$2/$M45,0)+1)*G45,0)</f>
        <v>0</v>
      </c>
      <c r="O45" s="22">
        <f t="shared" ref="O45:O47" si="54">IF($M45&lt;&gt;"k.A.",(ROUNDDOWN($O$2/$M45,0)+1)*H45,0)</f>
        <v>0</v>
      </c>
      <c r="P45" s="22">
        <f t="shared" ref="P45:P47" si="55">IF($M45&lt;&gt;"k.A.",(ROUNDDOWN($O$2/$M45,0)+1)*I45,0)</f>
        <v>0</v>
      </c>
      <c r="Q45" s="22">
        <f t="shared" ref="Q45:Q47" si="56">IF($M45&lt;&gt;"k.A.",(ROUNDDOWN($O$2/$M45,0)+1)*J45,0)</f>
        <v>0</v>
      </c>
      <c r="R45" s="22">
        <f t="shared" ref="R45:R47" si="57">IF($M45&lt;&gt;"k.A.",(ROUNDDOWN($O$2/$M45,0)+1)*K45,0)</f>
        <v>0</v>
      </c>
    </row>
    <row r="46" spans="1:18" ht="15" customHeight="1">
      <c r="A46" s="404"/>
      <c r="B46" s="405" t="s">
        <v>728</v>
      </c>
      <c r="C46" s="205" t="s">
        <v>304</v>
      </c>
      <c r="D46" s="205" t="s">
        <v>1752</v>
      </c>
      <c r="E46" s="205"/>
      <c r="F46" s="406"/>
      <c r="G46" s="22">
        <f>VLOOKUP($C$46,Errichtungskosten,4,0)*VLOOKUP(VLOOKUP($C$46,Errichtungskosten,8,0),ÖkodatenKonstruktionen,8,0)+VLOOKUP($C$46,Errichtungskosten,4,0)*0.01*VLOOKUP("E2.E.01.ds",Errichtungskosten,4,0)*VLOOKUP(VLOOKUP("E2.E.01.ds",Errichtungskosten,8,0),ÖkodatenKonstruktionen,8,0)</f>
        <v>0</v>
      </c>
      <c r="H46" s="22">
        <f>VLOOKUP($C$46,Errichtungskosten,4,0)*VLOOKUP(VLOOKUP($C$46,Errichtungskosten,8,0),ÖkodatenKonstruktionen,9,0)+VLOOKUP($C$46,Errichtungskosten,4,0)*0.01*VLOOKUP("E2.E.01.ds",Errichtungskosten,4,0)*VLOOKUP(VLOOKUP("E2.E.01.ds",Errichtungskosten,8,0),ÖkodatenKonstruktionen,9,0)</f>
        <v>0</v>
      </c>
      <c r="I46" s="22">
        <f>VLOOKUP($C$46,Errichtungskosten,4,0)*VLOOKUP(VLOOKUP($C$46,Errichtungskosten,8,0),ÖkodatenKonstruktionen,10,0)+VLOOKUP($C$46,Errichtungskosten,4,0)*0.01*VLOOKUP("E2.E.01.ds",Errichtungskosten,4,0)*VLOOKUP(VLOOKUP("E2.E.01.ds",Errichtungskosten,8,0),ÖkodatenKonstruktionen,10,0)</f>
        <v>0</v>
      </c>
      <c r="J46" s="22">
        <f>VLOOKUP($C$46,Errichtungskosten,4,0)*VLOOKUP(VLOOKUP($C$46,Errichtungskosten,8,0),ÖkodatenKonstruktionen,11,0)+VLOOKUP($C$46,Errichtungskosten,4,0)*0.01*VLOOKUP("E2.E.01.ds",Errichtungskosten,4,0)*VLOOKUP(VLOOKUP("E2.E.01.ds",Errichtungskosten,8,0),ÖkodatenKonstruktionen,11,0)</f>
        <v>0</v>
      </c>
      <c r="K46" s="22">
        <f>VLOOKUP($C$46,Errichtungskosten,4,0)*VLOOKUP(VLOOKUP($C$46,Errichtungskosten,8,0),ÖkodatenKonstruktionen,12,0)+VLOOKUP($C$46,Errichtungskosten,4,0)*0.01*VLOOKUP("E2.E.01.ds",Errichtungskosten,4,0)*VLOOKUP(VLOOKUP("E2.E.01.ds",Errichtungskosten,8,0),ÖkodatenKonstruktionen,12,0)</f>
        <v>0</v>
      </c>
      <c r="L46" s="22">
        <f>VLOOKUP($C$46,Errichtungskosten,4,0)*VLOOKUP(VLOOKUP($C$46,Errichtungskosten,8,0),ÖkodatenKonstruktionen,13,0)+VLOOKUP($C$46,Errichtungskosten,4,0)*0.01*VLOOKUP("E2.E.01.ds",Errichtungskosten,4,0)*VLOOKUP(VLOOKUP("E2.E.01.ds",Errichtungskosten,8,0),ÖkodatenKonstruktionen,13,0)</f>
        <v>0</v>
      </c>
      <c r="M46" s="410" t="str">
        <f t="shared" si="52"/>
        <v>k.A.</v>
      </c>
      <c r="N46" s="22">
        <f t="shared" si="53"/>
        <v>0</v>
      </c>
      <c r="O46" s="22">
        <f t="shared" si="54"/>
        <v>0</v>
      </c>
      <c r="P46" s="22">
        <f t="shared" si="55"/>
        <v>0</v>
      </c>
      <c r="Q46" s="22">
        <f t="shared" si="56"/>
        <v>0</v>
      </c>
      <c r="R46" s="22">
        <f t="shared" si="57"/>
        <v>0</v>
      </c>
    </row>
    <row r="47" spans="1:18" ht="15" customHeight="1">
      <c r="A47" s="404"/>
      <c r="B47" s="405"/>
      <c r="C47" s="205" t="s">
        <v>1796</v>
      </c>
      <c r="D47" s="205" t="s">
        <v>1472</v>
      </c>
      <c r="E47" s="205"/>
      <c r="F47" s="406"/>
      <c r="G47" s="22">
        <f>VLOOKUP($C$47,Errichtungskosten,4,0)*VLOOKUP(VLOOKUP($C$47,Errichtungskosten,8,0),ÖkodatenKonstruktionen,8,0)</f>
        <v>0</v>
      </c>
      <c r="H47" s="22">
        <f>VLOOKUP($C$47,Errichtungskosten,4,0)*VLOOKUP(VLOOKUP($C$47,Errichtungskosten,8,0),ÖkodatenKonstruktionen,9,0)</f>
        <v>0</v>
      </c>
      <c r="I47" s="22">
        <f>VLOOKUP($C$47,Errichtungskosten,4,0)*VLOOKUP(VLOOKUP($C$47,Errichtungskosten,8,0),ÖkodatenKonstruktionen,10,0)</f>
        <v>0</v>
      </c>
      <c r="J47" s="22">
        <f>VLOOKUP($C$47,Errichtungskosten,4,0)*VLOOKUP(VLOOKUP($C$47,Errichtungskosten,8,0),ÖkodatenKonstruktionen,11,0)</f>
        <v>0</v>
      </c>
      <c r="K47" s="22">
        <f>VLOOKUP($C$47,Errichtungskosten,4,0)*VLOOKUP(VLOOKUP($C$47,Errichtungskosten,8,0),ÖkodatenKonstruktionen,12,0)</f>
        <v>0</v>
      </c>
      <c r="L47" s="22">
        <f>VLOOKUP($C$47,Errichtungskosten,4,0)*VLOOKUP(VLOOKUP($C$47,Errichtungskosten,8,0),ÖkodatenKonstruktionen,13,0)</f>
        <v>0</v>
      </c>
      <c r="M47" s="410" t="str">
        <f t="shared" si="52"/>
        <v>k.A.</v>
      </c>
      <c r="N47" s="22">
        <f t="shared" si="53"/>
        <v>0</v>
      </c>
      <c r="O47" s="22">
        <f t="shared" si="54"/>
        <v>0</v>
      </c>
      <c r="P47" s="22">
        <f t="shared" si="55"/>
        <v>0</v>
      </c>
      <c r="Q47" s="22">
        <f t="shared" si="56"/>
        <v>0</v>
      </c>
      <c r="R47" s="22">
        <f t="shared" si="57"/>
        <v>0</v>
      </c>
    </row>
    <row r="48" spans="1:18" ht="15" customHeight="1">
      <c r="A48" s="404">
        <v>3400</v>
      </c>
      <c r="B48" s="405" t="s">
        <v>728</v>
      </c>
      <c r="C48" s="205" t="s">
        <v>303</v>
      </c>
      <c r="D48" s="8" t="s">
        <v>302</v>
      </c>
      <c r="E48" s="205"/>
      <c r="F48" s="406"/>
      <c r="G48" s="13"/>
      <c r="H48" s="13"/>
      <c r="I48" s="403"/>
      <c r="J48" s="403"/>
      <c r="K48" s="403"/>
      <c r="L48" s="403"/>
      <c r="M48" s="13"/>
      <c r="N48" s="13"/>
      <c r="O48" s="13"/>
      <c r="P48" s="13"/>
      <c r="Q48" s="13"/>
      <c r="R48" s="13"/>
    </row>
    <row r="49" spans="1:18" ht="15" customHeight="1">
      <c r="A49" s="404"/>
      <c r="B49" s="405"/>
      <c r="C49" s="205" t="s">
        <v>1569</v>
      </c>
      <c r="D49" s="206" t="s">
        <v>2308</v>
      </c>
      <c r="E49" s="205"/>
      <c r="F49" s="406"/>
      <c r="G49" s="22">
        <f>VLOOKUP($C$49,Errichtungskosten,4,0)*VLOOKUP(VLOOKUP($C$49,Errichtungskosten,8,0),ÖkodatenKonstruktionen,8,0)</f>
        <v>0</v>
      </c>
      <c r="H49" s="22">
        <f>VLOOKUP($C$49,Errichtungskosten,4,0)*VLOOKUP(VLOOKUP($C$49,Errichtungskosten,8,0),ÖkodatenKonstruktionen,9,0)</f>
        <v>0</v>
      </c>
      <c r="I49" s="22">
        <f>VLOOKUP($C$49,Errichtungskosten,4,0)*VLOOKUP(VLOOKUP($C$49,Errichtungskosten,8,0),ÖkodatenKonstruktionen,10,0)</f>
        <v>0</v>
      </c>
      <c r="J49" s="22">
        <f>VLOOKUP($C$49,Errichtungskosten,4,0)*VLOOKUP(VLOOKUP($C$49,Errichtungskosten,8,0),ÖkodatenKonstruktionen,11,0)</f>
        <v>0</v>
      </c>
      <c r="K49" s="22">
        <f>VLOOKUP($C$49,Errichtungskosten,4,0)*VLOOKUP(VLOOKUP($C$49,Errichtungskosten,8,0),ÖkodatenKonstruktionen,12,0)</f>
        <v>0</v>
      </c>
      <c r="L49" s="22">
        <f>VLOOKUP($C$49,Errichtungskosten,4,0)*VLOOKUP(VLOOKUP($C$49,Errichtungskosten,8,0),ÖkodatenKonstruktionen,13,0)</f>
        <v>0</v>
      </c>
      <c r="M49" s="410" t="str">
        <f>VLOOKUP(C49,Nutzungsdauern,5,0)</f>
        <v>k.A.</v>
      </c>
      <c r="N49" s="22">
        <f t="shared" ref="N49" si="58">IF($M49&lt;&gt;"k.A.",(ROUNDDOWN($O$2/$M49,0)+1)*G49,0)</f>
        <v>0</v>
      </c>
      <c r="O49" s="22">
        <f t="shared" ref="O49" si="59">IF($M49&lt;&gt;"k.A.",(ROUNDDOWN($O$2/$M49,0)+1)*H49,0)</f>
        <v>0</v>
      </c>
      <c r="P49" s="22">
        <f t="shared" ref="P49" si="60">IF($M49&lt;&gt;"k.A.",(ROUNDDOWN($O$2/$M49,0)+1)*I49,0)</f>
        <v>0</v>
      </c>
      <c r="Q49" s="22">
        <f t="shared" ref="Q49" si="61">IF($M49&lt;&gt;"k.A.",(ROUNDDOWN($O$2/$M49,0)+1)*J49,0)</f>
        <v>0</v>
      </c>
      <c r="R49" s="22">
        <f t="shared" ref="R49" si="62">IF($M49&lt;&gt;"k.A.",(ROUNDDOWN($O$2/$M49,0)+1)*K49,0)</f>
        <v>0</v>
      </c>
    </row>
    <row r="50" spans="1:18" ht="15" customHeight="1">
      <c r="A50" s="404"/>
      <c r="B50" s="405"/>
      <c r="C50" s="205" t="s">
        <v>1570</v>
      </c>
      <c r="D50" s="206" t="s">
        <v>2309</v>
      </c>
      <c r="E50" s="205"/>
      <c r="F50" s="406"/>
      <c r="G50" s="22">
        <f>VLOOKUP($C$50,Errichtungskosten,4,0)*VLOOKUP(VLOOKUP($C$50,Errichtungskosten,8,0),ÖkodatenKonstruktionen,8,0)</f>
        <v>0</v>
      </c>
      <c r="H50" s="22">
        <f>VLOOKUP($C$50,Errichtungskosten,4,0)*VLOOKUP(VLOOKUP($C$50,Errichtungskosten,8,0),ÖkodatenKonstruktionen,9,0)</f>
        <v>0</v>
      </c>
      <c r="I50" s="22">
        <f>VLOOKUP($C$50,Errichtungskosten,4,0)*VLOOKUP(VLOOKUP($C$50,Errichtungskosten,8,0),ÖkodatenKonstruktionen,10,0)</f>
        <v>0</v>
      </c>
      <c r="J50" s="22">
        <f>VLOOKUP($C$50,Errichtungskosten,4,0)*VLOOKUP(VLOOKUP($C$50,Errichtungskosten,8,0),ÖkodatenKonstruktionen,11,0)</f>
        <v>0</v>
      </c>
      <c r="K50" s="22">
        <f>VLOOKUP($C$50,Errichtungskosten,4,0)*VLOOKUP(VLOOKUP($C$50,Errichtungskosten,8,0),ÖkodatenKonstruktionen,12,0)</f>
        <v>0</v>
      </c>
      <c r="L50" s="22">
        <f>VLOOKUP($C$50,Errichtungskosten,4,0)*VLOOKUP(VLOOKUP($C$50,Errichtungskosten,8,0),ÖkodatenKonstruktionen,13,0)</f>
        <v>0</v>
      </c>
      <c r="M50" s="410" t="str">
        <f>VLOOKUP(C50,Nutzungsdauern,5,0)</f>
        <v>k.A.</v>
      </c>
      <c r="N50" s="22">
        <f t="shared" ref="N50:N52" si="63">IF($M50&lt;&gt;"k.A.",(ROUNDDOWN($O$2/$M50,0)+1)*G50,0)</f>
        <v>0</v>
      </c>
      <c r="O50" s="22">
        <f t="shared" ref="O50:O52" si="64">IF($M50&lt;&gt;"k.A.",(ROUNDDOWN($O$2/$M50,0)+1)*H50,0)</f>
        <v>0</v>
      </c>
      <c r="P50" s="22">
        <f t="shared" ref="P50:P52" si="65">IF($M50&lt;&gt;"k.A.",(ROUNDDOWN($O$2/$M50,0)+1)*I50,0)</f>
        <v>0</v>
      </c>
      <c r="Q50" s="22">
        <f t="shared" ref="Q50:Q52" si="66">IF($M50&lt;&gt;"k.A.",(ROUNDDOWN($O$2/$M50,0)+1)*J50,0)</f>
        <v>0</v>
      </c>
      <c r="R50" s="22">
        <f t="shared" ref="R50:R52" si="67">IF($M50&lt;&gt;"k.A.",(ROUNDDOWN($O$2/$M50,0)+1)*K50,0)</f>
        <v>0</v>
      </c>
    </row>
    <row r="51" spans="1:18" ht="15" customHeight="1">
      <c r="A51" s="404"/>
      <c r="B51" s="405"/>
      <c r="C51" s="205" t="s">
        <v>2330</v>
      </c>
      <c r="D51" s="206" t="s">
        <v>2310</v>
      </c>
      <c r="E51" s="205"/>
      <c r="F51" s="406"/>
      <c r="G51" s="22">
        <f>VLOOKUP($C$51,Errichtungskosten,4,0)*VLOOKUP(VLOOKUP($C$51,Errichtungskosten,8,0),ÖkodatenKonstruktionen,8,0)</f>
        <v>0</v>
      </c>
      <c r="H51" s="22">
        <f>VLOOKUP($C$51,Errichtungskosten,4,0)*VLOOKUP(VLOOKUP($C$51,Errichtungskosten,8,0),ÖkodatenKonstruktionen,9,0)</f>
        <v>0</v>
      </c>
      <c r="I51" s="22">
        <f>VLOOKUP($C$51,Errichtungskosten,4,0)*VLOOKUP(VLOOKUP($C$51,Errichtungskosten,8,0),ÖkodatenKonstruktionen,10,0)</f>
        <v>0</v>
      </c>
      <c r="J51" s="22">
        <f>VLOOKUP($C$51,Errichtungskosten,4,0)*VLOOKUP(VLOOKUP($C$51,Errichtungskosten,8,0),ÖkodatenKonstruktionen,11,0)</f>
        <v>0</v>
      </c>
      <c r="K51" s="22">
        <f>VLOOKUP($C$51,Errichtungskosten,4,0)*VLOOKUP(VLOOKUP($C$51,Errichtungskosten,8,0),ÖkodatenKonstruktionen,12,0)</f>
        <v>0</v>
      </c>
      <c r="L51" s="22">
        <f>VLOOKUP($C$51,Errichtungskosten,4,0)*VLOOKUP(VLOOKUP($C$51,Errichtungskosten,8,0),ÖkodatenKonstruktionen,13,0)</f>
        <v>0</v>
      </c>
      <c r="M51" s="410" t="str">
        <f>VLOOKUP(C51,Nutzungsdauern,5,0)</f>
        <v>k.A.</v>
      </c>
      <c r="N51" s="22">
        <f t="shared" ref="N51" si="68">IF($M51&lt;&gt;"k.A.",(ROUNDDOWN($O$2/$M51,0)+1)*G51,0)</f>
        <v>0</v>
      </c>
      <c r="O51" s="22">
        <f t="shared" ref="O51" si="69">IF($M51&lt;&gt;"k.A.",(ROUNDDOWN($O$2/$M51,0)+1)*H51,0)</f>
        <v>0</v>
      </c>
      <c r="P51" s="22">
        <f t="shared" ref="P51" si="70">IF($M51&lt;&gt;"k.A.",(ROUNDDOWN($O$2/$M51,0)+1)*I51,0)</f>
        <v>0</v>
      </c>
      <c r="Q51" s="22">
        <f t="shared" ref="Q51" si="71">IF($M51&lt;&gt;"k.A.",(ROUNDDOWN($O$2/$M51,0)+1)*J51,0)</f>
        <v>0</v>
      </c>
      <c r="R51" s="22">
        <f t="shared" ref="R51" si="72">IF($M51&lt;&gt;"k.A.",(ROUNDDOWN($O$2/$M51,0)+1)*K51,0)</f>
        <v>0</v>
      </c>
    </row>
    <row r="52" spans="1:18" ht="15" customHeight="1">
      <c r="A52" s="404">
        <v>3500</v>
      </c>
      <c r="B52" s="405" t="s">
        <v>728</v>
      </c>
      <c r="C52" s="205" t="s">
        <v>301</v>
      </c>
      <c r="D52" s="205" t="s">
        <v>300</v>
      </c>
      <c r="E52" s="205"/>
      <c r="F52" s="406"/>
      <c r="G52" s="22">
        <f>VLOOKUP($C$52,Errichtungskosten,4,0)*VLOOKUP(VLOOKUP($C$52,Errichtungskosten,8,0),ÖkodatenKonstruktionen,8,0)</f>
        <v>0</v>
      </c>
      <c r="H52" s="22">
        <f>VLOOKUP($C$52,Errichtungskosten,4,0)*VLOOKUP(VLOOKUP($C$52,Errichtungskosten,8,0),ÖkodatenKonstruktionen,9,0)</f>
        <v>0</v>
      </c>
      <c r="I52" s="22">
        <f>VLOOKUP($C$52,Errichtungskosten,4,0)*VLOOKUP(VLOOKUP($C$52,Errichtungskosten,8,0),ÖkodatenKonstruktionen,10,0)</f>
        <v>0</v>
      </c>
      <c r="J52" s="22">
        <f>VLOOKUP($C$52,Errichtungskosten,4,0)*VLOOKUP(VLOOKUP($C$52,Errichtungskosten,8,0),ÖkodatenKonstruktionen,11,0)</f>
        <v>0</v>
      </c>
      <c r="K52" s="22">
        <f>VLOOKUP($C$52,Errichtungskosten,4,0)*VLOOKUP(VLOOKUP($C$52,Errichtungskosten,8,0),ÖkodatenKonstruktionen,12,0)</f>
        <v>0</v>
      </c>
      <c r="L52" s="22">
        <f>VLOOKUP($C$52,Errichtungskosten,4,0)*VLOOKUP(VLOOKUP($C$52,Errichtungskosten,8,0),ÖkodatenKonstruktionen,13,0)</f>
        <v>0</v>
      </c>
      <c r="M52" s="410" t="str">
        <f>VLOOKUP(C52,Nutzungsdauern,5,0)</f>
        <v>k.A.</v>
      </c>
      <c r="N52" s="22">
        <f t="shared" si="63"/>
        <v>0</v>
      </c>
      <c r="O52" s="22">
        <f t="shared" si="64"/>
        <v>0</v>
      </c>
      <c r="P52" s="22">
        <f t="shared" si="65"/>
        <v>0</v>
      </c>
      <c r="Q52" s="22">
        <f t="shared" si="66"/>
        <v>0</v>
      </c>
      <c r="R52" s="22">
        <f t="shared" si="67"/>
        <v>0</v>
      </c>
    </row>
    <row r="53" spans="1:18" ht="15" customHeight="1">
      <c r="A53" s="5">
        <v>8700</v>
      </c>
      <c r="B53" s="9" t="s">
        <v>724</v>
      </c>
      <c r="C53" s="6" t="s">
        <v>194</v>
      </c>
      <c r="D53" s="6" t="s">
        <v>193</v>
      </c>
      <c r="E53" s="205"/>
      <c r="F53" s="406"/>
      <c r="G53" s="403"/>
      <c r="H53" s="403"/>
      <c r="I53" s="403"/>
      <c r="J53" s="403"/>
      <c r="K53" s="403"/>
      <c r="L53" s="403"/>
      <c r="M53" s="403"/>
      <c r="N53" s="13"/>
      <c r="O53" s="13"/>
      <c r="P53" s="13"/>
      <c r="Q53" s="13"/>
      <c r="R53" s="13"/>
    </row>
    <row r="54" spans="1:18" ht="15" customHeight="1">
      <c r="A54" s="7">
        <v>8900</v>
      </c>
      <c r="B54" s="10" t="s">
        <v>743</v>
      </c>
      <c r="C54" s="8" t="s">
        <v>191</v>
      </c>
      <c r="D54" s="8" t="s">
        <v>190</v>
      </c>
      <c r="E54" s="205"/>
      <c r="F54" s="406"/>
      <c r="G54" s="403"/>
      <c r="H54" s="403"/>
      <c r="I54" s="403"/>
      <c r="J54" s="403"/>
      <c r="K54" s="403"/>
      <c r="L54" s="403"/>
      <c r="M54" s="403"/>
      <c r="N54" s="13"/>
      <c r="O54" s="13"/>
      <c r="P54" s="13"/>
      <c r="Q54" s="13"/>
      <c r="R54" s="13"/>
    </row>
    <row r="55" spans="1:18" ht="15" customHeight="1">
      <c r="A55" s="7">
        <v>9000</v>
      </c>
      <c r="B55" s="10" t="s">
        <v>743</v>
      </c>
      <c r="C55" s="8" t="s">
        <v>189</v>
      </c>
      <c r="D55" s="8" t="s">
        <v>188</v>
      </c>
      <c r="E55" s="205"/>
      <c r="F55" s="406"/>
      <c r="G55" s="403"/>
      <c r="H55" s="403"/>
      <c r="I55" s="403"/>
      <c r="J55" s="403"/>
      <c r="K55" s="403"/>
      <c r="L55" s="403"/>
      <c r="M55" s="403"/>
      <c r="N55" s="13"/>
      <c r="O55" s="13"/>
      <c r="P55" s="13"/>
      <c r="Q55" s="13"/>
      <c r="R55" s="13"/>
    </row>
    <row r="56" spans="1:18" ht="15" customHeight="1">
      <c r="A56" s="404">
        <v>9100</v>
      </c>
      <c r="B56" s="405" t="s">
        <v>728</v>
      </c>
      <c r="C56" s="205" t="s">
        <v>187</v>
      </c>
      <c r="D56" s="206" t="s">
        <v>2301</v>
      </c>
      <c r="E56" s="205"/>
      <c r="F56" s="406"/>
      <c r="G56" s="22">
        <f>VLOOKUP($C$56,Errichtungskosten,4,0)*VLOOKUP(VLOOKUP($C$56,Errichtungskosten,8,0),ÖkodatenKonstruktionen,8,0)</f>
        <v>0</v>
      </c>
      <c r="H56" s="22">
        <f>VLOOKUP($C$56,Errichtungskosten,4,0)*VLOOKUP(VLOOKUP($C$56,Errichtungskosten,8,0),ÖkodatenKonstruktionen,9,0)</f>
        <v>0</v>
      </c>
      <c r="I56" s="22">
        <f>VLOOKUP($C$56,Errichtungskosten,4,0)*VLOOKUP(VLOOKUP($C$56,Errichtungskosten,8,0),ÖkodatenKonstruktionen,10,0)</f>
        <v>0</v>
      </c>
      <c r="J56" s="22">
        <f>VLOOKUP($C$56,Errichtungskosten,4,0)*VLOOKUP(VLOOKUP($C$56,Errichtungskosten,8,0),ÖkodatenKonstruktionen,11,0)</f>
        <v>0</v>
      </c>
      <c r="K56" s="22">
        <f>VLOOKUP($C$56,Errichtungskosten,4,0)*VLOOKUP(VLOOKUP($C$56,Errichtungskosten,8,0),ÖkodatenKonstruktionen,12,0)</f>
        <v>0</v>
      </c>
      <c r="L56" s="22">
        <f>VLOOKUP($C$56,Errichtungskosten,4,0)*VLOOKUP(VLOOKUP($C$56,Errichtungskosten,8,0),ÖkodatenKonstruktionen,13,0)</f>
        <v>0</v>
      </c>
      <c r="M56" s="410" t="str">
        <f>VLOOKUP(C56,Nutzungsdauern,5,0)</f>
        <v>k.A.</v>
      </c>
      <c r="N56" s="22">
        <f t="shared" ref="N56" si="73">IF($M56&lt;&gt;"k.A.",(ROUNDDOWN($O$2/$M56,0)+1)*G56,0)</f>
        <v>0</v>
      </c>
      <c r="O56" s="22">
        <f t="shared" ref="O56" si="74">IF($M56&lt;&gt;"k.A.",(ROUNDDOWN($O$2/$M56,0)+1)*H56,0)</f>
        <v>0</v>
      </c>
      <c r="P56" s="22">
        <f t="shared" ref="P56" si="75">IF($M56&lt;&gt;"k.A.",(ROUNDDOWN($O$2/$M56,0)+1)*I56,0)</f>
        <v>0</v>
      </c>
      <c r="Q56" s="22">
        <f t="shared" ref="Q56" si="76">IF($M56&lt;&gt;"k.A.",(ROUNDDOWN($O$2/$M56,0)+1)*J56,0)</f>
        <v>0</v>
      </c>
      <c r="R56" s="22">
        <f t="shared" ref="R56" si="77">IF($M56&lt;&gt;"k.A.",(ROUNDDOWN($O$2/$M56,0)+1)*K56,0)</f>
        <v>0</v>
      </c>
    </row>
    <row r="57" spans="1:18" ht="15" customHeight="1">
      <c r="A57" s="404">
        <v>9200</v>
      </c>
      <c r="B57" s="405" t="s">
        <v>728</v>
      </c>
      <c r="C57" s="205" t="s">
        <v>186</v>
      </c>
      <c r="D57" s="206" t="s">
        <v>2302</v>
      </c>
      <c r="E57" s="205"/>
      <c r="F57" s="406"/>
      <c r="G57" s="22">
        <f>VLOOKUP($C$57,Errichtungskosten,4,0)*VLOOKUP(VLOOKUP($C$57,Errichtungskosten,8,0),ÖkodatenKonstruktionen,8,0)</f>
        <v>0</v>
      </c>
      <c r="H57" s="22">
        <f>VLOOKUP($C$57,Errichtungskosten,4,0)*VLOOKUP(VLOOKUP($C$57,Errichtungskosten,8,0),ÖkodatenKonstruktionen,9,0)</f>
        <v>0</v>
      </c>
      <c r="I57" s="22">
        <f>VLOOKUP($C$57,Errichtungskosten,4,0)*VLOOKUP(VLOOKUP($C$57,Errichtungskosten,8,0),ÖkodatenKonstruktionen,10,0)</f>
        <v>0</v>
      </c>
      <c r="J57" s="22">
        <f>VLOOKUP($C$57,Errichtungskosten,4,0)*VLOOKUP(VLOOKUP($C$57,Errichtungskosten,8,0),ÖkodatenKonstruktionen,11,0)</f>
        <v>0</v>
      </c>
      <c r="K57" s="22">
        <f>VLOOKUP($C$57,Errichtungskosten,4,0)*VLOOKUP(VLOOKUP($C$57,Errichtungskosten,8,0),ÖkodatenKonstruktionen,12,0)</f>
        <v>0</v>
      </c>
      <c r="L57" s="22">
        <f>VLOOKUP($C$57,Errichtungskosten,4,0)*VLOOKUP(VLOOKUP($C$57,Errichtungskosten,8,0),ÖkodatenKonstruktionen,13,0)</f>
        <v>0</v>
      </c>
      <c r="M57" s="410" t="str">
        <f>VLOOKUP(C57,Nutzungsdauern,5,0)</f>
        <v>k.A.</v>
      </c>
      <c r="N57" s="22">
        <f t="shared" ref="N57" si="78">IF($M57&lt;&gt;"k.A.",(ROUNDDOWN($O$2/$M57,0)+1)*G57,0)</f>
        <v>0</v>
      </c>
      <c r="O57" s="22">
        <f t="shared" ref="O57" si="79">IF($M57&lt;&gt;"k.A.",(ROUNDDOWN($O$2/$M57,0)+1)*H57,0)</f>
        <v>0</v>
      </c>
      <c r="P57" s="22">
        <f t="shared" ref="P57" si="80">IF($M57&lt;&gt;"k.A.",(ROUNDDOWN($O$2/$M57,0)+1)*I57,0)</f>
        <v>0</v>
      </c>
      <c r="Q57" s="22">
        <f t="shared" ref="Q57" si="81">IF($M57&lt;&gt;"k.A.",(ROUNDDOWN($O$2/$M57,0)+1)*J57,0)</f>
        <v>0</v>
      </c>
      <c r="R57" s="22">
        <f t="shared" ref="R57" si="82">IF($M57&lt;&gt;"k.A.",(ROUNDDOWN($O$2/$M57,0)+1)*K57,0)</f>
        <v>0</v>
      </c>
    </row>
    <row r="58" spans="1:18" ht="15" customHeight="1">
      <c r="A58" s="404">
        <v>9600</v>
      </c>
      <c r="B58" s="405" t="s">
        <v>728</v>
      </c>
      <c r="C58" s="205" t="s">
        <v>184</v>
      </c>
      <c r="D58" s="205" t="s">
        <v>183</v>
      </c>
      <c r="E58" s="8"/>
      <c r="F58" s="18"/>
      <c r="I58" s="179"/>
      <c r="J58" s="179"/>
      <c r="K58" s="179"/>
      <c r="L58" s="179"/>
    </row>
    <row r="59" spans="1:18" ht="15" customHeight="1">
      <c r="A59" s="404"/>
      <c r="B59" s="405"/>
      <c r="C59" s="205" t="s">
        <v>1963</v>
      </c>
      <c r="D59" s="206" t="s">
        <v>1962</v>
      </c>
      <c r="E59" s="8"/>
      <c r="F59" s="18"/>
      <c r="G59" s="22">
        <f>VLOOKUP("E4.B.02",Errichtungskosten,4,0)*VLOOKUP($C$59,Errichtungskosten,4,0)*VLOOKUP(VLOOKUP($C$59,Errichtungskosten,8,0),ÖkodatenKonstruktionen,8,0)</f>
        <v>0</v>
      </c>
      <c r="H59" s="22">
        <f>VLOOKUP("E4.B.02",Errichtungskosten,4,0)*VLOOKUP($C$59,Errichtungskosten,4,0)*VLOOKUP(VLOOKUP($C$59,Errichtungskosten,8,0),ÖkodatenKonstruktionen,9,0)</f>
        <v>0</v>
      </c>
      <c r="I59" s="22">
        <f>VLOOKUP("E4.B.02",Errichtungskosten,4,0)*VLOOKUP($C$59,Errichtungskosten,4,0)*VLOOKUP(VLOOKUP($C$59,Errichtungskosten,8,0),ÖkodatenKonstruktionen,10,0)</f>
        <v>0</v>
      </c>
      <c r="J59" s="22">
        <f>VLOOKUP("E4.B.02",Errichtungskosten,4,0)*VLOOKUP($C$59,Errichtungskosten,4,0)*VLOOKUP(VLOOKUP($C$59,Errichtungskosten,8,0),ÖkodatenKonstruktionen,11,0)</f>
        <v>0</v>
      </c>
      <c r="K59" s="22">
        <f>VLOOKUP("E4.B.02",Errichtungskosten,4,0)*VLOOKUP($C$59,Errichtungskosten,4,0)*VLOOKUP(VLOOKUP($C$59,Errichtungskosten,8,0),ÖkodatenKonstruktionen,12,0)</f>
        <v>0</v>
      </c>
      <c r="L59" s="22">
        <f>VLOOKUP("E4.B.02",Errichtungskosten,4,0)*VLOOKUP($C$59,Errichtungskosten,4,0)*VLOOKUP(VLOOKUP($C$59,Errichtungskosten,8,0),ÖkodatenKonstruktionen,13,0)</f>
        <v>0</v>
      </c>
      <c r="M59" s="410" t="str">
        <f>VLOOKUP(C58,Nutzungsdauern,5,0)</f>
        <v>k.A.</v>
      </c>
      <c r="N59" s="22">
        <f t="shared" ref="N59:N60" si="83">IF($M59&lt;&gt;"k.A.",(ROUNDDOWN($O$2/$M59,0)+1)*G59,0)</f>
        <v>0</v>
      </c>
      <c r="O59" s="22">
        <f t="shared" ref="O59:O60" si="84">IF($M59&lt;&gt;"k.A.",(ROUNDDOWN($O$2/$M59,0)+1)*H59,0)</f>
        <v>0</v>
      </c>
      <c r="P59" s="22">
        <f t="shared" ref="P59:P60" si="85">IF($M59&lt;&gt;"k.A.",(ROUNDDOWN($O$2/$M59,0)+1)*I59,0)</f>
        <v>0</v>
      </c>
      <c r="Q59" s="22">
        <f t="shared" ref="Q59:Q60" si="86">IF($M59&lt;&gt;"k.A.",(ROUNDDOWN($O$2/$M59,0)+1)*J59,0)</f>
        <v>0</v>
      </c>
      <c r="R59" s="22">
        <f t="shared" ref="R59:R60" si="87">IF($M59&lt;&gt;"k.A.",(ROUNDDOWN($O$2/$M59,0)+1)*K59,0)</f>
        <v>0</v>
      </c>
    </row>
    <row r="60" spans="1:18" ht="15" customHeight="1">
      <c r="A60" s="404"/>
      <c r="B60" s="405"/>
      <c r="C60" s="205" t="s">
        <v>1964</v>
      </c>
      <c r="D60" s="206" t="s">
        <v>1961</v>
      </c>
      <c r="E60" s="8"/>
      <c r="F60" s="18"/>
      <c r="G60" s="22">
        <f>VLOOKUP("E4.B.02",Errichtungskosten,4,0)*VLOOKUP($C$60,Errichtungskosten,4,0)*VLOOKUP(VLOOKUP($C$60,Errichtungskosten,8,0),ÖkodatenKonstruktionen,8,0)</f>
        <v>0</v>
      </c>
      <c r="H60" s="22">
        <f>VLOOKUP("E4.B.02",Errichtungskosten,4,0)*VLOOKUP($C$60,Errichtungskosten,4,0)*VLOOKUP(VLOOKUP($C$60,Errichtungskosten,8,0),ÖkodatenKonstruktionen,9,0)</f>
        <v>0</v>
      </c>
      <c r="I60" s="22">
        <f>VLOOKUP("E4.B.02",Errichtungskosten,4,0)*VLOOKUP($C$60,Errichtungskosten,4,0)*VLOOKUP(VLOOKUP($C$60,Errichtungskosten,8,0),ÖkodatenKonstruktionen,10,0)</f>
        <v>0</v>
      </c>
      <c r="J60" s="22">
        <f>VLOOKUP("E4.B.02",Errichtungskosten,4,0)*VLOOKUP($C$60,Errichtungskosten,4,0)*VLOOKUP(VLOOKUP($C$60,Errichtungskosten,8,0),ÖkodatenKonstruktionen,11,0)</f>
        <v>0</v>
      </c>
      <c r="K60" s="22">
        <f>VLOOKUP("E4.B.02",Errichtungskosten,4,0)*VLOOKUP($C$60,Errichtungskosten,4,0)*VLOOKUP(VLOOKUP($C$60,Errichtungskosten,8,0),ÖkodatenKonstruktionen,12,0)</f>
        <v>0</v>
      </c>
      <c r="L60" s="22">
        <f>VLOOKUP("E4.B.02",Errichtungskosten,4,0)*VLOOKUP($C$60,Errichtungskosten,4,0)*VLOOKUP(VLOOKUP($C$60,Errichtungskosten,8,0),ÖkodatenKonstruktionen,13,0)</f>
        <v>0</v>
      </c>
      <c r="M60" s="410" t="str">
        <f>VLOOKUP(C58,Nutzungsdauern,5,0)</f>
        <v>k.A.</v>
      </c>
      <c r="N60" s="22">
        <f t="shared" si="83"/>
        <v>0</v>
      </c>
      <c r="O60" s="22">
        <f t="shared" si="84"/>
        <v>0</v>
      </c>
      <c r="P60" s="22">
        <f t="shared" si="85"/>
        <v>0</v>
      </c>
      <c r="Q60" s="22">
        <f t="shared" si="86"/>
        <v>0</v>
      </c>
      <c r="R60" s="22">
        <f t="shared" si="87"/>
        <v>0</v>
      </c>
    </row>
    <row r="61" spans="1:18" ht="15" customHeight="1">
      <c r="A61" s="7">
        <v>9900</v>
      </c>
      <c r="B61" s="10" t="s">
        <v>743</v>
      </c>
      <c r="C61" s="8" t="s">
        <v>178</v>
      </c>
      <c r="D61" s="8" t="s">
        <v>177</v>
      </c>
      <c r="E61" s="205"/>
      <c r="F61" s="406"/>
      <c r="G61" s="403"/>
      <c r="H61" s="403"/>
      <c r="I61" s="403"/>
      <c r="J61" s="403"/>
      <c r="K61" s="403"/>
      <c r="L61" s="403"/>
      <c r="M61" s="403"/>
      <c r="N61" s="403"/>
      <c r="O61" s="403"/>
      <c r="P61" s="403"/>
      <c r="Q61" s="403"/>
      <c r="R61" s="403"/>
    </row>
    <row r="62" spans="1:18" ht="15" customHeight="1">
      <c r="A62" s="404">
        <v>10000</v>
      </c>
      <c r="B62" s="405" t="s">
        <v>728</v>
      </c>
      <c r="C62" s="205" t="s">
        <v>176</v>
      </c>
      <c r="D62" s="205" t="s">
        <v>175</v>
      </c>
      <c r="E62" s="8"/>
      <c r="F62" s="18"/>
      <c r="I62" s="179"/>
      <c r="J62" s="179"/>
      <c r="K62" s="179"/>
      <c r="L62" s="179"/>
    </row>
    <row r="63" spans="1:18" ht="15" customHeight="1">
      <c r="A63" s="404"/>
      <c r="B63" s="405"/>
      <c r="C63" s="205" t="s">
        <v>2022</v>
      </c>
      <c r="D63" s="206" t="s">
        <v>1477</v>
      </c>
      <c r="E63" s="8"/>
      <c r="F63" s="18"/>
      <c r="G63" s="403">
        <f>IF(VLOOKUP($C$63,Errichtungskosten,8,0)="Putz ohne Dämmung",VLOOKUP($C$63,Errichtungskosten,4,0)*VLOOKUP(VLOOKUP($C$63,Errichtungskosten,8,0),ÖkodatenKonstruktionen,8,0),VLOOKUP($C$63,Errichtungskosten,4,0)*0.01*VLOOKUP("E4.C.01a1",Errichtungskosten,4,0)*VLOOKUP(VLOOKUP($C$63,Errichtungskosten,8,0),ÖkodatenKonstruktionen,8,0))</f>
        <v>0</v>
      </c>
      <c r="H63" s="403">
        <f>IF(VLOOKUP($C$63,Errichtungskosten,8,0)="Putz ohne Dämmung",VLOOKUP($C$63,Errichtungskosten,4,0)*VLOOKUP(VLOOKUP($C$63,Errichtungskosten,8,0),ÖkodatenKonstruktionen,9,0),VLOOKUP($C$63,Errichtungskosten,4,0)*0.01*VLOOKUP("E4.C.01a1",Errichtungskosten,4,0)*VLOOKUP(VLOOKUP($C$63,Errichtungskosten,8,0),ÖkodatenKonstruktionen,9,0))</f>
        <v>0</v>
      </c>
      <c r="I63" s="403">
        <f>IF(VLOOKUP($C$63,Errichtungskosten,8,0)="Putz ohne Dämmung",VLOOKUP($C$63,Errichtungskosten,4,0)*VLOOKUP(VLOOKUP($C$63,Errichtungskosten,8,0),ÖkodatenKonstruktionen,10,0),VLOOKUP($C$63,Errichtungskosten,4,0)*0.01*VLOOKUP("E4.C.01a1",Errichtungskosten,4,0)*VLOOKUP(VLOOKUP($C$63,Errichtungskosten,8,0),ÖkodatenKonstruktionen,10,0))</f>
        <v>0</v>
      </c>
      <c r="J63" s="403">
        <f>IF(VLOOKUP($C$63,Errichtungskosten,8,0)="Putz ohne Dämmung",VLOOKUP($C$63,Errichtungskosten,4,0)*VLOOKUP(VLOOKUP($C$63,Errichtungskosten,8,0),ÖkodatenKonstruktionen,11,0),VLOOKUP($C$63,Errichtungskosten,4,0)*0.01*VLOOKUP("E4.C.01a1",Errichtungskosten,4,0)*VLOOKUP(VLOOKUP($C$63,Errichtungskosten,8,0),ÖkodatenKonstruktionen,11,0))</f>
        <v>0</v>
      </c>
      <c r="K63" s="403">
        <f>IF(VLOOKUP($C$63,Errichtungskosten,8,0)="Putz ohne Dämmung",VLOOKUP($C$63,Errichtungskosten,4,0)*VLOOKUP(VLOOKUP($C$63,Errichtungskosten,8,0),ÖkodatenKonstruktionen,12,0),VLOOKUP($C$63,Errichtungskosten,4,0)*0.01*VLOOKUP("E4.C.01a1",Errichtungskosten,4,0)*VLOOKUP(VLOOKUP($C$63,Errichtungskosten,8,0),ÖkodatenKonstruktionen,12,0))</f>
        <v>0</v>
      </c>
      <c r="L63" s="403">
        <f>IF(VLOOKUP($C$63,Errichtungskosten,8,0)="Putz ohne Dämmung",VLOOKUP($C$63,Errichtungskosten,4,0)*VLOOKUP(VLOOKUP($C$63,Errichtungskosten,8,0),ÖkodatenKonstruktionen,13,0),VLOOKUP($C$63,Errichtungskosten,4,0)*0.01*VLOOKUP("E4.C.01a1",Errichtungskosten,4,0)*VLOOKUP(VLOOKUP($C$63,Errichtungskosten,8,0),ÖkodatenKonstruktionen,13,0))</f>
        <v>0</v>
      </c>
      <c r="M63" s="410" t="str">
        <f>VLOOKUP(C63,Nutzungsdauern,5,0)</f>
        <v>k.A.</v>
      </c>
      <c r="N63" s="22">
        <f t="shared" ref="N63" si="88">IF($M63&lt;&gt;"k.A.",(ROUNDDOWN($O$2/$M63,0)+1)*G63,0)</f>
        <v>0</v>
      </c>
      <c r="O63" s="22">
        <f t="shared" ref="O63" si="89">IF($M63&lt;&gt;"k.A.",(ROUNDDOWN($O$2/$M63,0)+1)*H63,0)</f>
        <v>0</v>
      </c>
      <c r="P63" s="22">
        <f t="shared" ref="P63" si="90">IF($M63&lt;&gt;"k.A.",(ROUNDDOWN($O$2/$M63,0)+1)*I63,0)</f>
        <v>0</v>
      </c>
      <c r="Q63" s="22">
        <f t="shared" ref="Q63" si="91">IF($M63&lt;&gt;"k.A.",(ROUNDDOWN($O$2/$M63,0)+1)*J63,0)</f>
        <v>0</v>
      </c>
      <c r="R63" s="22">
        <f t="shared" ref="R63" si="92">IF($M63&lt;&gt;"k.A.",(ROUNDDOWN($O$2/$M63,0)+1)*K63,0)</f>
        <v>0</v>
      </c>
    </row>
    <row r="64" spans="1:18" ht="15" customHeight="1">
      <c r="A64" s="404"/>
      <c r="B64" s="405"/>
      <c r="C64" s="205" t="s">
        <v>2018</v>
      </c>
      <c r="D64" s="206" t="s">
        <v>1612</v>
      </c>
      <c r="E64" s="8"/>
      <c r="F64" s="18"/>
      <c r="I64" s="179"/>
      <c r="J64" s="179"/>
      <c r="K64" s="179"/>
      <c r="L64" s="179"/>
    </row>
    <row r="65" spans="1:18" ht="15" customHeight="1">
      <c r="A65" s="404"/>
      <c r="B65" s="405"/>
      <c r="C65" s="205" t="s">
        <v>2020</v>
      </c>
      <c r="D65" s="412" t="s">
        <v>1478</v>
      </c>
      <c r="E65" s="8"/>
      <c r="F65" s="18"/>
      <c r="G65" s="22">
        <f>VLOOKUP($C$64,Errichtungskosten,4,0)*VLOOKUP(VLOOKUP($C$65,Errichtungskosten,8,0),ÖkodatenKonstruktionen,8,0)</f>
        <v>0</v>
      </c>
      <c r="H65" s="22">
        <f>VLOOKUP($C$64,Errichtungskosten,4,0)*VLOOKUP(VLOOKUP($C$65,Errichtungskosten,8,0),ÖkodatenKonstruktionen,9,0)</f>
        <v>0</v>
      </c>
      <c r="I65" s="22">
        <f>VLOOKUP($C$64,Errichtungskosten,4,0)*VLOOKUP(VLOOKUP($C$65,Errichtungskosten,8,0),ÖkodatenKonstruktionen,10,0)</f>
        <v>0</v>
      </c>
      <c r="J65" s="22">
        <f>VLOOKUP($C$64,Errichtungskosten,4,0)*VLOOKUP(VLOOKUP($C$65,Errichtungskosten,8,0),ÖkodatenKonstruktionen,11,0)</f>
        <v>0</v>
      </c>
      <c r="K65" s="22">
        <f>VLOOKUP($C$64,Errichtungskosten,4,0)*VLOOKUP(VLOOKUP($C$65,Errichtungskosten,8,0),ÖkodatenKonstruktionen,12,0)</f>
        <v>0</v>
      </c>
      <c r="L65" s="22">
        <f>VLOOKUP($C$64,Errichtungskosten,4,0)*VLOOKUP(VLOOKUP($C$65,Errichtungskosten,8,0),ÖkodatenKonstruktionen,13,0)</f>
        <v>0</v>
      </c>
      <c r="M65" s="410" t="str">
        <f>VLOOKUP(C64,Nutzungsdauern,5,0)</f>
        <v>k.A.</v>
      </c>
      <c r="N65" s="22">
        <f t="shared" ref="N65:N66" si="93">IF($M65&lt;&gt;"k.A.",(ROUNDDOWN($O$2/$M65,0)+1)*G65,0)</f>
        <v>0</v>
      </c>
      <c r="O65" s="22">
        <f t="shared" ref="O65:O66" si="94">IF($M65&lt;&gt;"k.A.",(ROUNDDOWN($O$2/$M65,0)+1)*H65,0)</f>
        <v>0</v>
      </c>
      <c r="P65" s="22">
        <f t="shared" ref="P65:P66" si="95">IF($M65&lt;&gt;"k.A.",(ROUNDDOWN($O$2/$M65,0)+1)*I65,0)</f>
        <v>0</v>
      </c>
      <c r="Q65" s="22">
        <f t="shared" ref="Q65:Q66" si="96">IF($M65&lt;&gt;"k.A.",(ROUNDDOWN($O$2/$M65,0)+1)*J65,0)</f>
        <v>0</v>
      </c>
      <c r="R65" s="22">
        <f t="shared" ref="R65:R66" si="97">IF($M65&lt;&gt;"k.A.",(ROUNDDOWN($O$2/$M65,0)+1)*K65,0)</f>
        <v>0</v>
      </c>
    </row>
    <row r="66" spans="1:18" ht="15" customHeight="1">
      <c r="A66" s="404"/>
      <c r="B66" s="405"/>
      <c r="C66" s="205" t="s">
        <v>2021</v>
      </c>
      <c r="D66" s="412" t="s">
        <v>1479</v>
      </c>
      <c r="E66" s="8"/>
      <c r="F66" s="18"/>
      <c r="G66" s="22">
        <f>VLOOKUP($C$64,Errichtungskosten,4,0)*0.01*VLOOKUP($C$66,Errichtungskosten,4,0)*VLOOKUP(VLOOKUP($C$66,Errichtungskosten,8,0),ÖkodatenKonstruktionen,8,0)</f>
        <v>0</v>
      </c>
      <c r="H66" s="22">
        <f>VLOOKUP($C$64,Errichtungskosten,4,0)*0.01*VLOOKUP($C$66,Errichtungskosten,4,0)*VLOOKUP(VLOOKUP($C$66,Errichtungskosten,8,0),ÖkodatenKonstruktionen,9,0)</f>
        <v>0</v>
      </c>
      <c r="I66" s="22">
        <f>VLOOKUP($C$64,Errichtungskosten,4,0)*0.01*VLOOKUP($C$66,Errichtungskosten,4,0)*VLOOKUP(VLOOKUP($C$66,Errichtungskosten,8,0),ÖkodatenKonstruktionen,10,0)</f>
        <v>0</v>
      </c>
      <c r="J66" s="22">
        <f>VLOOKUP($C$64,Errichtungskosten,4,0)*0.01*VLOOKUP($C$66,Errichtungskosten,4,0)*VLOOKUP(VLOOKUP($C$66,Errichtungskosten,8,0),ÖkodatenKonstruktionen,11,0)</f>
        <v>0</v>
      </c>
      <c r="K66" s="22">
        <f>VLOOKUP($C$64,Errichtungskosten,4,0)*0.01*VLOOKUP($C$66,Errichtungskosten,4,0)*VLOOKUP(VLOOKUP($C$66,Errichtungskosten,8,0),ÖkodatenKonstruktionen,12,0)</f>
        <v>0</v>
      </c>
      <c r="L66" s="22">
        <f>VLOOKUP($C$64,Errichtungskosten,4,0)*0.01*VLOOKUP($C$66,Errichtungskosten,4,0)*VLOOKUP(VLOOKUP($C$66,Errichtungskosten,8,0),ÖkodatenKonstruktionen,13,0)</f>
        <v>0</v>
      </c>
      <c r="M66" s="410" t="str">
        <f>VLOOKUP(C64,Nutzungsdauern,5,0)</f>
        <v>k.A.</v>
      </c>
      <c r="N66" s="22">
        <f t="shared" si="93"/>
        <v>0</v>
      </c>
      <c r="O66" s="22">
        <f t="shared" si="94"/>
        <v>0</v>
      </c>
      <c r="P66" s="22">
        <f t="shared" si="95"/>
        <v>0</v>
      </c>
      <c r="Q66" s="22">
        <f t="shared" si="96"/>
        <v>0</v>
      </c>
      <c r="R66" s="22">
        <f t="shared" si="97"/>
        <v>0</v>
      </c>
    </row>
    <row r="67" spans="1:18" ht="15" customHeight="1">
      <c r="A67" s="404">
        <v>10100</v>
      </c>
      <c r="B67" s="405" t="s">
        <v>728</v>
      </c>
      <c r="C67" s="205" t="s">
        <v>173</v>
      </c>
      <c r="D67" s="205" t="s">
        <v>172</v>
      </c>
      <c r="E67" s="205"/>
      <c r="F67" s="406"/>
      <c r="I67" s="179"/>
      <c r="J67" s="179"/>
      <c r="K67" s="179"/>
      <c r="L67" s="179"/>
    </row>
    <row r="68" spans="1:18" ht="15" customHeight="1">
      <c r="A68" s="404"/>
      <c r="B68" s="405"/>
      <c r="C68" s="205" t="s">
        <v>1965</v>
      </c>
      <c r="D68" s="205" t="s">
        <v>1613</v>
      </c>
      <c r="E68" s="205"/>
      <c r="F68" s="406"/>
      <c r="I68" s="179"/>
      <c r="J68" s="179"/>
      <c r="K68" s="179"/>
      <c r="L68" s="179"/>
    </row>
    <row r="69" spans="1:18" ht="15" customHeight="1">
      <c r="A69" s="404"/>
      <c r="B69" s="405"/>
      <c r="C69" s="205" t="s">
        <v>1967</v>
      </c>
      <c r="D69" s="206" t="s">
        <v>1969</v>
      </c>
      <c r="E69" s="205"/>
      <c r="F69" s="406"/>
      <c r="G69" s="403">
        <f>VLOOKUP("E4.C.02a",Errichtungskosten,4,0)*VLOOKUP($C$69,Errichtungskosten,4,0)*VLOOKUP(VLOOKUP($C$69,Errichtungskosten,8,0),ÖkodatenKonstruktionen,8,0)</f>
        <v>0</v>
      </c>
      <c r="H69" s="403">
        <f>VLOOKUP("E4.C.02a",Errichtungskosten,4,0)*VLOOKUP($C$69,Errichtungskosten,4,0)*VLOOKUP(VLOOKUP($C$69,Errichtungskosten,8,0),ÖkodatenKonstruktionen,9,0)</f>
        <v>0</v>
      </c>
      <c r="I69" s="403">
        <f>VLOOKUP("E4.C.02a",Errichtungskosten,4,0)*VLOOKUP($C$69,Errichtungskosten,4,0)*VLOOKUP(VLOOKUP($C$69,Errichtungskosten,8,0),ÖkodatenKonstruktionen,10,0)</f>
        <v>0</v>
      </c>
      <c r="J69" s="403">
        <f>VLOOKUP("E4.C.02a",Errichtungskosten,4,0)*VLOOKUP($C$69,Errichtungskosten,4,0)*VLOOKUP(VLOOKUP($C$69,Errichtungskosten,8,0),ÖkodatenKonstruktionen,11,0)</f>
        <v>0</v>
      </c>
      <c r="K69" s="403">
        <f>VLOOKUP("E4.C.02a",Errichtungskosten,4,0)*VLOOKUP($C$69,Errichtungskosten,4,0)*VLOOKUP(VLOOKUP($C$69,Errichtungskosten,8,0),ÖkodatenKonstruktionen,12,0)</f>
        <v>0</v>
      </c>
      <c r="L69" s="403">
        <f>VLOOKUP("E4.C.02a",Errichtungskosten,4,0)*VLOOKUP($C$69,Errichtungskosten,4,0)*VLOOKUP(VLOOKUP($C$69,Errichtungskosten,8,0),ÖkodatenKonstruktionen,13,0)</f>
        <v>0</v>
      </c>
      <c r="M69" s="410" t="str">
        <f>VLOOKUP(C68,Nutzungsdauern,5,0)</f>
        <v>k.A.</v>
      </c>
      <c r="N69" s="22">
        <f t="shared" ref="N69:N71" si="98">IF($M69&lt;&gt;"k.A.",(ROUNDDOWN($O$2/$M69,0)+1)*G69,0)</f>
        <v>0</v>
      </c>
      <c r="O69" s="22">
        <f t="shared" ref="O69:O71" si="99">IF($M69&lt;&gt;"k.A.",(ROUNDDOWN($O$2/$M69,0)+1)*H69,0)</f>
        <v>0</v>
      </c>
      <c r="P69" s="22">
        <f t="shared" ref="P69:P71" si="100">IF($M69&lt;&gt;"k.A.",(ROUNDDOWN($O$2/$M69,0)+1)*I69,0)</f>
        <v>0</v>
      </c>
      <c r="Q69" s="22">
        <f t="shared" ref="Q69:Q71" si="101">IF($M69&lt;&gt;"k.A.",(ROUNDDOWN($O$2/$M69,0)+1)*J69,0)</f>
        <v>0</v>
      </c>
      <c r="R69" s="22">
        <f t="shared" ref="R69:R71" si="102">IF($M69&lt;&gt;"k.A.",(ROUNDDOWN($O$2/$M69,0)+1)*K69,0)</f>
        <v>0</v>
      </c>
    </row>
    <row r="70" spans="1:18" ht="15" customHeight="1">
      <c r="A70" s="404"/>
      <c r="B70" s="405"/>
      <c r="C70" s="205" t="s">
        <v>1968</v>
      </c>
      <c r="D70" s="206" t="s">
        <v>1970</v>
      </c>
      <c r="E70" s="205"/>
      <c r="F70" s="406"/>
      <c r="G70" s="403">
        <f>VLOOKUP("E4.C.02a",Errichtungskosten,4,0)*VLOOKUP($C$70,Errichtungskosten,4,0)*VLOOKUP(VLOOKUP($C$70,Errichtungskosten,8,0),ÖkodatenKonstruktionen,8,0)</f>
        <v>0</v>
      </c>
      <c r="H70" s="403">
        <f>VLOOKUP("E4.C.02a",Errichtungskosten,4,0)*VLOOKUP($C$70,Errichtungskosten,4,0)*VLOOKUP(VLOOKUP($C$70,Errichtungskosten,8,0),ÖkodatenKonstruktionen,9,0)</f>
        <v>0</v>
      </c>
      <c r="I70" s="403">
        <f>VLOOKUP("E4.C.02a",Errichtungskosten,4,0)*VLOOKUP($C$70,Errichtungskosten,4,0)*VLOOKUP(VLOOKUP($C$70,Errichtungskosten,8,0),ÖkodatenKonstruktionen,10,0)</f>
        <v>0</v>
      </c>
      <c r="J70" s="403">
        <f>VLOOKUP("E4.C.02a",Errichtungskosten,4,0)*VLOOKUP($C$70,Errichtungskosten,4,0)*VLOOKUP(VLOOKUP($C$70,Errichtungskosten,8,0),ÖkodatenKonstruktionen,11,0)</f>
        <v>0</v>
      </c>
      <c r="K70" s="403">
        <f>VLOOKUP("E4.C.02a",Errichtungskosten,4,0)*VLOOKUP($C$70,Errichtungskosten,4,0)*VLOOKUP(VLOOKUP($C$70,Errichtungskosten,8,0),ÖkodatenKonstruktionen,12,0)</f>
        <v>0</v>
      </c>
      <c r="L70" s="403">
        <f>VLOOKUP("E4.C.02a",Errichtungskosten,4,0)*VLOOKUP($C$70,Errichtungskosten,4,0)*VLOOKUP(VLOOKUP($C$70,Errichtungskosten,8,0),ÖkodatenKonstruktionen,13,0)</f>
        <v>0</v>
      </c>
      <c r="M70" s="410" t="str">
        <f>VLOOKUP(C68,Nutzungsdauern,5,0)</f>
        <v>k.A.</v>
      </c>
      <c r="N70" s="22">
        <f t="shared" si="98"/>
        <v>0</v>
      </c>
      <c r="O70" s="22">
        <f t="shared" si="99"/>
        <v>0</v>
      </c>
      <c r="P70" s="22">
        <f t="shared" si="100"/>
        <v>0</v>
      </c>
      <c r="Q70" s="22">
        <f t="shared" si="101"/>
        <v>0</v>
      </c>
      <c r="R70" s="22">
        <f t="shared" si="102"/>
        <v>0</v>
      </c>
    </row>
    <row r="71" spans="1:18" ht="15" customHeight="1">
      <c r="A71" s="404"/>
      <c r="B71" s="405"/>
      <c r="C71" s="205" t="s">
        <v>1966</v>
      </c>
      <c r="D71" s="205" t="s">
        <v>1614</v>
      </c>
      <c r="E71" s="205"/>
      <c r="F71" s="406"/>
      <c r="G71" s="403">
        <f>VLOOKUP($C$71,Errichtungskosten,4,0)*VLOOKUP(VLOOKUP($C$71,Errichtungskosten,8,0),ÖkodatenKonstruktionen,8,0)</f>
        <v>0</v>
      </c>
      <c r="H71" s="403">
        <f>VLOOKUP($C$71,Errichtungskosten,4,0)*VLOOKUP(VLOOKUP($C$71,Errichtungskosten,8,0),ÖkodatenKonstruktionen,9,0)</f>
        <v>0</v>
      </c>
      <c r="I71" s="403">
        <f>VLOOKUP($C$71,Errichtungskosten,4,0)*VLOOKUP(VLOOKUP($C$71,Errichtungskosten,8,0),ÖkodatenKonstruktionen,10,0)</f>
        <v>0</v>
      </c>
      <c r="J71" s="403">
        <f>VLOOKUP($C$71,Errichtungskosten,4,0)*VLOOKUP(VLOOKUP($C$71,Errichtungskosten,8,0),ÖkodatenKonstruktionen,11,0)</f>
        <v>0</v>
      </c>
      <c r="K71" s="403">
        <f>VLOOKUP($C$71,Errichtungskosten,4,0)*VLOOKUP(VLOOKUP($C$71,Errichtungskosten,8,0),ÖkodatenKonstruktionen,12,0)</f>
        <v>0</v>
      </c>
      <c r="L71" s="403">
        <f>VLOOKUP($C$71,Errichtungskosten,4,0)*VLOOKUP(VLOOKUP($C$71,Errichtungskosten,8,0),ÖkodatenKonstruktionen,13,0)</f>
        <v>0</v>
      </c>
      <c r="M71" s="410" t="str">
        <f>VLOOKUP(C71,Nutzungsdauern,5,0)</f>
        <v>k.A.</v>
      </c>
      <c r="N71" s="22">
        <f t="shared" si="98"/>
        <v>0</v>
      </c>
      <c r="O71" s="22">
        <f t="shared" si="99"/>
        <v>0</v>
      </c>
      <c r="P71" s="22">
        <f t="shared" si="100"/>
        <v>0</v>
      </c>
      <c r="Q71" s="22">
        <f t="shared" si="101"/>
        <v>0</v>
      </c>
      <c r="R71" s="22">
        <f t="shared" si="102"/>
        <v>0</v>
      </c>
    </row>
    <row r="72" spans="1:18" ht="15" customHeight="1">
      <c r="A72" s="413"/>
      <c r="B72" s="414"/>
      <c r="C72" s="205" t="s">
        <v>2143</v>
      </c>
      <c r="D72" s="205" t="s">
        <v>2146</v>
      </c>
      <c r="E72" s="415"/>
      <c r="F72" s="416"/>
      <c r="I72" s="179"/>
      <c r="J72" s="179"/>
      <c r="K72" s="179"/>
      <c r="L72" s="179"/>
    </row>
    <row r="73" spans="1:18" ht="15" customHeight="1">
      <c r="A73" s="413"/>
      <c r="B73" s="414"/>
      <c r="C73" s="205" t="s">
        <v>2144</v>
      </c>
      <c r="D73" s="206" t="s">
        <v>1962</v>
      </c>
      <c r="E73" s="415"/>
      <c r="F73" s="416"/>
      <c r="G73" s="403">
        <f>VLOOKUP("E4.C.02c",Errichtungskosten,4,0)*VLOOKUP($C$73,Errichtungskosten,4,0)*VLOOKUP(VLOOKUP($C$73,Errichtungskosten,8,0),ÖkodatenKonstruktionen,8,0)</f>
        <v>0</v>
      </c>
      <c r="H73" s="403">
        <f>VLOOKUP("E4.C.02c",Errichtungskosten,4,0)*VLOOKUP($C$73,Errichtungskosten,4,0)*VLOOKUP(VLOOKUP($C$73,Errichtungskosten,8,0),ÖkodatenKonstruktionen,9,0)</f>
        <v>0</v>
      </c>
      <c r="I73" s="403">
        <f>VLOOKUP("E4.C.02c",Errichtungskosten,4,0)*VLOOKUP($C$73,Errichtungskosten,4,0)*VLOOKUP(VLOOKUP($C$73,Errichtungskosten,8,0),ÖkodatenKonstruktionen,10,0)</f>
        <v>0</v>
      </c>
      <c r="J73" s="403">
        <f>VLOOKUP("E4.C.02c",Errichtungskosten,4,0)*VLOOKUP($C$73,Errichtungskosten,4,0)*VLOOKUP(VLOOKUP($C$73,Errichtungskosten,8,0),ÖkodatenKonstruktionen,11,0)</f>
        <v>0</v>
      </c>
      <c r="K73" s="403">
        <f>VLOOKUP("E4.C.02c",Errichtungskosten,4,0)*VLOOKUP($C$73,Errichtungskosten,4,0)*VLOOKUP(VLOOKUP($C$73,Errichtungskosten,8,0),ÖkodatenKonstruktionen,12,0)</f>
        <v>0</v>
      </c>
      <c r="L73" s="403">
        <f>VLOOKUP("E4.C.02c",Errichtungskosten,4,0)*VLOOKUP($C$73,Errichtungskosten,4,0)*VLOOKUP(VLOOKUP($C$73,Errichtungskosten,8,0),ÖkodatenKonstruktionen,13,0)</f>
        <v>0</v>
      </c>
      <c r="M73" s="410" t="str">
        <f>VLOOKUP(C72,Nutzungsdauern,5,0)</f>
        <v>k.A.</v>
      </c>
      <c r="N73" s="22">
        <f t="shared" ref="N73:R74" si="103">IF($M73&lt;&gt;"k.A.",(ROUNDDOWN($O$2/$M73,0)+1)*G73,0)</f>
        <v>0</v>
      </c>
      <c r="O73" s="22">
        <f t="shared" si="103"/>
        <v>0</v>
      </c>
      <c r="P73" s="22">
        <f t="shared" si="103"/>
        <v>0</v>
      </c>
      <c r="Q73" s="22">
        <f t="shared" si="103"/>
        <v>0</v>
      </c>
      <c r="R73" s="22">
        <f t="shared" si="103"/>
        <v>0</v>
      </c>
    </row>
    <row r="74" spans="1:18" ht="15" customHeight="1">
      <c r="A74" s="413"/>
      <c r="B74" s="414"/>
      <c r="C74" s="205" t="s">
        <v>2145</v>
      </c>
      <c r="D74" s="206" t="s">
        <v>1961</v>
      </c>
      <c r="E74" s="415"/>
      <c r="F74" s="416"/>
      <c r="G74" s="403">
        <f>VLOOKUP("E4.C.02c",Errichtungskosten,4,0)*VLOOKUP($C$74,Errichtungskosten,4,0)*VLOOKUP(VLOOKUP($C$74,Errichtungskosten,8,0),ÖkodatenKonstruktionen,8,0)</f>
        <v>0</v>
      </c>
      <c r="H74" s="403">
        <f>VLOOKUP("E4.C.02c",Errichtungskosten,4,0)*VLOOKUP($C$74,Errichtungskosten,4,0)*VLOOKUP(VLOOKUP($C$74,Errichtungskosten,8,0),ÖkodatenKonstruktionen,9,0)</f>
        <v>0</v>
      </c>
      <c r="I74" s="403">
        <f>VLOOKUP("E4.C.02c",Errichtungskosten,4,0)*VLOOKUP($C$74,Errichtungskosten,4,0)*VLOOKUP(VLOOKUP($C$74,Errichtungskosten,8,0),ÖkodatenKonstruktionen,10,0)</f>
        <v>0</v>
      </c>
      <c r="J74" s="403">
        <f>VLOOKUP("E4.C.02c",Errichtungskosten,4,0)*VLOOKUP($C$74,Errichtungskosten,4,0)*VLOOKUP(VLOOKUP($C$74,Errichtungskosten,8,0),ÖkodatenKonstruktionen,11,0)</f>
        <v>0</v>
      </c>
      <c r="K74" s="403">
        <f>VLOOKUP("E4.C.02c",Errichtungskosten,4,0)*VLOOKUP($C$74,Errichtungskosten,4,0)*VLOOKUP(VLOOKUP($C$74,Errichtungskosten,8,0),ÖkodatenKonstruktionen,12,0)</f>
        <v>0</v>
      </c>
      <c r="L74" s="403">
        <f>VLOOKUP("E4.C.02c",Errichtungskosten,4,0)*VLOOKUP($C$74,Errichtungskosten,4,0)*VLOOKUP(VLOOKUP($C$74,Errichtungskosten,8,0),ÖkodatenKonstruktionen,13,0)</f>
        <v>0</v>
      </c>
      <c r="M74" s="410" t="str">
        <f>VLOOKUP(C72,Nutzungsdauern,5,0)</f>
        <v>k.A.</v>
      </c>
      <c r="N74" s="22">
        <f t="shared" si="103"/>
        <v>0</v>
      </c>
      <c r="O74" s="22">
        <f t="shared" si="103"/>
        <v>0</v>
      </c>
      <c r="P74" s="22">
        <f t="shared" si="103"/>
        <v>0</v>
      </c>
      <c r="Q74" s="22">
        <f t="shared" si="103"/>
        <v>0</v>
      </c>
      <c r="R74" s="22">
        <f t="shared" si="103"/>
        <v>0</v>
      </c>
    </row>
    <row r="75" spans="1:18" ht="15" customHeight="1">
      <c r="A75" s="404">
        <v>10250</v>
      </c>
      <c r="B75" s="405" t="s">
        <v>728</v>
      </c>
      <c r="C75" s="205" t="s">
        <v>1486</v>
      </c>
      <c r="D75" s="205" t="s">
        <v>1176</v>
      </c>
      <c r="E75" s="205"/>
      <c r="F75" s="406"/>
      <c r="I75" s="179"/>
      <c r="J75" s="179"/>
      <c r="K75" s="179"/>
      <c r="L75" s="179"/>
    </row>
    <row r="76" spans="1:18" ht="15" customHeight="1">
      <c r="A76" s="404"/>
      <c r="B76" s="405"/>
      <c r="C76" s="205" t="s">
        <v>1876</v>
      </c>
      <c r="D76" s="206" t="s">
        <v>1482</v>
      </c>
      <c r="E76" s="205"/>
      <c r="F76" s="406"/>
      <c r="G76" s="22">
        <f>VLOOKUP($C$75,Errichtungskosten,4,0)*VLOOKUP($C$76,Errichtungskosten,4,0)*0.01*VLOOKUP(VLOOKUP($C$76,Errichtungskosten,8,0),ÖkodatenKonstruktionen,8,0)</f>
        <v>0</v>
      </c>
      <c r="H76" s="22">
        <f>VLOOKUP($C$75,Errichtungskosten,4,0)*VLOOKUP($C$76,Errichtungskosten,4,0)*0.01*VLOOKUP(VLOOKUP($C$76,Errichtungskosten,8,0),ÖkodatenKonstruktionen,9,0)</f>
        <v>0</v>
      </c>
      <c r="I76" s="22">
        <f>VLOOKUP($C$75,Errichtungskosten,4,0)*VLOOKUP($C$76,Errichtungskosten,4,0)*0.01*VLOOKUP(VLOOKUP($C$76,Errichtungskosten,8,0),ÖkodatenKonstruktionen,10,0)</f>
        <v>0</v>
      </c>
      <c r="J76" s="22">
        <f>VLOOKUP($C$75,Errichtungskosten,4,0)*VLOOKUP($C$76,Errichtungskosten,4,0)*0.01*VLOOKUP(VLOOKUP($C$76,Errichtungskosten,8,0),ÖkodatenKonstruktionen,11,0)</f>
        <v>0</v>
      </c>
      <c r="K76" s="22">
        <f>VLOOKUP($C$75,Errichtungskosten,4,0)*VLOOKUP($C$76,Errichtungskosten,4,0)*0.01*VLOOKUP(VLOOKUP($C$76,Errichtungskosten,8,0),ÖkodatenKonstruktionen,12,0)</f>
        <v>0</v>
      </c>
      <c r="L76" s="22">
        <f>VLOOKUP($C$75,Errichtungskosten,4,0)*VLOOKUP($C$76,Errichtungskosten,4,0)*0.01*VLOOKUP(VLOOKUP($C$76,Errichtungskosten,8,0),ÖkodatenKonstruktionen,13,0)</f>
        <v>0</v>
      </c>
      <c r="M76" s="410" t="str">
        <f>VLOOKUP(C76,Nutzungsdauern,5,0)</f>
        <v>k.A.</v>
      </c>
      <c r="N76" s="22">
        <f t="shared" ref="N76:N77" si="104">IF($M76&lt;&gt;"k.A.",(ROUNDDOWN($O$2/$M76,0)+1)*G76,0)</f>
        <v>0</v>
      </c>
      <c r="O76" s="22">
        <f t="shared" ref="O76:O77" si="105">IF($M76&lt;&gt;"k.A.",(ROUNDDOWN($O$2/$M76,0)+1)*H76,0)</f>
        <v>0</v>
      </c>
      <c r="P76" s="22">
        <f t="shared" ref="P76:P77" si="106">IF($M76&lt;&gt;"k.A.",(ROUNDDOWN($O$2/$M76,0)+1)*I76,0)</f>
        <v>0</v>
      </c>
      <c r="Q76" s="22">
        <f t="shared" ref="Q76:Q77" si="107">IF($M76&lt;&gt;"k.A.",(ROUNDDOWN($O$2/$M76,0)+1)*J76,0)</f>
        <v>0</v>
      </c>
      <c r="R76" s="22">
        <f t="shared" ref="R76:R77" si="108">IF($M76&lt;&gt;"k.A.",(ROUNDDOWN($O$2/$M76,0)+1)*K76,0)</f>
        <v>0</v>
      </c>
    </row>
    <row r="77" spans="1:18" ht="15" customHeight="1">
      <c r="A77" s="404"/>
      <c r="B77" s="405"/>
      <c r="C77" s="205" t="s">
        <v>1877</v>
      </c>
      <c r="D77" s="206" t="s">
        <v>1483</v>
      </c>
      <c r="E77" s="205"/>
      <c r="F77" s="406"/>
      <c r="G77" s="22">
        <f>VLOOKUP($C$75,Errichtungskosten,4,0)*VLOOKUP($C$77,Errichtungskosten,4,0)*0.01*VLOOKUP(VLOOKUP($C$77,Errichtungskosten,8,0),ÖkodatenKonstruktionen,8,0)</f>
        <v>0</v>
      </c>
      <c r="H77" s="22">
        <f>VLOOKUP($C$75,Errichtungskosten,4,0)*VLOOKUP($C$77,Errichtungskosten,4,0)*0.01*VLOOKUP(VLOOKUP($C$77,Errichtungskosten,8,0),ÖkodatenKonstruktionen,9,0)</f>
        <v>0</v>
      </c>
      <c r="I77" s="22">
        <f>VLOOKUP($C$75,Errichtungskosten,4,0)*VLOOKUP($C$77,Errichtungskosten,4,0)*0.01*VLOOKUP(VLOOKUP($C$77,Errichtungskosten,8,0),ÖkodatenKonstruktionen,10,0)</f>
        <v>0</v>
      </c>
      <c r="J77" s="22">
        <f>VLOOKUP($C$75,Errichtungskosten,4,0)*VLOOKUP($C$77,Errichtungskosten,4,0)*0.01*VLOOKUP(VLOOKUP($C$77,Errichtungskosten,8,0),ÖkodatenKonstruktionen,11,0)</f>
        <v>0</v>
      </c>
      <c r="K77" s="22">
        <f>VLOOKUP($C$75,Errichtungskosten,4,0)*VLOOKUP($C$77,Errichtungskosten,4,0)*0.01*VLOOKUP(VLOOKUP($C$77,Errichtungskosten,8,0),ÖkodatenKonstruktionen,12,0)</f>
        <v>0</v>
      </c>
      <c r="L77" s="22">
        <f>VLOOKUP($C$75,Errichtungskosten,4,0)*VLOOKUP($C$77,Errichtungskosten,4,0)*0.01*VLOOKUP(VLOOKUP($C$77,Errichtungskosten,8,0),ÖkodatenKonstruktionen,13,0)</f>
        <v>0</v>
      </c>
      <c r="M77" s="410" t="str">
        <f>VLOOKUP(C77,Nutzungsdauern,5,0)</f>
        <v>k.A.</v>
      </c>
      <c r="N77" s="22">
        <f t="shared" si="104"/>
        <v>0</v>
      </c>
      <c r="O77" s="22">
        <f t="shared" si="105"/>
        <v>0</v>
      </c>
      <c r="P77" s="22">
        <f t="shared" si="106"/>
        <v>0</v>
      </c>
      <c r="Q77" s="22">
        <f t="shared" si="107"/>
        <v>0</v>
      </c>
      <c r="R77" s="22">
        <f t="shared" si="108"/>
        <v>0</v>
      </c>
    </row>
    <row r="78" spans="1:18" ht="15" customHeight="1">
      <c r="A78" s="7">
        <v>10400</v>
      </c>
      <c r="B78" s="10" t="s">
        <v>743</v>
      </c>
      <c r="C78" s="8" t="s">
        <v>167</v>
      </c>
      <c r="D78" s="8" t="s">
        <v>166</v>
      </c>
      <c r="E78" s="8"/>
      <c r="F78" s="18"/>
      <c r="G78" s="403"/>
      <c r="H78" s="403"/>
      <c r="I78" s="403"/>
      <c r="J78" s="403"/>
      <c r="K78" s="403"/>
      <c r="L78" s="403"/>
      <c r="M78" s="403"/>
      <c r="N78" s="403"/>
      <c r="O78" s="403"/>
      <c r="P78" s="403"/>
      <c r="Q78" s="403"/>
      <c r="R78" s="403"/>
    </row>
    <row r="79" spans="1:18" ht="15" customHeight="1">
      <c r="A79" s="404">
        <v>10500</v>
      </c>
      <c r="B79" s="405" t="s">
        <v>728</v>
      </c>
      <c r="C79" s="205" t="s">
        <v>165</v>
      </c>
      <c r="D79" s="205" t="s">
        <v>164</v>
      </c>
      <c r="E79" s="205"/>
      <c r="F79" s="406"/>
      <c r="I79" s="179"/>
      <c r="J79" s="179"/>
      <c r="K79" s="179"/>
      <c r="L79" s="179"/>
    </row>
    <row r="80" spans="1:18" ht="15" customHeight="1">
      <c r="A80" s="404"/>
      <c r="B80" s="405"/>
      <c r="C80" s="205" t="s">
        <v>1802</v>
      </c>
      <c r="D80" s="206" t="s">
        <v>1809</v>
      </c>
      <c r="E80" s="205"/>
      <c r="F80" s="406"/>
      <c r="G80" s="22">
        <f>VLOOKUP($C$80,Errichtungskosten,4,0)*VLOOKUP(VLOOKUP($C$80,Errichtungskosten,8,0),ÖkodatenKonstruktionen,8,0)</f>
        <v>0</v>
      </c>
      <c r="H80" s="22">
        <f>VLOOKUP($C$80,Errichtungskosten,4,0)*VLOOKUP(VLOOKUP($C$80,Errichtungskosten,8,0),ÖkodatenKonstruktionen,9,0)</f>
        <v>0</v>
      </c>
      <c r="I80" s="22">
        <f>VLOOKUP($C$80,Errichtungskosten,4,0)*VLOOKUP(VLOOKUP($C$80,Errichtungskosten,8,0),ÖkodatenKonstruktionen,10,0)</f>
        <v>0</v>
      </c>
      <c r="J80" s="22">
        <f>VLOOKUP($C$80,Errichtungskosten,4,0)*VLOOKUP(VLOOKUP($C$80,Errichtungskosten,8,0),ÖkodatenKonstruktionen,11,0)</f>
        <v>0</v>
      </c>
      <c r="K80" s="22">
        <f>VLOOKUP($C$80,Errichtungskosten,4,0)*VLOOKUP(VLOOKUP($C$80,Errichtungskosten,8,0),ÖkodatenKonstruktionen,12,0)</f>
        <v>0</v>
      </c>
      <c r="L80" s="22">
        <f>VLOOKUP($C$80,Errichtungskosten,4,0)*VLOOKUP(VLOOKUP($C$80,Errichtungskosten,8,0),ÖkodatenKonstruktionen,13,0)</f>
        <v>0</v>
      </c>
      <c r="M80" s="410" t="str">
        <f>VLOOKUP(C80,Nutzungsdauern,5,0)</f>
        <v>k.A.</v>
      </c>
      <c r="N80" s="22">
        <f t="shared" ref="N80:N82" si="109">IF($M80&lt;&gt;"k.A.",(ROUNDDOWN($O$2/$M80,0)+1)*G80,0)</f>
        <v>0</v>
      </c>
      <c r="O80" s="22">
        <f t="shared" ref="O80:O82" si="110">IF($M80&lt;&gt;"k.A.",(ROUNDDOWN($O$2/$M80,0)+1)*H80,0)</f>
        <v>0</v>
      </c>
      <c r="P80" s="22">
        <f t="shared" ref="P80:P82" si="111">IF($M80&lt;&gt;"k.A.",(ROUNDDOWN($O$2/$M80,0)+1)*I80,0)</f>
        <v>0</v>
      </c>
      <c r="Q80" s="22">
        <f t="shared" ref="Q80:Q82" si="112">IF($M80&lt;&gt;"k.A.",(ROUNDDOWN($O$2/$M80,0)+1)*J80,0)</f>
        <v>0</v>
      </c>
      <c r="R80" s="22">
        <f t="shared" ref="R80:R82" si="113">IF($M80&lt;&gt;"k.A.",(ROUNDDOWN($O$2/$M80,0)+1)*K80,0)</f>
        <v>0</v>
      </c>
    </row>
    <row r="81" spans="1:20" ht="15" customHeight="1">
      <c r="A81" s="404"/>
      <c r="B81" s="405"/>
      <c r="C81" s="205" t="s">
        <v>1803</v>
      </c>
      <c r="D81" s="206" t="s">
        <v>1810</v>
      </c>
      <c r="E81" s="205"/>
      <c r="F81" s="406"/>
      <c r="G81" s="22">
        <f>VLOOKUP($C$81,Errichtungskosten,4,0)*VLOOKUP(VLOOKUP($C$81,Errichtungskosten,8,0),ÖkodatenKonstruktionen,8,0)</f>
        <v>0</v>
      </c>
      <c r="H81" s="22">
        <f>VLOOKUP($C$81,Errichtungskosten,4,0)*VLOOKUP(VLOOKUP($C$81,Errichtungskosten,8,0),ÖkodatenKonstruktionen,9,0)</f>
        <v>0</v>
      </c>
      <c r="I81" s="22">
        <f>VLOOKUP($C$81,Errichtungskosten,4,0)*VLOOKUP(VLOOKUP($C$81,Errichtungskosten,8,0),ÖkodatenKonstruktionen,10,0)</f>
        <v>0</v>
      </c>
      <c r="J81" s="22">
        <f>VLOOKUP($C$81,Errichtungskosten,4,0)*VLOOKUP(VLOOKUP($C$81,Errichtungskosten,8,0),ÖkodatenKonstruktionen,11,0)</f>
        <v>0</v>
      </c>
      <c r="K81" s="22">
        <f>VLOOKUP($C$81,Errichtungskosten,4,0)*VLOOKUP(VLOOKUP($C$81,Errichtungskosten,8,0),ÖkodatenKonstruktionen,12,0)</f>
        <v>0</v>
      </c>
      <c r="L81" s="22">
        <f>VLOOKUP($C$81,Errichtungskosten,4,0)*VLOOKUP(VLOOKUP($C$81,Errichtungskosten,8,0),ÖkodatenKonstruktionen,13,0)</f>
        <v>0</v>
      </c>
      <c r="M81" s="410" t="str">
        <f>VLOOKUP(C81,Nutzungsdauern,5,0)</f>
        <v>k.A.</v>
      </c>
      <c r="N81" s="22">
        <f t="shared" si="109"/>
        <v>0</v>
      </c>
      <c r="O81" s="22">
        <f t="shared" si="110"/>
        <v>0</v>
      </c>
      <c r="P81" s="22">
        <f t="shared" si="111"/>
        <v>0</v>
      </c>
      <c r="Q81" s="22">
        <f t="shared" si="112"/>
        <v>0</v>
      </c>
      <c r="R81" s="22">
        <f t="shared" si="113"/>
        <v>0</v>
      </c>
    </row>
    <row r="82" spans="1:20" ht="15" customHeight="1">
      <c r="A82" s="404"/>
      <c r="B82" s="405"/>
      <c r="C82" s="205" t="s">
        <v>1804</v>
      </c>
      <c r="D82" s="206" t="s">
        <v>1811</v>
      </c>
      <c r="E82" s="205"/>
      <c r="F82" s="406"/>
      <c r="G82" s="22">
        <f>VLOOKUP($C$82,Errichtungskosten,4,0)*VLOOKUP(VLOOKUP($C$82,Errichtungskosten,8,0),ÖkodatenKonstruktionen,8,0)</f>
        <v>0</v>
      </c>
      <c r="H82" s="22">
        <f>VLOOKUP($C$82,Errichtungskosten,4,0)*VLOOKUP(VLOOKUP($C$82,Errichtungskosten,8,0),ÖkodatenKonstruktionen,9,0)</f>
        <v>0</v>
      </c>
      <c r="I82" s="22">
        <f>VLOOKUP($C$82,Errichtungskosten,4,0)*VLOOKUP(VLOOKUP($C$82,Errichtungskosten,8,0),ÖkodatenKonstruktionen,10,0)</f>
        <v>0</v>
      </c>
      <c r="J82" s="22">
        <f>VLOOKUP($C$82,Errichtungskosten,4,0)*VLOOKUP(VLOOKUP($C$82,Errichtungskosten,8,0),ÖkodatenKonstruktionen,11,0)</f>
        <v>0</v>
      </c>
      <c r="K82" s="22">
        <f>VLOOKUP($C$82,Errichtungskosten,4,0)*VLOOKUP(VLOOKUP($C$82,Errichtungskosten,8,0),ÖkodatenKonstruktionen,12,0)</f>
        <v>0</v>
      </c>
      <c r="L82" s="22">
        <f>VLOOKUP($C$82,Errichtungskosten,4,0)*VLOOKUP(VLOOKUP($C$82,Errichtungskosten,8,0),ÖkodatenKonstruktionen,13,0)</f>
        <v>0</v>
      </c>
      <c r="M82" s="410" t="str">
        <f>VLOOKUP(C82,Nutzungsdauern,5,0)</f>
        <v>k.A.</v>
      </c>
      <c r="N82" s="22">
        <f t="shared" si="109"/>
        <v>0</v>
      </c>
      <c r="O82" s="22">
        <f t="shared" si="110"/>
        <v>0</v>
      </c>
      <c r="P82" s="22">
        <f t="shared" si="111"/>
        <v>0</v>
      </c>
      <c r="Q82" s="22">
        <f t="shared" si="112"/>
        <v>0</v>
      </c>
      <c r="R82" s="22">
        <f t="shared" si="113"/>
        <v>0</v>
      </c>
    </row>
    <row r="83" spans="1:20" ht="15" customHeight="1">
      <c r="A83" s="404">
        <v>10600</v>
      </c>
      <c r="B83" s="405" t="s">
        <v>728</v>
      </c>
      <c r="C83" s="205" t="s">
        <v>163</v>
      </c>
      <c r="D83" s="205" t="s">
        <v>162</v>
      </c>
      <c r="E83" s="205"/>
      <c r="F83" s="406"/>
      <c r="I83" s="179"/>
      <c r="J83" s="179"/>
      <c r="K83" s="179"/>
      <c r="L83" s="179"/>
    </row>
    <row r="84" spans="1:20" ht="15" customHeight="1">
      <c r="A84" s="404"/>
      <c r="B84" s="405"/>
      <c r="C84" s="205" t="s">
        <v>1807</v>
      </c>
      <c r="D84" s="206" t="s">
        <v>1805</v>
      </c>
      <c r="E84" s="205"/>
      <c r="F84" s="406"/>
      <c r="G84" s="22">
        <f>VLOOKUP($C$84,Errichtungskosten,4,0)*VLOOKUP(VLOOKUP($C$84,Errichtungskosten,8,0),ÖkodatenKonstruktionen,8,0)</f>
        <v>0</v>
      </c>
      <c r="H84" s="22">
        <f>VLOOKUP($C$84,Errichtungskosten,4,0)*VLOOKUP(VLOOKUP($C$84,Errichtungskosten,8,0),ÖkodatenKonstruktionen,9,0)</f>
        <v>0</v>
      </c>
      <c r="I84" s="22">
        <f>VLOOKUP($C$84,Errichtungskosten,4,0)*VLOOKUP(VLOOKUP($C$84,Errichtungskosten,8,0),ÖkodatenKonstruktionen,10,0)</f>
        <v>0</v>
      </c>
      <c r="J84" s="22">
        <f>VLOOKUP($C$84,Errichtungskosten,4,0)*VLOOKUP(VLOOKUP($C$84,Errichtungskosten,8,0),ÖkodatenKonstruktionen,11,0)</f>
        <v>0</v>
      </c>
      <c r="K84" s="22">
        <f>VLOOKUP($C$84,Errichtungskosten,4,0)*VLOOKUP(VLOOKUP($C$84,Errichtungskosten,8,0),ÖkodatenKonstruktionen,12,0)</f>
        <v>0</v>
      </c>
      <c r="L84" s="22">
        <f>VLOOKUP($C$84,Errichtungskosten,4,0)*VLOOKUP(VLOOKUP($C$84,Errichtungskosten,8,0),ÖkodatenKonstruktionen,13,0)</f>
        <v>0</v>
      </c>
      <c r="M84" s="410" t="str">
        <f>VLOOKUP(C84,Nutzungsdauern,5,0)</f>
        <v>k.A.</v>
      </c>
      <c r="N84" s="22">
        <f t="shared" ref="N84:N85" si="114">IF($M84&lt;&gt;"k.A.",(ROUNDDOWN($O$2/$M84,0)+1)*G84,0)</f>
        <v>0</v>
      </c>
      <c r="O84" s="22">
        <f t="shared" ref="O84:O85" si="115">IF($M84&lt;&gt;"k.A.",(ROUNDDOWN($O$2/$M84,0)+1)*H84,0)</f>
        <v>0</v>
      </c>
      <c r="P84" s="22">
        <f t="shared" ref="P84:P85" si="116">IF($M84&lt;&gt;"k.A.",(ROUNDDOWN($O$2/$M84,0)+1)*I84,0)</f>
        <v>0</v>
      </c>
      <c r="Q84" s="22">
        <f t="shared" ref="Q84:Q85" si="117">IF($M84&lt;&gt;"k.A.",(ROUNDDOWN($O$2/$M84,0)+1)*J84,0)</f>
        <v>0</v>
      </c>
      <c r="R84" s="22">
        <f t="shared" ref="R84:R85" si="118">IF($M84&lt;&gt;"k.A.",(ROUNDDOWN($O$2/$M84,0)+1)*K84,0)</f>
        <v>0</v>
      </c>
    </row>
    <row r="85" spans="1:20" ht="15" customHeight="1">
      <c r="A85" s="404"/>
      <c r="B85" s="405"/>
      <c r="C85" s="205" t="s">
        <v>1808</v>
      </c>
      <c r="D85" s="206" t="s">
        <v>1806</v>
      </c>
      <c r="E85" s="205"/>
      <c r="F85" s="406"/>
      <c r="G85" s="22">
        <f>VLOOKUP($C$85,Errichtungskosten,4,0)*VLOOKUP(VLOOKUP($C$85,Errichtungskosten,8,0),ÖkodatenKonstruktionen,8,0)</f>
        <v>0</v>
      </c>
      <c r="H85" s="22">
        <f>VLOOKUP($C$85,Errichtungskosten,4,0)*VLOOKUP(VLOOKUP($C$85,Errichtungskosten,8,0),ÖkodatenKonstruktionen,9,0)</f>
        <v>0</v>
      </c>
      <c r="I85" s="22">
        <f>VLOOKUP($C$85,Errichtungskosten,4,0)*VLOOKUP(VLOOKUP($C$85,Errichtungskosten,8,0),ÖkodatenKonstruktionen,10,0)</f>
        <v>0</v>
      </c>
      <c r="J85" s="22">
        <f>VLOOKUP($C$85,Errichtungskosten,4,0)*VLOOKUP(VLOOKUP($C$85,Errichtungskosten,8,0),ÖkodatenKonstruktionen,11,0)</f>
        <v>0</v>
      </c>
      <c r="K85" s="22">
        <f>VLOOKUP($C$85,Errichtungskosten,4,0)*VLOOKUP(VLOOKUP($C$85,Errichtungskosten,8,0),ÖkodatenKonstruktionen,12,0)</f>
        <v>0</v>
      </c>
      <c r="L85" s="22">
        <f>VLOOKUP($C$85,Errichtungskosten,4,0)*VLOOKUP(VLOOKUP($C$85,Errichtungskosten,8,0),ÖkodatenKonstruktionen,13,0)</f>
        <v>0</v>
      </c>
      <c r="M85" s="410" t="str">
        <f>VLOOKUP(C85,Nutzungsdauern,5,0)</f>
        <v>k.A.</v>
      </c>
      <c r="N85" s="22">
        <f t="shared" si="114"/>
        <v>0</v>
      </c>
      <c r="O85" s="22">
        <f t="shared" si="115"/>
        <v>0</v>
      </c>
      <c r="P85" s="22">
        <f t="shared" si="116"/>
        <v>0</v>
      </c>
      <c r="Q85" s="22">
        <f t="shared" si="117"/>
        <v>0</v>
      </c>
      <c r="R85" s="22">
        <f t="shared" si="118"/>
        <v>0</v>
      </c>
    </row>
    <row r="86" spans="1:20" ht="15" customHeight="1">
      <c r="A86" s="404">
        <v>10700</v>
      </c>
      <c r="B86" s="405" t="s">
        <v>728</v>
      </c>
      <c r="C86" s="205" t="s">
        <v>160</v>
      </c>
      <c r="D86" s="205" t="s">
        <v>159</v>
      </c>
      <c r="E86" s="205"/>
      <c r="F86" s="406"/>
      <c r="I86" s="179"/>
      <c r="J86" s="179"/>
      <c r="K86" s="179"/>
      <c r="L86" s="179"/>
    </row>
    <row r="87" spans="1:20" ht="15" customHeight="1">
      <c r="A87" s="404"/>
      <c r="B87" s="405"/>
      <c r="C87" s="205" t="s">
        <v>1878</v>
      </c>
      <c r="D87" s="206" t="s">
        <v>1615</v>
      </c>
      <c r="E87" s="205"/>
      <c r="F87" s="406"/>
      <c r="G87" s="22">
        <f>VLOOKUP($C$87,Errichtungskosten,4,0)*VLOOKUP(VLOOKUP($C$87,Errichtungskosten,8,0),ÖkodatenKonstruktionen,8,0)</f>
        <v>0</v>
      </c>
      <c r="H87" s="22">
        <f>VLOOKUP($C$87,Errichtungskosten,4,0)*VLOOKUP(VLOOKUP($C$87,Errichtungskosten,8,0),ÖkodatenKonstruktionen,9,0)</f>
        <v>0</v>
      </c>
      <c r="I87" s="22">
        <f>VLOOKUP($C$87,Errichtungskosten,4,0)*VLOOKUP(VLOOKUP($C$87,Errichtungskosten,8,0),ÖkodatenKonstruktionen,10,0)</f>
        <v>0</v>
      </c>
      <c r="J87" s="22">
        <f>VLOOKUP($C$87,Errichtungskosten,4,0)*VLOOKUP(VLOOKUP($C$87,Errichtungskosten,8,0),ÖkodatenKonstruktionen,11,0)</f>
        <v>0</v>
      </c>
      <c r="K87" s="22">
        <f>VLOOKUP($C$87,Errichtungskosten,4,0)*VLOOKUP(VLOOKUP($C$87,Errichtungskosten,8,0),ÖkodatenKonstruktionen,12,0)</f>
        <v>0</v>
      </c>
      <c r="L87" s="22">
        <f>VLOOKUP($C$87,Errichtungskosten,4,0)*VLOOKUP(VLOOKUP($C$87,Errichtungskosten,8,0),ÖkodatenKonstruktionen,13,0)</f>
        <v>0</v>
      </c>
      <c r="M87" s="410" t="str">
        <f>VLOOKUP(C87,Nutzungsdauern,5,0)</f>
        <v>k.A.</v>
      </c>
      <c r="N87" s="22">
        <f t="shared" ref="N87:N89" si="119">IF($M87&lt;&gt;"k.A.",(ROUNDDOWN($O$2/$M87,0)+1)*G87,0)</f>
        <v>0</v>
      </c>
      <c r="O87" s="22">
        <f t="shared" ref="O87:O89" si="120">IF($M87&lt;&gt;"k.A.",(ROUNDDOWN($O$2/$M87,0)+1)*H87,0)</f>
        <v>0</v>
      </c>
      <c r="P87" s="22">
        <f t="shared" ref="P87:P89" si="121">IF($M87&lt;&gt;"k.A.",(ROUNDDOWN($O$2/$M87,0)+1)*I87,0)</f>
        <v>0</v>
      </c>
      <c r="Q87" s="22">
        <f t="shared" ref="Q87:Q89" si="122">IF($M87&lt;&gt;"k.A.",(ROUNDDOWN($O$2/$M87,0)+1)*J87,0)</f>
        <v>0</v>
      </c>
      <c r="R87" s="22">
        <f t="shared" ref="R87:R89" si="123">IF($M87&lt;&gt;"k.A.",(ROUNDDOWN($O$2/$M87,0)+1)*K87,0)</f>
        <v>0</v>
      </c>
    </row>
    <row r="88" spans="1:20" ht="15" customHeight="1">
      <c r="A88" s="404"/>
      <c r="B88" s="405"/>
      <c r="C88" s="205" t="s">
        <v>1879</v>
      </c>
      <c r="D88" s="206" t="s">
        <v>1616</v>
      </c>
      <c r="E88" s="205"/>
      <c r="F88" s="406"/>
      <c r="G88" s="22">
        <f>VLOOKUP($C$88,Errichtungskosten,4,0)*VLOOKUP(VLOOKUP($C$88,Errichtungskosten,8,0),ÖkodatenKonstruktionen,8,0)</f>
        <v>0</v>
      </c>
      <c r="H88" s="22">
        <f>VLOOKUP($C$88,Errichtungskosten,4,0)*VLOOKUP(VLOOKUP($C$88,Errichtungskosten,8,0),ÖkodatenKonstruktionen,9,0)</f>
        <v>0</v>
      </c>
      <c r="I88" s="22">
        <f>VLOOKUP($C$88,Errichtungskosten,4,0)*VLOOKUP(VLOOKUP($C$88,Errichtungskosten,8,0),ÖkodatenKonstruktionen,10,0)</f>
        <v>0</v>
      </c>
      <c r="J88" s="22">
        <f>VLOOKUP($C$88,Errichtungskosten,4,0)*VLOOKUP(VLOOKUP($C$88,Errichtungskosten,8,0),ÖkodatenKonstruktionen,11,0)</f>
        <v>0</v>
      </c>
      <c r="K88" s="22">
        <f>VLOOKUP($C$88,Errichtungskosten,4,0)*VLOOKUP(VLOOKUP($C$88,Errichtungskosten,8,0),ÖkodatenKonstruktionen,12,0)</f>
        <v>0</v>
      </c>
      <c r="L88" s="22">
        <f>VLOOKUP($C$88,Errichtungskosten,4,0)*VLOOKUP(VLOOKUP($C$88,Errichtungskosten,8,0),ÖkodatenKonstruktionen,13,0)</f>
        <v>0</v>
      </c>
      <c r="M88" s="410" t="str">
        <f>VLOOKUP(C88,Nutzungsdauern,5,0)</f>
        <v>k.A.</v>
      </c>
      <c r="N88" s="22">
        <f t="shared" si="119"/>
        <v>0</v>
      </c>
      <c r="O88" s="22">
        <f t="shared" si="120"/>
        <v>0</v>
      </c>
      <c r="P88" s="22">
        <f t="shared" si="121"/>
        <v>0</v>
      </c>
      <c r="Q88" s="22">
        <f t="shared" si="122"/>
        <v>0</v>
      </c>
      <c r="R88" s="22">
        <f t="shared" si="123"/>
        <v>0</v>
      </c>
    </row>
    <row r="89" spans="1:20" ht="15" customHeight="1">
      <c r="A89" s="404"/>
      <c r="B89" s="405"/>
      <c r="C89" s="205" t="s">
        <v>1880</v>
      </c>
      <c r="D89" s="206" t="s">
        <v>1617</v>
      </c>
      <c r="E89" s="205"/>
      <c r="F89" s="406"/>
      <c r="G89" s="22">
        <f>VLOOKUP($C$89,Errichtungskosten,4,0)*VLOOKUP(VLOOKUP($C$89,Errichtungskosten,8,0),ÖkodatenKonstruktionen,8,0)</f>
        <v>0</v>
      </c>
      <c r="H89" s="22">
        <f>VLOOKUP($C$89,Errichtungskosten,4,0)*VLOOKUP(VLOOKUP($C$89,Errichtungskosten,8,0),ÖkodatenKonstruktionen,9,0)</f>
        <v>0</v>
      </c>
      <c r="I89" s="22">
        <f>VLOOKUP($C$89,Errichtungskosten,4,0)*VLOOKUP(VLOOKUP($C$89,Errichtungskosten,8,0),ÖkodatenKonstruktionen,10,0)</f>
        <v>0</v>
      </c>
      <c r="J89" s="22">
        <f>VLOOKUP($C$89,Errichtungskosten,4,0)*VLOOKUP(VLOOKUP($C$89,Errichtungskosten,8,0),ÖkodatenKonstruktionen,11,0)</f>
        <v>0</v>
      </c>
      <c r="K89" s="22">
        <f>VLOOKUP($C$89,Errichtungskosten,4,0)*VLOOKUP(VLOOKUP($C$89,Errichtungskosten,8,0),ÖkodatenKonstruktionen,12,0)</f>
        <v>0</v>
      </c>
      <c r="L89" s="22">
        <f>VLOOKUP($C$89,Errichtungskosten,4,0)*VLOOKUP(VLOOKUP($C$89,Errichtungskosten,8,0),ÖkodatenKonstruktionen,13,0)</f>
        <v>0</v>
      </c>
      <c r="M89" s="410" t="str">
        <f>VLOOKUP(C89,Nutzungsdauern,5,0)</f>
        <v>k.A.</v>
      </c>
      <c r="N89" s="22">
        <f t="shared" si="119"/>
        <v>0</v>
      </c>
      <c r="O89" s="22">
        <f t="shared" si="120"/>
        <v>0</v>
      </c>
      <c r="P89" s="22">
        <f t="shared" si="121"/>
        <v>0</v>
      </c>
      <c r="Q89" s="22">
        <f t="shared" si="122"/>
        <v>0</v>
      </c>
      <c r="R89" s="22">
        <f t="shared" si="123"/>
        <v>0</v>
      </c>
    </row>
    <row r="90" spans="1:20" ht="15" customHeight="1">
      <c r="A90" s="404">
        <v>10800</v>
      </c>
      <c r="B90" s="405" t="s">
        <v>728</v>
      </c>
      <c r="C90" s="205" t="s">
        <v>157</v>
      </c>
      <c r="D90" s="205" t="s">
        <v>156</v>
      </c>
      <c r="E90" s="205"/>
      <c r="F90" s="406"/>
      <c r="I90" s="179"/>
      <c r="J90" s="179"/>
      <c r="K90" s="179"/>
      <c r="L90" s="179"/>
    </row>
    <row r="91" spans="1:20" ht="15" customHeight="1">
      <c r="A91" s="413"/>
      <c r="B91" s="414"/>
      <c r="C91" s="205" t="s">
        <v>2719</v>
      </c>
      <c r="D91" s="206" t="s">
        <v>2721</v>
      </c>
      <c r="E91" s="415"/>
      <c r="F91" s="416"/>
      <c r="G91" s="22">
        <f>VLOOKUP($C$91,Errichtungskosten,4,0)*VLOOKUP(VLOOKUP($C$91,Errichtungskosten,8,0),ÖkodatenKonstruktionen,8,0)</f>
        <v>0</v>
      </c>
      <c r="H91" s="22">
        <f>VLOOKUP($C$91,Errichtungskosten,4,0)*VLOOKUP(VLOOKUP($C$91,Errichtungskosten,8,0),ÖkodatenKonstruktionen,9,0)</f>
        <v>0</v>
      </c>
      <c r="I91" s="22">
        <f>VLOOKUP($C$91,Errichtungskosten,4,0)*VLOOKUP(VLOOKUP($C$91,Errichtungskosten,8,0),ÖkodatenKonstruktionen,10,0)</f>
        <v>0</v>
      </c>
      <c r="J91" s="22">
        <f>VLOOKUP($C$91,Errichtungskosten,4,0)*VLOOKUP(VLOOKUP($C$91,Errichtungskosten,8,0),ÖkodatenKonstruktionen,11,0)</f>
        <v>0</v>
      </c>
      <c r="K91" s="22">
        <f>VLOOKUP($C$91,Errichtungskosten,4,0)*VLOOKUP(VLOOKUP($C$91,Errichtungskosten,8,0),ÖkodatenKonstruktionen,12,0)</f>
        <v>0</v>
      </c>
      <c r="L91" s="22">
        <f>VLOOKUP($C$91,Errichtungskosten,4,0)*VLOOKUP(VLOOKUP($C$91,Errichtungskosten,8,0),ÖkodatenKonstruktionen,13,0)</f>
        <v>0</v>
      </c>
      <c r="M91" s="410" t="str">
        <f>VLOOKUP(C91,Nutzungsdauern,5,0)</f>
        <v>k.A.</v>
      </c>
      <c r="N91" s="22">
        <f t="shared" ref="N91:N92" si="124">IF($M91&lt;&gt;"k.A.",(ROUNDDOWN($O$2/$M91,0)+1)*G91,0)</f>
        <v>0</v>
      </c>
      <c r="O91" s="22">
        <f t="shared" ref="O91:O92" si="125">IF($M91&lt;&gt;"k.A.",(ROUNDDOWN($O$2/$M91,0)+1)*H91,0)</f>
        <v>0</v>
      </c>
      <c r="P91" s="22">
        <f t="shared" ref="P91:P92" si="126">IF($M91&lt;&gt;"k.A.",(ROUNDDOWN($O$2/$M91,0)+1)*I91,0)</f>
        <v>0</v>
      </c>
      <c r="Q91" s="22">
        <f t="shared" ref="Q91:Q92" si="127">IF($M91&lt;&gt;"k.A.",(ROUNDDOWN($O$2/$M91,0)+1)*J91,0)</f>
        <v>0</v>
      </c>
      <c r="R91" s="22">
        <f t="shared" ref="R91:R92" si="128">IF($M91&lt;&gt;"k.A.",(ROUNDDOWN($O$2/$M91,0)+1)*K91,0)</f>
        <v>0</v>
      </c>
    </row>
    <row r="92" spans="1:20" ht="15" customHeight="1">
      <c r="A92" s="413"/>
      <c r="B92" s="414"/>
      <c r="C92" s="205" t="s">
        <v>2720</v>
      </c>
      <c r="D92" s="206" t="s">
        <v>2722</v>
      </c>
      <c r="E92" s="415"/>
      <c r="F92" s="416"/>
      <c r="G92" s="22">
        <f>VLOOKUP($C$92,Errichtungskosten,4,0)*VLOOKUP(VLOOKUP($C$92,Errichtungskosten,8,0),ÖkodatenKonstruktionen,8,0)</f>
        <v>0</v>
      </c>
      <c r="H92" s="22">
        <f>VLOOKUP($C$92,Errichtungskosten,4,0)*VLOOKUP(VLOOKUP($C$92,Errichtungskosten,8,0),ÖkodatenKonstruktionen,9,0)</f>
        <v>0</v>
      </c>
      <c r="I92" s="22">
        <f>VLOOKUP($C$92,Errichtungskosten,4,0)*VLOOKUP(VLOOKUP($C$92,Errichtungskosten,8,0),ÖkodatenKonstruktionen,10,0)</f>
        <v>0</v>
      </c>
      <c r="J92" s="22">
        <f>VLOOKUP($C$92,Errichtungskosten,4,0)*VLOOKUP(VLOOKUP($C$92,Errichtungskosten,8,0),ÖkodatenKonstruktionen,11,0)</f>
        <v>0</v>
      </c>
      <c r="K92" s="22">
        <f>VLOOKUP($C$92,Errichtungskosten,4,0)*VLOOKUP(VLOOKUP($C$92,Errichtungskosten,8,0),ÖkodatenKonstruktionen,12,0)</f>
        <v>0</v>
      </c>
      <c r="L92" s="22">
        <f>VLOOKUP($C$92,Errichtungskosten,4,0)*VLOOKUP(VLOOKUP($C$92,Errichtungskosten,8,0),ÖkodatenKonstruktionen,13,0)</f>
        <v>0</v>
      </c>
      <c r="M92" s="410" t="str">
        <f>VLOOKUP(C92,Nutzungsdauern,5,0)</f>
        <v>k.A.</v>
      </c>
      <c r="N92" s="22">
        <f t="shared" si="124"/>
        <v>0</v>
      </c>
      <c r="O92" s="22">
        <f t="shared" si="125"/>
        <v>0</v>
      </c>
      <c r="P92" s="22">
        <f t="shared" si="126"/>
        <v>0</v>
      </c>
      <c r="Q92" s="22">
        <f t="shared" si="127"/>
        <v>0</v>
      </c>
      <c r="R92" s="22">
        <f t="shared" si="128"/>
        <v>0</v>
      </c>
    </row>
    <row r="93" spans="1:20" ht="15" customHeight="1">
      <c r="A93" s="404">
        <v>10900</v>
      </c>
      <c r="B93" s="405" t="s">
        <v>728</v>
      </c>
      <c r="C93" s="205" t="s">
        <v>155</v>
      </c>
      <c r="D93" s="205" t="s">
        <v>154</v>
      </c>
      <c r="E93" s="205"/>
      <c r="F93" s="406"/>
      <c r="G93" s="22">
        <f>VLOOKUP($C$93,Errichtungskosten,4,0)*VLOOKUP(VLOOKUP($C$93,Errichtungskosten,8,0),ÖkodatenKonstruktionen,8,0)</f>
        <v>0</v>
      </c>
      <c r="H93" s="22">
        <f>VLOOKUP($C$93,Errichtungskosten,4,0)*VLOOKUP(VLOOKUP($C$93,Errichtungskosten,8,0),ÖkodatenKonstruktionen,9,0)</f>
        <v>0</v>
      </c>
      <c r="I93" s="22">
        <f>VLOOKUP($C$93,Errichtungskosten,4,0)*VLOOKUP(VLOOKUP($C$93,Errichtungskosten,8,0),ÖkodatenKonstruktionen,10,0)</f>
        <v>0</v>
      </c>
      <c r="J93" s="22">
        <f>VLOOKUP($C$93,Errichtungskosten,4,0)*VLOOKUP(VLOOKUP($C$93,Errichtungskosten,8,0),ÖkodatenKonstruktionen,11,0)</f>
        <v>0</v>
      </c>
      <c r="K93" s="22">
        <f>VLOOKUP($C$93,Errichtungskosten,4,0)*VLOOKUP(VLOOKUP($C$93,Errichtungskosten,8,0),ÖkodatenKonstruktionen,12,0)</f>
        <v>0</v>
      </c>
      <c r="L93" s="22">
        <f>VLOOKUP($C$93,Errichtungskosten,4,0)*VLOOKUP(VLOOKUP($C$93,Errichtungskosten,8,0),ÖkodatenKonstruktionen,13,0)</f>
        <v>0</v>
      </c>
      <c r="M93" s="410" t="str">
        <f>VLOOKUP(C93,Nutzungsdauern,5,0)</f>
        <v>k.A.</v>
      </c>
      <c r="N93" s="22">
        <f t="shared" ref="N93" si="129">IF($M93&lt;&gt;"k.A.",(ROUNDDOWN($O$2/$M93,0)+1)*G93,0)</f>
        <v>0</v>
      </c>
      <c r="O93" s="22">
        <f t="shared" ref="O93" si="130">IF($M93&lt;&gt;"k.A.",(ROUNDDOWN($O$2/$M93,0)+1)*H93,0)</f>
        <v>0</v>
      </c>
      <c r="P93" s="22">
        <f t="shared" ref="P93" si="131">IF($M93&lt;&gt;"k.A.",(ROUNDDOWN($O$2/$M93,0)+1)*I93,0)</f>
        <v>0</v>
      </c>
      <c r="Q93" s="22">
        <f t="shared" ref="Q93" si="132">IF($M93&lt;&gt;"k.A.",(ROUNDDOWN($O$2/$M93,0)+1)*J93,0)</f>
        <v>0</v>
      </c>
      <c r="R93" s="22">
        <f t="shared" ref="R93" si="133">IF($M93&lt;&gt;"k.A.",(ROUNDDOWN($O$2/$M93,0)+1)*K93,0)</f>
        <v>0</v>
      </c>
    </row>
    <row r="94" spans="1:20" ht="15" customHeight="1">
      <c r="A94" s="413"/>
      <c r="B94" s="414"/>
      <c r="C94" s="210" t="s">
        <v>2485</v>
      </c>
      <c r="D94" s="415"/>
      <c r="E94" s="415"/>
      <c r="F94" s="416"/>
      <c r="G94" s="415"/>
      <c r="H94" s="415"/>
      <c r="I94" s="415"/>
      <c r="J94" s="415"/>
      <c r="K94" s="415"/>
      <c r="L94" s="415"/>
      <c r="M94" s="415"/>
      <c r="N94" s="403">
        <f>SUM(N7:N93)</f>
        <v>0</v>
      </c>
      <c r="O94" s="403">
        <f t="shared" ref="O94:R94" si="134">SUM(O7:O93)</f>
        <v>0</v>
      </c>
      <c r="P94" s="403">
        <f t="shared" si="134"/>
        <v>0</v>
      </c>
      <c r="Q94" s="403">
        <f t="shared" si="134"/>
        <v>0</v>
      </c>
      <c r="R94" s="403">
        <f t="shared" si="134"/>
        <v>0</v>
      </c>
      <c r="T94" s="179" t="s">
        <v>1310</v>
      </c>
    </row>
    <row r="95" spans="1:20" ht="15" customHeight="1">
      <c r="A95" s="7"/>
      <c r="B95" s="10"/>
      <c r="C95" s="6" t="s">
        <v>1989</v>
      </c>
      <c r="D95" s="8"/>
      <c r="E95" s="8"/>
      <c r="F95" s="18"/>
      <c r="G95" s="403">
        <f t="shared" ref="G95:R95" si="135">SUM(G7:G93)/1000</f>
        <v>0</v>
      </c>
      <c r="H95" s="403">
        <f t="shared" si="135"/>
        <v>0</v>
      </c>
      <c r="I95" s="403">
        <f t="shared" si="135"/>
        <v>0</v>
      </c>
      <c r="J95" s="403">
        <f t="shared" si="135"/>
        <v>0</v>
      </c>
      <c r="K95" s="403">
        <f t="shared" si="135"/>
        <v>0</v>
      </c>
      <c r="L95" s="403">
        <f t="shared" si="135"/>
        <v>0</v>
      </c>
      <c r="M95" s="403"/>
      <c r="N95" s="403">
        <f t="shared" si="135"/>
        <v>0</v>
      </c>
      <c r="O95" s="403">
        <f t="shared" si="135"/>
        <v>0</v>
      </c>
      <c r="P95" s="403">
        <f t="shared" si="135"/>
        <v>0</v>
      </c>
      <c r="Q95" s="403">
        <f t="shared" si="135"/>
        <v>0</v>
      </c>
      <c r="R95" s="403">
        <f t="shared" si="135"/>
        <v>0</v>
      </c>
      <c r="T95" s="179" t="s">
        <v>1662</v>
      </c>
    </row>
    <row r="96" spans="1:20" ht="15" customHeight="1">
      <c r="C96" s="211" t="s">
        <v>1524</v>
      </c>
      <c r="N96" s="213">
        <f>N94*VLOOKUP(N3,Ökodaten_Entsorgung,6,0)</f>
        <v>0</v>
      </c>
      <c r="O96" s="213">
        <f>O94*VLOOKUP(O3,Ökodaten_Entsorgung,6,0)</f>
        <v>0</v>
      </c>
      <c r="P96" s="213">
        <f>P94*VLOOKUP(P3,Ökodaten_Entsorgung,6,0)</f>
        <v>0</v>
      </c>
      <c r="Q96" s="213">
        <f>Q94*VLOOKUP(Q3,Ökodaten_Entsorgung,6,0)</f>
        <v>0</v>
      </c>
      <c r="R96" s="213">
        <f>R94*VLOOKUP(R3,Ökodaten_Entsorgung,6,0)</f>
        <v>0</v>
      </c>
      <c r="S96" s="212">
        <f>SUM(N96:R96)</f>
        <v>0</v>
      </c>
      <c r="T96" s="179" t="s">
        <v>1311</v>
      </c>
    </row>
    <row r="97" spans="3:20" ht="15" customHeight="1">
      <c r="C97" s="211" t="s">
        <v>1523</v>
      </c>
      <c r="N97" s="213">
        <f>N94*VLOOKUP(N3,Ökodaten_Entsorgung,7,0)</f>
        <v>0</v>
      </c>
      <c r="O97" s="213">
        <f>O94*VLOOKUP(O3,Ökodaten_Entsorgung,7,0)</f>
        <v>0</v>
      </c>
      <c r="P97" s="213">
        <f>P94*VLOOKUP(P3,Ökodaten_Entsorgung,7,0)</f>
        <v>0</v>
      </c>
      <c r="Q97" s="213">
        <f>Q94*VLOOKUP(Q3,Ökodaten_Entsorgung,7,0)</f>
        <v>0</v>
      </c>
      <c r="R97" s="213">
        <f>R94*VLOOKUP(R3,Ökodaten_Entsorgung,7,0)</f>
        <v>0</v>
      </c>
      <c r="S97" s="212">
        <f t="shared" ref="S97:S99" si="136">SUM(N97:R97)</f>
        <v>0</v>
      </c>
      <c r="T97" s="179" t="s">
        <v>1311</v>
      </c>
    </row>
    <row r="98" spans="3:20" ht="15" customHeight="1">
      <c r="C98" s="211" t="s">
        <v>1527</v>
      </c>
      <c r="N98" s="213">
        <f>N94*VLOOKUP(N3,Ökodaten_Entsorgung,8,0)</f>
        <v>0</v>
      </c>
      <c r="O98" s="213">
        <f>O94*VLOOKUP(O3,Ökodaten_Entsorgung,8,0)</f>
        <v>0</v>
      </c>
      <c r="P98" s="213">
        <f>P94*VLOOKUP(P3,Ökodaten_Entsorgung,8,0)</f>
        <v>0</v>
      </c>
      <c r="Q98" s="213">
        <f>Q94*VLOOKUP(Q3,Ökodaten_Entsorgung,8,0)</f>
        <v>0</v>
      </c>
      <c r="R98" s="213">
        <f>R94*VLOOKUP(R3,Ökodaten_Entsorgung,8,0)</f>
        <v>0</v>
      </c>
      <c r="S98" s="212">
        <f t="shared" si="136"/>
        <v>0</v>
      </c>
      <c r="T98" s="179" t="s">
        <v>1311</v>
      </c>
    </row>
    <row r="99" spans="3:20" ht="15" customHeight="1">
      <c r="C99" s="211" t="s">
        <v>1525</v>
      </c>
      <c r="N99" s="213">
        <f>N94*VLOOKUP(N3,Ökodaten_Entsorgung,9,0)</f>
        <v>0</v>
      </c>
      <c r="O99" s="213">
        <f>O94*VLOOKUP(O3,Ökodaten_Entsorgung,9,0)</f>
        <v>0</v>
      </c>
      <c r="P99" s="213">
        <f>P94*VLOOKUP(P3,Ökodaten_Entsorgung,9,0)</f>
        <v>0</v>
      </c>
      <c r="Q99" s="213">
        <f>Q94*VLOOKUP(Q3,Ökodaten_Entsorgung,9,0)</f>
        <v>0</v>
      </c>
      <c r="R99" s="213">
        <f>R94*VLOOKUP(R3,Ökodaten_Entsorgung,9,0)</f>
        <v>0</v>
      </c>
      <c r="S99" s="212">
        <f t="shared" si="136"/>
        <v>0</v>
      </c>
      <c r="T99" s="179" t="s">
        <v>1313</v>
      </c>
    </row>
  </sheetData>
  <pageMargins left="0.7" right="0.7" top="0.78740157499999996" bottom="0.78740157499999996" header="0.3" footer="0.3"/>
  <pageSetup paperSize="8" orientation="landscape" r:id="rId1"/>
</worksheet>
</file>

<file path=xl/worksheets/sheet27.xml><?xml version="1.0" encoding="utf-8"?>
<worksheet xmlns="http://schemas.openxmlformats.org/spreadsheetml/2006/main" xmlns:r="http://schemas.openxmlformats.org/officeDocument/2006/relationships">
  <sheetPr>
    <tabColor rgb="FFFFFF00"/>
  </sheetPr>
  <dimension ref="A1:I7"/>
  <sheetViews>
    <sheetView workbookViewId="0">
      <selection activeCell="B18" sqref="B18"/>
    </sheetView>
  </sheetViews>
  <sheetFormatPr baseColWidth="10" defaultRowHeight="10.5"/>
  <cols>
    <col min="1" max="1" width="12" style="193"/>
    <col min="2" max="2" width="43.83203125" bestFit="1" customWidth="1"/>
    <col min="4" max="4" width="54.83203125" bestFit="1" customWidth="1"/>
  </cols>
  <sheetData>
    <row r="1" spans="1:9" s="19" customFormat="1">
      <c r="B1" s="19" t="s">
        <v>2472</v>
      </c>
      <c r="C1" s="19" t="s">
        <v>2473</v>
      </c>
      <c r="D1" s="19" t="s">
        <v>2474</v>
      </c>
      <c r="E1" s="19" t="s">
        <v>2475</v>
      </c>
      <c r="F1" s="19" t="s">
        <v>1524</v>
      </c>
      <c r="G1" s="19" t="s">
        <v>1523</v>
      </c>
      <c r="H1" s="19" t="s">
        <v>1527</v>
      </c>
      <c r="I1" s="19" t="s">
        <v>2476</v>
      </c>
    </row>
    <row r="2" spans="1:9" s="19" customFormat="1">
      <c r="F2" s="19" t="s">
        <v>1849</v>
      </c>
      <c r="G2" s="19" t="s">
        <v>1849</v>
      </c>
      <c r="H2" s="19" t="s">
        <v>1849</v>
      </c>
      <c r="I2" s="19" t="s">
        <v>1313</v>
      </c>
    </row>
    <row r="3" spans="1:9">
      <c r="A3" s="193" t="s">
        <v>1655</v>
      </c>
      <c r="B3" t="s">
        <v>2477</v>
      </c>
      <c r="E3" t="s">
        <v>1310</v>
      </c>
      <c r="F3">
        <v>0.82265065313372732</v>
      </c>
      <c r="G3">
        <v>0</v>
      </c>
      <c r="H3">
        <v>0.82265065313372732</v>
      </c>
      <c r="I3">
        <v>-15.713572498550107</v>
      </c>
    </row>
    <row r="4" spans="1:9">
      <c r="A4" s="193" t="s">
        <v>2168</v>
      </c>
      <c r="B4" t="s">
        <v>2478</v>
      </c>
      <c r="E4" t="s">
        <v>1310</v>
      </c>
      <c r="F4">
        <v>1.081929983690086</v>
      </c>
      <c r="G4">
        <v>0</v>
      </c>
      <c r="H4">
        <v>1.081929983690086</v>
      </c>
      <c r="I4">
        <v>-42.185516829018731</v>
      </c>
    </row>
    <row r="5" spans="1:9">
      <c r="A5" s="193" t="s">
        <v>1656</v>
      </c>
      <c r="B5" t="s">
        <v>2479</v>
      </c>
      <c r="C5">
        <v>854</v>
      </c>
      <c r="D5" t="s">
        <v>2480</v>
      </c>
      <c r="E5" t="s">
        <v>1310</v>
      </c>
      <c r="F5">
        <v>6.1615135192414398E-2</v>
      </c>
      <c r="G5">
        <v>0</v>
      </c>
      <c r="H5">
        <v>6.1615135192414398E-2</v>
      </c>
      <c r="I5">
        <v>0.89947633203566901</v>
      </c>
    </row>
    <row r="6" spans="1:9">
      <c r="A6" s="193" t="s">
        <v>1653</v>
      </c>
      <c r="B6" t="s">
        <v>2481</v>
      </c>
      <c r="C6">
        <v>857</v>
      </c>
      <c r="D6" t="s">
        <v>2482</v>
      </c>
      <c r="E6" t="s">
        <v>1310</v>
      </c>
      <c r="F6">
        <v>1.6929248695363799E-2</v>
      </c>
      <c r="G6">
        <v>0</v>
      </c>
      <c r="H6">
        <v>1.6929248695363799E-2</v>
      </c>
      <c r="I6">
        <v>0.33330275185462499</v>
      </c>
    </row>
    <row r="7" spans="1:9">
      <c r="A7" s="193" t="s">
        <v>2173</v>
      </c>
      <c r="B7" t="s">
        <v>2483</v>
      </c>
      <c r="C7">
        <v>860</v>
      </c>
      <c r="D7" t="s">
        <v>2484</v>
      </c>
      <c r="E7" t="s">
        <v>1310</v>
      </c>
      <c r="F7">
        <v>1.33028202113783E-2</v>
      </c>
      <c r="G7">
        <v>0</v>
      </c>
      <c r="H7">
        <v>1.33028202113783E-2</v>
      </c>
      <c r="I7">
        <v>0.27764021396502903</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sheetPr codeName="Tabelle11">
    <tabColor theme="9" tint="0.39997558519241921"/>
    <pageSetUpPr fitToPage="1"/>
  </sheetPr>
  <dimension ref="A1:L31"/>
  <sheetViews>
    <sheetView topLeftCell="D1" zoomScaleNormal="100" workbookViewId="0">
      <pane ySplit="1" topLeftCell="A2" activePane="bottomLeft" state="frozen"/>
      <selection activeCell="C23" sqref="C23:M24"/>
      <selection pane="bottomLeft" activeCell="H3" sqref="H3:I3"/>
    </sheetView>
  </sheetViews>
  <sheetFormatPr baseColWidth="10" defaultRowHeight="15" customHeight="1"/>
  <cols>
    <col min="1" max="1" width="6" style="23" hidden="1" customWidth="1"/>
    <col min="2" max="2" width="5.1640625" style="23" hidden="1" customWidth="1"/>
    <col min="3" max="3" width="12.33203125" style="23" hidden="1" customWidth="1"/>
    <col min="4" max="4" width="46.33203125" style="23" bestFit="1" customWidth="1"/>
    <col min="5" max="5" width="10.5" style="23" hidden="1" customWidth="1"/>
    <col min="6" max="6" width="6.6640625" style="23" hidden="1" customWidth="1"/>
    <col min="7" max="7" width="23.83203125" style="23" customWidth="1"/>
    <col min="8" max="8" width="20.83203125" style="23" customWidth="1"/>
    <col min="9" max="9" width="30.83203125" style="23" customWidth="1"/>
    <col min="10" max="10" width="1.83203125" style="23" customWidth="1"/>
    <col min="11" max="11" width="40.83203125" style="23" customWidth="1"/>
    <col min="12" max="12" width="12" style="1" hidden="1" customWidth="1"/>
    <col min="13" max="16384" width="12" style="23"/>
  </cols>
  <sheetData>
    <row r="1" spans="1:12" ht="15" customHeight="1">
      <c r="A1" s="26" t="s">
        <v>2560</v>
      </c>
      <c r="B1" s="26"/>
      <c r="C1" s="26" t="s">
        <v>2</v>
      </c>
      <c r="D1" s="26" t="s">
        <v>66</v>
      </c>
      <c r="E1" s="26" t="s">
        <v>89</v>
      </c>
      <c r="F1" s="26" t="s">
        <v>90</v>
      </c>
      <c r="G1" s="26" t="s">
        <v>1207</v>
      </c>
      <c r="H1" s="26" t="s">
        <v>1206</v>
      </c>
      <c r="I1" s="26" t="s">
        <v>1484</v>
      </c>
      <c r="K1" s="567" t="s">
        <v>2770</v>
      </c>
      <c r="L1" s="23"/>
    </row>
    <row r="2" spans="1:12" ht="15" customHeight="1" thickBot="1">
      <c r="A2" s="27"/>
      <c r="B2" s="27"/>
      <c r="C2" s="27"/>
      <c r="D2" s="27" t="s">
        <v>1045</v>
      </c>
      <c r="E2" s="27"/>
      <c r="F2" s="27"/>
      <c r="G2" s="27"/>
      <c r="H2" s="27"/>
      <c r="I2" s="27"/>
      <c r="K2" s="27"/>
      <c r="L2" s="23"/>
    </row>
    <row r="3" spans="1:12" ht="15" customHeight="1" thickBot="1">
      <c r="A3" s="28">
        <v>200</v>
      </c>
      <c r="B3" s="28"/>
      <c r="C3" s="28"/>
      <c r="D3" s="28" t="s">
        <v>1037</v>
      </c>
      <c r="E3" s="28"/>
      <c r="F3" s="28"/>
      <c r="G3" s="31"/>
      <c r="H3" s="609"/>
      <c r="I3" s="609"/>
      <c r="K3" s="176"/>
      <c r="L3" s="23"/>
    </row>
    <row r="4" spans="1:12" ht="45" customHeight="1" thickBot="1">
      <c r="A4" s="28">
        <v>300</v>
      </c>
      <c r="B4" s="28"/>
      <c r="C4" s="28"/>
      <c r="D4" s="28" t="s">
        <v>1046</v>
      </c>
      <c r="E4" s="28"/>
      <c r="F4" s="28"/>
      <c r="G4" s="32"/>
      <c r="H4" s="610"/>
      <c r="I4" s="611"/>
      <c r="K4" s="176"/>
      <c r="L4" s="23"/>
    </row>
    <row r="5" spans="1:12" ht="15" customHeight="1" thickBot="1">
      <c r="A5" s="28">
        <v>400</v>
      </c>
      <c r="B5" s="28"/>
      <c r="C5" s="28" t="s">
        <v>2674</v>
      </c>
      <c r="D5" s="28" t="s">
        <v>1242</v>
      </c>
      <c r="E5" s="28"/>
      <c r="F5" s="28"/>
      <c r="G5" s="31" t="str">
        <f>IF(H5="Bitte auswählen","",H5)</f>
        <v/>
      </c>
      <c r="H5" s="609" t="s">
        <v>2071</v>
      </c>
      <c r="I5" s="609"/>
      <c r="K5" s="176"/>
      <c r="L5" s="23"/>
    </row>
    <row r="6" spans="1:12" ht="30" customHeight="1" thickBot="1">
      <c r="A6" s="28">
        <v>500</v>
      </c>
      <c r="B6" s="28"/>
      <c r="C6" s="28"/>
      <c r="D6" s="88" t="s">
        <v>2415</v>
      </c>
      <c r="E6" s="28"/>
      <c r="F6" s="28"/>
      <c r="G6" s="32"/>
      <c r="H6" s="610"/>
      <c r="I6" s="611"/>
      <c r="K6" s="176"/>
      <c r="L6" s="23"/>
    </row>
    <row r="7" spans="1:12" ht="30" customHeight="1" thickBot="1">
      <c r="A7" s="28">
        <v>600</v>
      </c>
      <c r="B7" s="28"/>
      <c r="C7" s="28"/>
      <c r="D7" s="111" t="s">
        <v>2436</v>
      </c>
      <c r="E7" s="28"/>
      <c r="F7" s="28"/>
      <c r="G7" s="32"/>
      <c r="H7" s="612"/>
      <c r="I7" s="612"/>
      <c r="K7" s="176"/>
      <c r="L7" s="23"/>
    </row>
    <row r="8" spans="1:12" ht="30" customHeight="1" thickBot="1">
      <c r="A8" s="28"/>
      <c r="B8" s="28"/>
      <c r="C8" s="28"/>
      <c r="D8" s="111" t="s">
        <v>2437</v>
      </c>
      <c r="E8" s="28"/>
      <c r="F8" s="28"/>
      <c r="G8" s="32"/>
      <c r="H8" s="610"/>
      <c r="I8" s="611"/>
      <c r="K8" s="176"/>
      <c r="L8" s="23"/>
    </row>
    <row r="9" spans="1:12" ht="45" customHeight="1" thickBot="1">
      <c r="A9" s="28"/>
      <c r="B9" s="28"/>
      <c r="C9" s="28"/>
      <c r="D9" s="111" t="s">
        <v>2438</v>
      </c>
      <c r="E9" s="28"/>
      <c r="F9" s="28"/>
      <c r="G9" s="32"/>
      <c r="H9" s="610"/>
      <c r="I9" s="611"/>
      <c r="K9" s="176"/>
      <c r="L9" s="23"/>
    </row>
    <row r="10" spans="1:12" ht="30" customHeight="1" thickBot="1">
      <c r="A10" s="28"/>
      <c r="B10" s="28"/>
      <c r="C10" s="28"/>
      <c r="D10" s="194" t="s">
        <v>2416</v>
      </c>
      <c r="E10" s="28"/>
      <c r="F10" s="28"/>
      <c r="G10" s="32"/>
      <c r="H10" s="610"/>
      <c r="I10" s="611"/>
      <c r="K10" s="176"/>
      <c r="L10" s="23"/>
    </row>
    <row r="11" spans="1:12" s="418" customFormat="1" ht="15" customHeight="1"/>
    <row r="12" spans="1:12" ht="15" customHeight="1" thickBot="1">
      <c r="A12" s="27"/>
      <c r="B12" s="27"/>
      <c r="C12" s="27"/>
      <c r="D12" s="27" t="s">
        <v>1035</v>
      </c>
      <c r="E12" s="27"/>
      <c r="F12" s="27"/>
      <c r="G12" s="27"/>
      <c r="H12" s="27"/>
      <c r="I12" s="27"/>
      <c r="K12" s="27"/>
      <c r="L12" s="23"/>
    </row>
    <row r="13" spans="1:12" ht="15" customHeight="1" thickBot="1">
      <c r="A13" s="28">
        <v>800</v>
      </c>
      <c r="B13" s="28"/>
      <c r="C13" s="28" t="s">
        <v>955</v>
      </c>
      <c r="D13" s="88" t="s">
        <v>2670</v>
      </c>
      <c r="E13" s="28"/>
      <c r="F13" s="28"/>
      <c r="G13" s="485">
        <f>IF(H13="",L13,(IF(H13&lt;100,H13,100)))</f>
        <v>30</v>
      </c>
      <c r="H13" s="25"/>
      <c r="I13" s="59" t="s">
        <v>1036</v>
      </c>
      <c r="K13" s="176"/>
      <c r="L13" s="23">
        <v>30</v>
      </c>
    </row>
    <row r="14" spans="1:12" s="418" customFormat="1" ht="15" customHeight="1" thickBot="1"/>
    <row r="15" spans="1:12" ht="15" customHeight="1" thickTop="1" thickBot="1">
      <c r="A15" s="27"/>
      <c r="B15" s="27"/>
      <c r="C15" s="27"/>
      <c r="D15" s="27" t="s">
        <v>2255</v>
      </c>
      <c r="E15" s="27"/>
      <c r="F15" s="27"/>
      <c r="G15" s="27"/>
      <c r="H15" s="608" t="s">
        <v>2150</v>
      </c>
      <c r="I15" s="608"/>
      <c r="K15" s="27"/>
      <c r="L15" s="23"/>
    </row>
    <row r="16" spans="1:12" ht="15" customHeight="1" thickTop="1" thickBot="1">
      <c r="A16" s="55">
        <v>900</v>
      </c>
      <c r="B16" s="55"/>
      <c r="C16" s="56" t="s">
        <v>2028</v>
      </c>
      <c r="D16" s="56" t="s">
        <v>2027</v>
      </c>
      <c r="E16" s="56"/>
      <c r="F16" s="56"/>
      <c r="G16" s="31" t="str">
        <f>IF(H16="Bitte auswählen","brutto (inkl. USt.)",H16)</f>
        <v>brutto (inkl. USt.)</v>
      </c>
      <c r="H16" s="33" t="s">
        <v>2071</v>
      </c>
      <c r="I16" s="56"/>
      <c r="K16" s="176"/>
      <c r="L16" s="23"/>
    </row>
    <row r="17" spans="1:12" s="418" customFormat="1" ht="15" customHeight="1"/>
    <row r="18" spans="1:12" ht="15" customHeight="1" thickBot="1">
      <c r="A18" s="27"/>
      <c r="B18" s="27"/>
      <c r="C18" s="27"/>
      <c r="D18" s="27" t="s">
        <v>1261</v>
      </c>
      <c r="E18" s="27"/>
      <c r="F18" s="27"/>
      <c r="G18" s="27"/>
      <c r="H18" s="27"/>
      <c r="I18" s="62"/>
      <c r="K18" s="62"/>
      <c r="L18" s="23"/>
    </row>
    <row r="19" spans="1:12" ht="15" customHeight="1" thickBot="1">
      <c r="A19" s="55">
        <v>1100</v>
      </c>
      <c r="B19" s="55"/>
      <c r="C19" s="56" t="s">
        <v>1828</v>
      </c>
      <c r="D19" s="111" t="s">
        <v>2672</v>
      </c>
      <c r="E19" s="56"/>
      <c r="F19" s="56"/>
      <c r="G19" s="31" t="str">
        <f>IF(H19="Bitte auswählen","",H19)</f>
        <v/>
      </c>
      <c r="H19" s="162" t="s">
        <v>2071</v>
      </c>
      <c r="I19" s="56"/>
      <c r="K19" s="176"/>
      <c r="L19" s="23"/>
    </row>
    <row r="20" spans="1:12" ht="15" customHeight="1" thickBot="1">
      <c r="A20" s="55">
        <v>1200</v>
      </c>
      <c r="B20" s="55"/>
      <c r="C20" s="56" t="s">
        <v>1641</v>
      </c>
      <c r="D20" s="194" t="s">
        <v>1718</v>
      </c>
      <c r="E20" s="58"/>
      <c r="F20" s="56"/>
      <c r="G20" s="32" t="str">
        <f>IF(H19="sehr niedrig","ja",IF(H20="Bitte auswählen","",H20))</f>
        <v/>
      </c>
      <c r="H20" s="33" t="s">
        <v>2071</v>
      </c>
      <c r="I20" s="56"/>
      <c r="K20" s="176"/>
      <c r="L20" s="23"/>
    </row>
    <row r="21" spans="1:12" ht="15" customHeight="1" thickBot="1">
      <c r="A21" s="55">
        <v>1300</v>
      </c>
      <c r="B21" s="55"/>
      <c r="C21" s="56" t="s">
        <v>1642</v>
      </c>
      <c r="D21" s="194" t="s">
        <v>1268</v>
      </c>
      <c r="E21" s="58"/>
      <c r="F21" s="56"/>
      <c r="G21" s="32" t="str">
        <f>IF(G5="Mehrgeschoßiger Wohnbau","nein",IF(H21="Bitte auswählen","",H21))</f>
        <v/>
      </c>
      <c r="H21" s="33" t="s">
        <v>2071</v>
      </c>
      <c r="I21" s="56"/>
      <c r="K21" s="176"/>
      <c r="L21" s="23"/>
    </row>
    <row r="22" spans="1:12" ht="15" customHeight="1" thickBot="1">
      <c r="A22" s="55"/>
      <c r="B22" s="55"/>
      <c r="C22" s="56" t="s">
        <v>1995</v>
      </c>
      <c r="D22" s="194" t="s">
        <v>1997</v>
      </c>
      <c r="E22" s="58"/>
      <c r="F22" s="56"/>
      <c r="G22" s="32" t="str">
        <f>IF(G5="Bürogebäude",IF(H22="Bitte auswählen","",H22),"nein")</f>
        <v>nein</v>
      </c>
      <c r="H22" s="34" t="s">
        <v>2071</v>
      </c>
      <c r="I22" s="56"/>
      <c r="K22" s="176"/>
      <c r="L22" s="23"/>
    </row>
    <row r="23" spans="1:12" ht="15" customHeight="1" thickBot="1">
      <c r="A23" s="55">
        <v>1300</v>
      </c>
      <c r="B23" s="55"/>
      <c r="C23" s="56" t="s">
        <v>1996</v>
      </c>
      <c r="D23" s="194" t="s">
        <v>1982</v>
      </c>
      <c r="E23" s="56"/>
      <c r="F23" s="56"/>
      <c r="G23" s="32" t="str">
        <f>IF(G5="Bürogebäude",IF(H23="Bitte auswählen","",H23),"nein")</f>
        <v>nein</v>
      </c>
      <c r="H23" s="34" t="s">
        <v>2071</v>
      </c>
      <c r="I23" s="56"/>
      <c r="K23" s="176"/>
      <c r="L23" s="23"/>
    </row>
    <row r="24" spans="1:12" s="418" customFormat="1" ht="15" customHeight="1"/>
    <row r="25" spans="1:12" ht="15" customHeight="1" thickBot="1">
      <c r="A25" s="27"/>
      <c r="B25" s="27"/>
      <c r="C25" s="27"/>
      <c r="D25" s="27" t="s">
        <v>2671</v>
      </c>
      <c r="E25" s="27"/>
      <c r="F25" s="27"/>
      <c r="G25" s="27"/>
      <c r="H25" s="27"/>
      <c r="I25" s="62"/>
      <c r="K25" s="62"/>
      <c r="L25" s="23"/>
    </row>
    <row r="26" spans="1:12" ht="15" customHeight="1" thickBot="1">
      <c r="A26" s="55"/>
      <c r="B26" s="55"/>
      <c r="C26" s="56" t="s">
        <v>2153</v>
      </c>
      <c r="D26" s="194" t="s">
        <v>2439</v>
      </c>
      <c r="E26" s="56"/>
      <c r="F26" s="56"/>
      <c r="G26" s="31" t="str">
        <f t="shared" ref="G26:G27" si="0">IF(H26="Bitte auswählen","",H26)</f>
        <v/>
      </c>
      <c r="H26" s="33" t="s">
        <v>2071</v>
      </c>
      <c r="I26" s="56"/>
      <c r="K26" s="176"/>
      <c r="L26" s="23"/>
    </row>
    <row r="27" spans="1:12" ht="15" customHeight="1" thickBot="1">
      <c r="A27" s="55"/>
      <c r="B27" s="55"/>
      <c r="C27" s="56" t="s">
        <v>2154</v>
      </c>
      <c r="D27" s="194" t="s">
        <v>2152</v>
      </c>
      <c r="E27" s="56"/>
      <c r="F27" s="56"/>
      <c r="G27" s="31" t="str">
        <f t="shared" si="0"/>
        <v/>
      </c>
      <c r="H27" s="33" t="s">
        <v>2071</v>
      </c>
      <c r="I27" s="56"/>
      <c r="K27" s="176"/>
      <c r="L27" s="23"/>
    </row>
    <row r="28" spans="1:12" ht="15" customHeight="1">
      <c r="L28" s="23"/>
    </row>
    <row r="29" spans="1:12" ht="15" customHeight="1">
      <c r="L29" s="23"/>
    </row>
    <row r="30" spans="1:12" ht="15" customHeight="1">
      <c r="L30" s="23"/>
    </row>
    <row r="31" spans="1:12" ht="15" customHeight="1">
      <c r="L31" s="23"/>
    </row>
  </sheetData>
  <sheetProtection password="FDAF" sheet="1" objects="1" scenarios="1" selectLockedCells="1"/>
  <mergeCells count="9">
    <mergeCell ref="H15:I15"/>
    <mergeCell ref="H3:I3"/>
    <mergeCell ref="H4:I4"/>
    <mergeCell ref="H5:I5"/>
    <mergeCell ref="H6:I6"/>
    <mergeCell ref="H7:I7"/>
    <mergeCell ref="H8:I8"/>
    <mergeCell ref="H10:I10"/>
    <mergeCell ref="H9:I9"/>
  </mergeCells>
  <dataValidations disablePrompts="1" count="5">
    <dataValidation type="list" allowBlank="1" showInputMessage="1" showErrorMessage="1" sqref="H5">
      <formula1>Projektart</formula1>
    </dataValidation>
    <dataValidation type="list" allowBlank="1" showInputMessage="1" showErrorMessage="1" sqref="H20:H24">
      <formula1>JaNein</formula1>
    </dataValidation>
    <dataValidation type="list" allowBlank="1" showInputMessage="1" showErrorMessage="1" sqref="H19">
      <formula1>Energieniveau</formula1>
    </dataValidation>
    <dataValidation type="list" allowBlank="1" showInputMessage="1" showErrorMessage="1" sqref="H16">
      <formula1>BruttoNetto</formula1>
    </dataValidation>
    <dataValidation type="list" allowBlank="1" showInputMessage="1" showErrorMessage="1" sqref="H26:H27">
      <formula1>Energieproduktion</formula1>
    </dataValidation>
  </dataValidations>
  <hyperlinks>
    <hyperlink ref="H15" location="Umsatzsteuersaetze" display="zu den Umsatzsteuersätzen"/>
    <hyperlink ref="H15:I15" location="'Finanzielle Parameter'!I56" display="zu den Umsatzsteuersätzen"/>
  </hyperlinks>
  <pageMargins left="0.78740157480314965" right="0.78740157480314965" top="0.98425196850393704" bottom="0.98425196850393704" header="0.51181102362204722" footer="0.51181102362204722"/>
  <pageSetup paperSize="9" scale="99" fitToHeight="0" orientation="landscape" horizontalDpi="300" verticalDpi="300" r:id="rId1"/>
  <headerFooter>
    <oddFooter>&amp;L&amp;F&amp;C&amp;A&amp;R&amp;P von &amp;N</oddFooter>
  </headerFooter>
  <legacyDrawing r:id="rId2"/>
</worksheet>
</file>

<file path=xl/worksheets/sheet4.xml><?xml version="1.0" encoding="utf-8"?>
<worksheet xmlns="http://schemas.openxmlformats.org/spreadsheetml/2006/main" xmlns:r="http://schemas.openxmlformats.org/officeDocument/2006/relationships">
  <sheetPr codeName="Tabelle3">
    <tabColor theme="9" tint="0.39997558519241921"/>
    <pageSetUpPr fitToPage="1"/>
  </sheetPr>
  <dimension ref="A1:U61"/>
  <sheetViews>
    <sheetView topLeftCell="D1" zoomScaleNormal="100" workbookViewId="0">
      <pane ySplit="1" topLeftCell="A2" activePane="bottomLeft" state="frozen"/>
      <selection activeCell="C23" sqref="C23:M24"/>
      <selection pane="bottomLeft" activeCell="I3" sqref="I3"/>
    </sheetView>
  </sheetViews>
  <sheetFormatPr baseColWidth="10" defaultRowHeight="15" customHeight="1"/>
  <cols>
    <col min="1" max="2" width="5.1640625" style="37" hidden="1" customWidth="1"/>
    <col min="3" max="3" width="12.33203125" style="37" hidden="1" customWidth="1"/>
    <col min="4" max="4" width="59" style="37" bestFit="1" customWidth="1"/>
    <col min="5" max="5" width="54.83203125" style="37" hidden="1" customWidth="1"/>
    <col min="6" max="6" width="16.83203125" style="37" hidden="1" customWidth="1"/>
    <col min="7" max="7" width="13.83203125" style="47" customWidth="1"/>
    <col min="8" max="8" width="13.83203125" style="48" hidden="1" customWidth="1"/>
    <col min="9" max="10" width="13.83203125" style="37" customWidth="1"/>
    <col min="11" max="11" width="2.83203125" style="46" customWidth="1"/>
    <col min="12" max="12" width="25.33203125" style="46" hidden="1" customWidth="1"/>
    <col min="13" max="13" width="40.83203125" style="37" customWidth="1"/>
    <col min="14" max="16384" width="12" style="37"/>
  </cols>
  <sheetData>
    <row r="1" spans="1:13" ht="15" customHeight="1">
      <c r="A1" s="26" t="s">
        <v>1</v>
      </c>
      <c r="B1" s="26"/>
      <c r="C1" s="26" t="s">
        <v>2</v>
      </c>
      <c r="D1" s="26" t="s">
        <v>66</v>
      </c>
      <c r="E1" s="26" t="s">
        <v>89</v>
      </c>
      <c r="F1" s="26" t="s">
        <v>90</v>
      </c>
      <c r="G1" s="26" t="s">
        <v>1207</v>
      </c>
      <c r="H1" s="26" t="s">
        <v>1208</v>
      </c>
      <c r="I1" s="26" t="s">
        <v>1206</v>
      </c>
      <c r="J1" s="26" t="s">
        <v>1484</v>
      </c>
      <c r="K1" s="35"/>
      <c r="L1" s="35" t="s">
        <v>1280</v>
      </c>
      <c r="M1" s="567" t="s">
        <v>2770</v>
      </c>
    </row>
    <row r="2" spans="1:13" ht="15" customHeight="1" thickBot="1">
      <c r="A2" s="29"/>
      <c r="B2" s="29"/>
      <c r="C2" s="27"/>
      <c r="D2" s="27" t="s">
        <v>2046</v>
      </c>
      <c r="E2" s="27"/>
      <c r="F2" s="27"/>
      <c r="G2" s="29"/>
      <c r="H2" s="27"/>
      <c r="I2" s="27"/>
      <c r="J2" s="488"/>
      <c r="K2" s="39"/>
      <c r="L2" s="39"/>
      <c r="M2" s="27"/>
    </row>
    <row r="3" spans="1:13" ht="15" customHeight="1" thickBot="1">
      <c r="A3" s="55">
        <v>200</v>
      </c>
      <c r="B3" s="55"/>
      <c r="C3" s="56" t="s">
        <v>3</v>
      </c>
      <c r="D3" s="56" t="s">
        <v>67</v>
      </c>
      <c r="E3" s="194"/>
      <c r="F3" s="194"/>
      <c r="G3" s="49">
        <f t="shared" ref="G3:G12" si="0">IF(I3="",H3,I3)</f>
        <v>0</v>
      </c>
      <c r="H3" s="54"/>
      <c r="I3" s="52"/>
      <c r="J3" s="599" t="s">
        <v>92</v>
      </c>
      <c r="K3" s="39"/>
      <c r="L3" s="39" t="s">
        <v>2206</v>
      </c>
      <c r="M3" s="598"/>
    </row>
    <row r="4" spans="1:13" ht="15" customHeight="1" thickBot="1">
      <c r="A4" s="55">
        <v>300</v>
      </c>
      <c r="B4" s="55"/>
      <c r="C4" s="56" t="s">
        <v>4</v>
      </c>
      <c r="D4" s="56" t="s">
        <v>2195</v>
      </c>
      <c r="E4" s="194"/>
      <c r="F4" s="194"/>
      <c r="G4" s="49">
        <f t="shared" si="0"/>
        <v>0</v>
      </c>
      <c r="H4" s="53"/>
      <c r="I4" s="51"/>
      <c r="J4" s="602" t="s">
        <v>92</v>
      </c>
      <c r="K4" s="39"/>
      <c r="L4" s="42" t="s">
        <v>2213</v>
      </c>
      <c r="M4" s="598"/>
    </row>
    <row r="5" spans="1:13" ht="15" customHeight="1" thickBot="1">
      <c r="A5" s="55">
        <v>400</v>
      </c>
      <c r="B5" s="55"/>
      <c r="C5" s="56" t="s">
        <v>5</v>
      </c>
      <c r="D5" s="56" t="s">
        <v>2196</v>
      </c>
      <c r="E5" s="194"/>
      <c r="F5" s="194"/>
      <c r="G5" s="49">
        <f t="shared" si="0"/>
        <v>0</v>
      </c>
      <c r="H5" s="53"/>
      <c r="I5" s="51"/>
      <c r="J5" s="602" t="s">
        <v>93</v>
      </c>
      <c r="K5" s="39"/>
      <c r="L5" s="42" t="s">
        <v>2214</v>
      </c>
      <c r="M5" s="598"/>
    </row>
    <row r="6" spans="1:13" ht="15" customHeight="1" thickBot="1">
      <c r="A6" s="55">
        <v>500</v>
      </c>
      <c r="B6" s="55"/>
      <c r="C6" s="56" t="s">
        <v>6</v>
      </c>
      <c r="D6" s="56" t="s">
        <v>2197</v>
      </c>
      <c r="E6" s="194"/>
      <c r="F6" s="194"/>
      <c r="G6" s="49">
        <f t="shared" si="0"/>
        <v>0</v>
      </c>
      <c r="H6" s="53"/>
      <c r="I6" s="51"/>
      <c r="J6" s="602" t="s">
        <v>92</v>
      </c>
      <c r="K6" s="39"/>
      <c r="L6" s="42" t="s">
        <v>2215</v>
      </c>
      <c r="M6" s="598"/>
    </row>
    <row r="7" spans="1:13" ht="15" customHeight="1" thickBot="1">
      <c r="A7" s="55">
        <v>600</v>
      </c>
      <c r="B7" s="55"/>
      <c r="C7" s="56" t="s">
        <v>7</v>
      </c>
      <c r="D7" s="56" t="s">
        <v>2198</v>
      </c>
      <c r="E7" s="194"/>
      <c r="F7" s="194"/>
      <c r="G7" s="49">
        <f t="shared" si="0"/>
        <v>0</v>
      </c>
      <c r="H7" s="53"/>
      <c r="I7" s="51"/>
      <c r="J7" s="602" t="s">
        <v>92</v>
      </c>
      <c r="K7" s="39"/>
      <c r="L7" s="42" t="s">
        <v>2215</v>
      </c>
      <c r="M7" s="598"/>
    </row>
    <row r="8" spans="1:13" ht="15" customHeight="1" thickBot="1">
      <c r="A8" s="55">
        <v>700</v>
      </c>
      <c r="B8" s="55"/>
      <c r="C8" s="56" t="s">
        <v>8</v>
      </c>
      <c r="D8" s="56" t="s">
        <v>2199</v>
      </c>
      <c r="E8" s="194" t="s">
        <v>2192</v>
      </c>
      <c r="F8" s="194"/>
      <c r="G8" s="49">
        <f t="shared" si="0"/>
        <v>0</v>
      </c>
      <c r="H8" s="53"/>
      <c r="I8" s="51"/>
      <c r="J8" s="602" t="s">
        <v>92</v>
      </c>
      <c r="K8" s="44"/>
      <c r="L8" s="44"/>
      <c r="M8" s="598"/>
    </row>
    <row r="9" spans="1:13" ht="15" customHeight="1" thickBot="1">
      <c r="A9" s="55">
        <v>800</v>
      </c>
      <c r="B9" s="55"/>
      <c r="C9" s="56" t="s">
        <v>1640</v>
      </c>
      <c r="D9" s="56" t="s">
        <v>2200</v>
      </c>
      <c r="E9" s="194" t="s">
        <v>2193</v>
      </c>
      <c r="F9" s="194" t="s">
        <v>8</v>
      </c>
      <c r="G9" s="49">
        <f t="shared" si="0"/>
        <v>0</v>
      </c>
      <c r="H9" s="53">
        <f>IF(VLOOKUP("LÜFT",Allgemeine_Angaben,5,0)="ja",G8,0)</f>
        <v>0</v>
      </c>
      <c r="I9" s="50"/>
      <c r="J9" s="602" t="s">
        <v>92</v>
      </c>
      <c r="K9" s="44"/>
      <c r="L9" s="44"/>
      <c r="M9" s="598"/>
    </row>
    <row r="10" spans="1:13" ht="15" customHeight="1" thickBot="1">
      <c r="A10" s="55"/>
      <c r="B10" s="55"/>
      <c r="C10" s="56" t="s">
        <v>1639</v>
      </c>
      <c r="D10" s="56" t="s">
        <v>2201</v>
      </c>
      <c r="E10" s="194" t="s">
        <v>2194</v>
      </c>
      <c r="F10" s="194" t="s">
        <v>8</v>
      </c>
      <c r="G10" s="49">
        <f t="shared" si="0"/>
        <v>0</v>
      </c>
      <c r="H10" s="53">
        <f>IF(VLOOKUP("KÜHL",Allgemeine_Angaben,5,0)="ja",G8,0)</f>
        <v>0</v>
      </c>
      <c r="I10" s="50"/>
      <c r="J10" s="602" t="s">
        <v>92</v>
      </c>
      <c r="K10" s="44"/>
      <c r="L10" s="44"/>
      <c r="M10" s="598"/>
    </row>
    <row r="11" spans="1:13" ht="15" customHeight="1" thickBot="1">
      <c r="A11" s="55">
        <v>900</v>
      </c>
      <c r="B11" s="55"/>
      <c r="C11" s="56" t="s">
        <v>9</v>
      </c>
      <c r="D11" s="56" t="s">
        <v>68</v>
      </c>
      <c r="E11" s="194"/>
      <c r="F11" s="194"/>
      <c r="G11" s="49">
        <f t="shared" si="0"/>
        <v>0</v>
      </c>
      <c r="H11" s="53"/>
      <c r="I11" s="51"/>
      <c r="J11" s="602" t="s">
        <v>92</v>
      </c>
      <c r="K11" s="39"/>
      <c r="L11" s="42" t="s">
        <v>2216</v>
      </c>
      <c r="M11" s="598"/>
    </row>
    <row r="12" spans="1:13" ht="15" customHeight="1" thickBot="1">
      <c r="A12" s="55">
        <v>1000</v>
      </c>
      <c r="B12" s="55"/>
      <c r="C12" s="56" t="s">
        <v>10</v>
      </c>
      <c r="D12" s="56" t="s">
        <v>69</v>
      </c>
      <c r="E12" s="194"/>
      <c r="F12" s="194"/>
      <c r="G12" s="49">
        <f t="shared" si="0"/>
        <v>0</v>
      </c>
      <c r="H12" s="53"/>
      <c r="I12" s="51"/>
      <c r="J12" s="602" t="s">
        <v>92</v>
      </c>
      <c r="K12" s="39"/>
      <c r="L12" s="42" t="s">
        <v>2217</v>
      </c>
      <c r="M12" s="598"/>
    </row>
    <row r="13" spans="1:13" s="193" customFormat="1" ht="15" customHeight="1"/>
    <row r="14" spans="1:13" ht="15" customHeight="1" thickBot="1">
      <c r="A14" s="29"/>
      <c r="B14" s="29"/>
      <c r="C14" s="27"/>
      <c r="D14" s="27" t="s">
        <v>2047</v>
      </c>
      <c r="E14" s="208"/>
      <c r="F14" s="208"/>
      <c r="G14" s="29"/>
      <c r="H14" s="29"/>
      <c r="I14" s="29"/>
      <c r="J14" s="488"/>
      <c r="K14" s="39"/>
      <c r="L14" s="39"/>
      <c r="M14" s="27"/>
    </row>
    <row r="15" spans="1:13" ht="15" customHeight="1" thickBot="1">
      <c r="A15" s="55">
        <v>2300</v>
      </c>
      <c r="B15" s="55"/>
      <c r="C15" s="56" t="s">
        <v>13</v>
      </c>
      <c r="D15" s="56" t="s">
        <v>2225</v>
      </c>
      <c r="E15" s="194" t="s">
        <v>2226</v>
      </c>
      <c r="F15" s="194"/>
      <c r="G15" s="49">
        <f t="shared" ref="G15:G21" si="1">I15</f>
        <v>0</v>
      </c>
      <c r="H15" s="53"/>
      <c r="I15" s="51"/>
      <c r="J15" s="518" t="s">
        <v>92</v>
      </c>
      <c r="K15" s="39"/>
      <c r="L15" s="39"/>
      <c r="M15" s="598"/>
    </row>
    <row r="16" spans="1:13" ht="15" customHeight="1" thickBot="1">
      <c r="A16" s="55">
        <v>2400</v>
      </c>
      <c r="B16" s="55"/>
      <c r="C16" s="56" t="s">
        <v>14</v>
      </c>
      <c r="D16" s="56" t="s">
        <v>2224</v>
      </c>
      <c r="E16" s="194"/>
      <c r="F16" s="194"/>
      <c r="G16" s="49">
        <f t="shared" si="1"/>
        <v>0</v>
      </c>
      <c r="H16" s="53"/>
      <c r="I16" s="51"/>
      <c r="J16" s="518" t="s">
        <v>92</v>
      </c>
      <c r="K16" s="39"/>
      <c r="L16" s="39"/>
      <c r="M16" s="598"/>
    </row>
    <row r="17" spans="1:21" ht="15" customHeight="1" thickBot="1">
      <c r="A17" s="55">
        <v>2500</v>
      </c>
      <c r="B17" s="55"/>
      <c r="C17" s="56" t="s">
        <v>15</v>
      </c>
      <c r="D17" s="56" t="s">
        <v>2227</v>
      </c>
      <c r="E17" s="194"/>
      <c r="F17" s="194"/>
      <c r="G17" s="49">
        <f t="shared" si="1"/>
        <v>0</v>
      </c>
      <c r="H17" s="53"/>
      <c r="I17" s="51"/>
      <c r="J17" s="518" t="s">
        <v>92</v>
      </c>
      <c r="K17" s="39"/>
      <c r="L17" s="39"/>
      <c r="M17" s="598"/>
    </row>
    <row r="18" spans="1:21" ht="15" customHeight="1" thickBot="1">
      <c r="A18" s="55">
        <v>2600</v>
      </c>
      <c r="B18" s="55"/>
      <c r="C18" s="56" t="s">
        <v>16</v>
      </c>
      <c r="D18" s="56" t="s">
        <v>2190</v>
      </c>
      <c r="E18" s="194"/>
      <c r="F18" s="194" t="s">
        <v>2191</v>
      </c>
      <c r="G18" s="49">
        <f t="shared" ref="G18" si="2">IF(I18="",H18,I18)</f>
        <v>0</v>
      </c>
      <c r="H18" s="53">
        <f>VLOOKUP("KDF",Objektkenndaten,5,0)+VLOOKUP("GDF",Objektkenndaten,5,0)+VLOOKUP("ADF",Objektkenndaten,5,0)</f>
        <v>0</v>
      </c>
      <c r="I18" s="52"/>
      <c r="J18" s="518" t="s">
        <v>92</v>
      </c>
      <c r="K18" s="39"/>
      <c r="L18" s="39"/>
      <c r="M18" s="598"/>
    </row>
    <row r="19" spans="1:21" ht="15" customHeight="1" thickBot="1">
      <c r="A19" s="55"/>
      <c r="B19" s="55"/>
      <c r="C19" s="56" t="s">
        <v>2059</v>
      </c>
      <c r="D19" s="80" t="s">
        <v>2058</v>
      </c>
      <c r="E19" s="194"/>
      <c r="F19" s="194"/>
      <c r="G19" s="49">
        <f t="shared" si="1"/>
        <v>0</v>
      </c>
      <c r="H19" s="53"/>
      <c r="I19" s="51"/>
      <c r="J19" s="518" t="s">
        <v>92</v>
      </c>
      <c r="K19" s="39"/>
      <c r="L19" s="39"/>
      <c r="M19" s="598"/>
    </row>
    <row r="20" spans="1:21" ht="15" customHeight="1" thickBot="1">
      <c r="A20" s="55"/>
      <c r="B20" s="55"/>
      <c r="C20" s="56" t="s">
        <v>2061</v>
      </c>
      <c r="D20" s="80" t="s">
        <v>2060</v>
      </c>
      <c r="E20" s="194"/>
      <c r="F20" s="194"/>
      <c r="G20" s="49">
        <f t="shared" si="1"/>
        <v>0</v>
      </c>
      <c r="H20" s="53"/>
      <c r="I20" s="51"/>
      <c r="J20" s="518" t="s">
        <v>92</v>
      </c>
      <c r="K20" s="39"/>
      <c r="L20" s="39"/>
      <c r="M20" s="598"/>
    </row>
    <row r="21" spans="1:21" ht="15" customHeight="1" thickBot="1">
      <c r="A21" s="55"/>
      <c r="B21" s="55"/>
      <c r="C21" s="56" t="s">
        <v>2062</v>
      </c>
      <c r="D21" s="80" t="s">
        <v>2202</v>
      </c>
      <c r="E21" s="194"/>
      <c r="F21" s="194"/>
      <c r="G21" s="49">
        <f t="shared" si="1"/>
        <v>0</v>
      </c>
      <c r="H21" s="53"/>
      <c r="I21" s="51"/>
      <c r="J21" s="518" t="s">
        <v>92</v>
      </c>
      <c r="K21" s="39"/>
      <c r="L21" s="39"/>
      <c r="M21" s="598"/>
    </row>
    <row r="22" spans="1:21" ht="15" customHeight="1" thickBot="1">
      <c r="A22" s="55">
        <v>2100</v>
      </c>
      <c r="B22" s="55"/>
      <c r="C22" s="56" t="s">
        <v>11</v>
      </c>
      <c r="D22" s="56" t="s">
        <v>70</v>
      </c>
      <c r="E22" s="194"/>
      <c r="F22" s="194"/>
      <c r="G22" s="49">
        <f>I22</f>
        <v>0</v>
      </c>
      <c r="H22" s="53"/>
      <c r="I22" s="51"/>
      <c r="J22" s="518" t="s">
        <v>93</v>
      </c>
      <c r="K22" s="39"/>
      <c r="L22" s="42" t="s">
        <v>2218</v>
      </c>
      <c r="M22" s="598"/>
    </row>
    <row r="23" spans="1:21" ht="15" customHeight="1" thickBot="1">
      <c r="A23" s="55">
        <v>2200</v>
      </c>
      <c r="B23" s="55"/>
      <c r="C23" s="56" t="s">
        <v>12</v>
      </c>
      <c r="D23" s="56" t="s">
        <v>71</v>
      </c>
      <c r="E23" s="194"/>
      <c r="F23" s="194"/>
      <c r="G23" s="49">
        <f>I23</f>
        <v>0</v>
      </c>
      <c r="H23" s="53"/>
      <c r="I23" s="51"/>
      <c r="J23" s="518" t="s">
        <v>92</v>
      </c>
      <c r="K23" s="39"/>
      <c r="L23" s="42" t="s">
        <v>2219</v>
      </c>
      <c r="M23" s="598"/>
    </row>
    <row r="24" spans="1:21" s="193" customFormat="1" ht="15" customHeight="1" thickBot="1">
      <c r="P24" s="37"/>
      <c r="Q24" s="37"/>
      <c r="R24" s="37"/>
      <c r="S24" s="37"/>
      <c r="T24" s="37"/>
      <c r="U24" s="37"/>
    </row>
    <row r="25" spans="1:21" ht="15" customHeight="1" thickTop="1" thickBot="1">
      <c r="A25" s="29"/>
      <c r="B25" s="29"/>
      <c r="C25" s="27"/>
      <c r="D25" s="27" t="s">
        <v>2048</v>
      </c>
      <c r="E25" s="208"/>
      <c r="F25" s="208"/>
      <c r="G25" s="613" t="s">
        <v>1528</v>
      </c>
      <c r="H25" s="613"/>
      <c r="I25" s="613"/>
      <c r="J25" s="613"/>
      <c r="K25" s="38"/>
      <c r="L25" s="39"/>
      <c r="M25" s="27"/>
    </row>
    <row r="26" spans="1:21" ht="15" customHeight="1" thickTop="1" thickBot="1">
      <c r="A26" s="55">
        <v>2900</v>
      </c>
      <c r="B26" s="55"/>
      <c r="C26" s="56" t="s">
        <v>17</v>
      </c>
      <c r="D26" s="56" t="s">
        <v>72</v>
      </c>
      <c r="E26" s="194"/>
      <c r="F26" s="194" t="s">
        <v>2421</v>
      </c>
      <c r="G26" s="49" t="str">
        <f t="shared" ref="G26:G49" si="3">IF(I26="",H26,I26)</f>
        <v>0,00</v>
      </c>
      <c r="H26" s="53" t="str">
        <f>IF(Schätzfaktoren!$I$57="ja",VLOOKUP("AWF",Objektkenndaten,5,0)*VLOOKUP("F_GLASF",Schätzfaktoren,5,0),"0,00")</f>
        <v>0,00</v>
      </c>
      <c r="I26" s="51"/>
      <c r="J26" s="601" t="s">
        <v>92</v>
      </c>
      <c r="K26" s="39"/>
      <c r="L26" s="39"/>
      <c r="M26" s="598"/>
    </row>
    <row r="27" spans="1:21" ht="15" customHeight="1" thickBot="1">
      <c r="A27" s="55">
        <v>3000</v>
      </c>
      <c r="B27" s="55"/>
      <c r="C27" s="56" t="s">
        <v>18</v>
      </c>
      <c r="D27" s="80" t="s">
        <v>73</v>
      </c>
      <c r="E27" s="194"/>
      <c r="F27" s="194" t="s">
        <v>2422</v>
      </c>
      <c r="G27" s="49" t="str">
        <f t="shared" si="3"/>
        <v>0,00</v>
      </c>
      <c r="H27" s="53" t="str">
        <f>IF(Schätzfaktoren!$I$57="ja",VLOOKUP("GLASF",Objektkenndaten,5,0)*VLOOKUP("F_GLASFab",Schätzfaktoren,5,0),"0,00")</f>
        <v>0,00</v>
      </c>
      <c r="I27" s="51"/>
      <c r="J27" s="602" t="s">
        <v>92</v>
      </c>
      <c r="K27" s="39"/>
      <c r="L27" s="39"/>
      <c r="M27" s="598"/>
    </row>
    <row r="28" spans="1:21" ht="15" customHeight="1" thickBot="1">
      <c r="A28" s="55">
        <v>3100</v>
      </c>
      <c r="B28" s="55"/>
      <c r="C28" s="56" t="s">
        <v>19</v>
      </c>
      <c r="D28" s="56" t="s">
        <v>74</v>
      </c>
      <c r="E28" s="194"/>
      <c r="F28" s="194" t="s">
        <v>2423</v>
      </c>
      <c r="G28" s="49" t="str">
        <f t="shared" si="3"/>
        <v>0,00</v>
      </c>
      <c r="H28" s="53" t="str">
        <f>IF(Schätzfaktoren!$I$57="ja",VLOOKUP("AWF",Objektkenndaten,5,0)*VLOOKUP("F_GLASFF",Schätzfaktoren,5,0),"0,00")</f>
        <v>0,00</v>
      </c>
      <c r="I28" s="51"/>
      <c r="J28" s="602" t="s">
        <v>92</v>
      </c>
      <c r="K28" s="39"/>
      <c r="L28" s="39"/>
      <c r="M28" s="598"/>
    </row>
    <row r="29" spans="1:21" ht="15" customHeight="1" thickBot="1">
      <c r="A29" s="55">
        <v>3200</v>
      </c>
      <c r="B29" s="55"/>
      <c r="C29" s="56" t="s">
        <v>20</v>
      </c>
      <c r="D29" s="80" t="s">
        <v>75</v>
      </c>
      <c r="E29" s="194"/>
      <c r="F29" s="194" t="s">
        <v>2424</v>
      </c>
      <c r="G29" s="49" t="str">
        <f t="shared" si="3"/>
        <v>0,00</v>
      </c>
      <c r="H29" s="53" t="str">
        <f>IF(Schätzfaktoren!$I$57="ja",VLOOKUP("GLASFF",Objektkenndaten,5,0)*VLOOKUP("F_GLASFFab",Schätzfaktoren,5,0),"0,00")</f>
        <v>0,00</v>
      </c>
      <c r="I29" s="51"/>
      <c r="J29" s="602" t="s">
        <v>92</v>
      </c>
      <c r="K29" s="39"/>
      <c r="L29" s="39"/>
      <c r="M29" s="598"/>
    </row>
    <row r="30" spans="1:21" ht="15" customHeight="1" thickBot="1">
      <c r="A30" s="55">
        <v>3300</v>
      </c>
      <c r="B30" s="55"/>
      <c r="C30" s="56" t="s">
        <v>21</v>
      </c>
      <c r="D30" s="111" t="s">
        <v>2333</v>
      </c>
      <c r="E30" s="194"/>
      <c r="F30" s="194"/>
      <c r="G30" s="49">
        <f t="shared" si="3"/>
        <v>0</v>
      </c>
      <c r="H30" s="53"/>
      <c r="I30" s="51"/>
      <c r="J30" s="602" t="s">
        <v>92</v>
      </c>
      <c r="K30" s="39"/>
      <c r="L30" s="39"/>
      <c r="M30" s="598"/>
    </row>
    <row r="31" spans="1:21" ht="15" customHeight="1" thickBot="1">
      <c r="A31" s="55">
        <v>3350</v>
      </c>
      <c r="B31" s="55"/>
      <c r="C31" s="56" t="s">
        <v>22</v>
      </c>
      <c r="D31" s="56" t="s">
        <v>76</v>
      </c>
      <c r="E31" s="194"/>
      <c r="F31" s="194"/>
      <c r="G31" s="49">
        <f t="shared" si="3"/>
        <v>0</v>
      </c>
      <c r="H31" s="53"/>
      <c r="I31" s="51"/>
      <c r="J31" s="602" t="s">
        <v>92</v>
      </c>
      <c r="K31" s="39"/>
      <c r="L31" s="39"/>
      <c r="M31" s="598"/>
    </row>
    <row r="32" spans="1:21" ht="15" customHeight="1" thickBot="1">
      <c r="A32" s="55">
        <v>3400</v>
      </c>
      <c r="B32" s="55"/>
      <c r="C32" s="56" t="s">
        <v>23</v>
      </c>
      <c r="D32" s="111" t="s">
        <v>2417</v>
      </c>
      <c r="E32" s="194"/>
      <c r="F32" s="194" t="s">
        <v>2425</v>
      </c>
      <c r="G32" s="49" t="str">
        <f t="shared" si="3"/>
        <v>0,00</v>
      </c>
      <c r="H32" s="53" t="str">
        <f>IF(Schätzfaktoren!$I$57="ja",VLOOKUP("AWF",Objektkenndaten,5,0)*VLOOKUP("F_IGLASF",Schätzfaktoren,5,0),"0,00")</f>
        <v>0,00</v>
      </c>
      <c r="I32" s="51"/>
      <c r="J32" s="602" t="s">
        <v>92</v>
      </c>
      <c r="K32" s="39"/>
      <c r="L32" s="39"/>
      <c r="M32" s="598"/>
    </row>
    <row r="33" spans="1:13" ht="15" customHeight="1" thickBot="1">
      <c r="A33" s="55">
        <v>3500</v>
      </c>
      <c r="B33" s="55"/>
      <c r="C33" s="56" t="s">
        <v>24</v>
      </c>
      <c r="D33" s="56" t="s">
        <v>77</v>
      </c>
      <c r="E33" s="194"/>
      <c r="F33" s="194" t="s">
        <v>2426</v>
      </c>
      <c r="G33" s="49" t="str">
        <f t="shared" si="3"/>
        <v>0,00</v>
      </c>
      <c r="H33" s="53" t="str">
        <f>IF(Schätzfaktoren!$I$57="ja",VLOOKUP("IGLASF",Objektkenndaten,5,0)*VLOOKUP("F_IGLASFab",Schätzfaktoren,5,0),"0,00")</f>
        <v>0,00</v>
      </c>
      <c r="I33" s="51"/>
      <c r="J33" s="602" t="s">
        <v>92</v>
      </c>
      <c r="K33" s="39"/>
      <c r="L33" s="39"/>
      <c r="M33" s="598"/>
    </row>
    <row r="34" spans="1:13" ht="15" customHeight="1" thickBot="1">
      <c r="A34" s="55">
        <v>3600</v>
      </c>
      <c r="B34" s="55"/>
      <c r="C34" s="56" t="s">
        <v>25</v>
      </c>
      <c r="D34" s="111" t="s">
        <v>2418</v>
      </c>
      <c r="E34" s="194"/>
      <c r="F34" s="194" t="s">
        <v>2427</v>
      </c>
      <c r="G34" s="49" t="str">
        <f t="shared" si="3"/>
        <v>0,00</v>
      </c>
      <c r="H34" s="53" t="str">
        <f>IF(Schätzfaktoren!$I$57="ja",VLOOKUP("IGLASF",Objektkenndaten,5,0)*VLOOKUP("F_JALF",Schätzfaktoren,5,0),"0,00")</f>
        <v>0,00</v>
      </c>
      <c r="I34" s="51"/>
      <c r="J34" s="602" t="s">
        <v>92</v>
      </c>
      <c r="K34" s="39"/>
      <c r="L34" s="39"/>
      <c r="M34" s="598"/>
    </row>
    <row r="35" spans="1:13" ht="15" customHeight="1" thickBot="1">
      <c r="A35" s="55">
        <v>3700</v>
      </c>
      <c r="B35" s="55"/>
      <c r="C35" s="56" t="s">
        <v>26</v>
      </c>
      <c r="D35" s="56" t="s">
        <v>78</v>
      </c>
      <c r="E35" s="194"/>
      <c r="F35" s="194" t="s">
        <v>2428</v>
      </c>
      <c r="G35" s="49" t="str">
        <f t="shared" si="3"/>
        <v>0,00</v>
      </c>
      <c r="H35" s="53" t="str">
        <f>IF(Schätzfaktoren!$I$57="ja",VLOOKUP("IGLASF",Objektkenndaten,5,0)*VLOOKUP("F_JALFab",Schätzfaktoren,5,0),"0,00")</f>
        <v>0,00</v>
      </c>
      <c r="I35" s="51"/>
      <c r="J35" s="602" t="s">
        <v>92</v>
      </c>
      <c r="K35" s="39"/>
      <c r="L35" s="39"/>
      <c r="M35" s="598"/>
    </row>
    <row r="36" spans="1:13" ht="15" customHeight="1" thickBot="1">
      <c r="A36" s="55">
        <v>3800</v>
      </c>
      <c r="B36" s="55"/>
      <c r="C36" s="194" t="s">
        <v>2208</v>
      </c>
      <c r="D36" s="194" t="s">
        <v>2207</v>
      </c>
      <c r="E36" s="111" t="s">
        <v>2340</v>
      </c>
      <c r="F36" s="194" t="s">
        <v>2209</v>
      </c>
      <c r="G36" s="49">
        <f t="shared" si="3"/>
        <v>0</v>
      </c>
      <c r="H36" s="53">
        <f>VLOOKUP("NF",Objektkenndaten,5,0)-VLOOKUP("SANFH",Objektkenndaten,5,0)</f>
        <v>0</v>
      </c>
      <c r="I36" s="50"/>
      <c r="J36" s="602" t="s">
        <v>92</v>
      </c>
      <c r="K36" s="600"/>
      <c r="L36" s="42"/>
      <c r="M36" s="598"/>
    </row>
    <row r="37" spans="1:13" ht="15" customHeight="1" thickBot="1">
      <c r="A37" s="55">
        <v>3900</v>
      </c>
      <c r="B37" s="55"/>
      <c r="C37" s="194" t="s">
        <v>27</v>
      </c>
      <c r="D37" s="194" t="s">
        <v>79</v>
      </c>
      <c r="E37" s="194"/>
      <c r="F37" s="194"/>
      <c r="G37" s="49">
        <f t="shared" si="3"/>
        <v>0</v>
      </c>
      <c r="H37" s="53"/>
      <c r="I37" s="51"/>
      <c r="J37" s="602" t="s">
        <v>92</v>
      </c>
      <c r="K37" s="39"/>
      <c r="L37" s="42" t="s">
        <v>2220</v>
      </c>
      <c r="M37" s="598"/>
    </row>
    <row r="38" spans="1:13" ht="15" customHeight="1" thickBot="1">
      <c r="A38" s="55">
        <v>4000</v>
      </c>
      <c r="B38" s="55"/>
      <c r="C38" s="194" t="s">
        <v>28</v>
      </c>
      <c r="D38" s="194" t="s">
        <v>80</v>
      </c>
      <c r="E38" s="194"/>
      <c r="F38" s="194"/>
      <c r="G38" s="49">
        <f t="shared" si="3"/>
        <v>0</v>
      </c>
      <c r="H38" s="53"/>
      <c r="I38" s="51"/>
      <c r="J38" s="602" t="s">
        <v>92</v>
      </c>
      <c r="K38" s="39"/>
      <c r="L38" s="42" t="s">
        <v>2220</v>
      </c>
      <c r="M38" s="598"/>
    </row>
    <row r="39" spans="1:13" ht="15" customHeight="1" thickBot="1">
      <c r="A39" s="60"/>
      <c r="B39" s="60"/>
      <c r="C39" s="194" t="s">
        <v>32</v>
      </c>
      <c r="D39" s="194" t="s">
        <v>575</v>
      </c>
      <c r="E39" s="194" t="s">
        <v>2223</v>
      </c>
      <c r="F39" s="194" t="s">
        <v>2205</v>
      </c>
      <c r="G39" s="49">
        <f t="shared" si="3"/>
        <v>0</v>
      </c>
      <c r="H39" s="53">
        <f>VLOOKUP("NGF",Objektkenndaten,5,0)-VLOOKUP("NF",Objektkenndaten,5,0)</f>
        <v>0</v>
      </c>
      <c r="I39" s="50"/>
      <c r="J39" s="602" t="s">
        <v>92</v>
      </c>
      <c r="K39" s="39"/>
      <c r="L39" s="42"/>
      <c r="M39" s="598"/>
    </row>
    <row r="40" spans="1:13" ht="15" customHeight="1" thickBot="1">
      <c r="A40" s="55">
        <v>4100</v>
      </c>
      <c r="B40" s="55"/>
      <c r="C40" s="56" t="s">
        <v>29</v>
      </c>
      <c r="D40" s="80" t="s">
        <v>81</v>
      </c>
      <c r="E40" s="194"/>
      <c r="F40" s="194" t="s">
        <v>2429</v>
      </c>
      <c r="G40" s="49" t="str">
        <f t="shared" si="3"/>
        <v>0,00</v>
      </c>
      <c r="H40" s="53" t="str">
        <f>IF(Schätzfaktoren!$I$57="ja",(VLOOKUP("NGF",Objektkenndaten,5,0)-VLOOKUP("NF",Objektkenndaten,5,0))*VLOOKUP("F_GANGF",Schätzfaktoren,5,0),"0,00")</f>
        <v>0,00</v>
      </c>
      <c r="I40" s="51"/>
      <c r="J40" s="602" t="s">
        <v>92</v>
      </c>
      <c r="K40" s="39"/>
      <c r="L40" s="42" t="s">
        <v>2220</v>
      </c>
      <c r="M40" s="598"/>
    </row>
    <row r="41" spans="1:13" ht="15" customHeight="1" thickBot="1">
      <c r="A41" s="55">
        <v>4200</v>
      </c>
      <c r="B41" s="55"/>
      <c r="C41" s="56" t="s">
        <v>30</v>
      </c>
      <c r="D41" s="80" t="s">
        <v>82</v>
      </c>
      <c r="E41" s="194"/>
      <c r="F41" s="194" t="s">
        <v>2430</v>
      </c>
      <c r="G41" s="49" t="str">
        <f t="shared" si="3"/>
        <v>0,00</v>
      </c>
      <c r="H41" s="53" t="str">
        <f>IF(Schätzfaktoren!$I$57="ja",(VLOOKUP("NGF",Objektkenndaten,5,0)-VLOOKUP("NF",Objektkenndaten,5,0))*VLOOKUP("F_STIEGF",Schätzfaktoren,5,0),"0,00")</f>
        <v>0,00</v>
      </c>
      <c r="I41" s="51"/>
      <c r="J41" s="602" t="s">
        <v>92</v>
      </c>
      <c r="K41" s="39"/>
      <c r="L41" s="42" t="s">
        <v>2220</v>
      </c>
      <c r="M41" s="598"/>
    </row>
    <row r="42" spans="1:13" ht="15" customHeight="1" thickBot="1">
      <c r="A42" s="55">
        <v>4300</v>
      </c>
      <c r="B42" s="55"/>
      <c r="C42" s="56" t="s">
        <v>31</v>
      </c>
      <c r="D42" s="80" t="s">
        <v>83</v>
      </c>
      <c r="E42" s="194"/>
      <c r="F42" s="194" t="s">
        <v>2431</v>
      </c>
      <c r="G42" s="49" t="str">
        <f t="shared" si="3"/>
        <v>0,00</v>
      </c>
      <c r="H42" s="53" t="str">
        <f>IF(Schätzfaktoren!$I$57="ja",(VLOOKUP("NGF",Objektkenndaten,5,0)-VLOOKUP("NF",Objektkenndaten,5,0))*VLOOKUP("F_GARAF",Schätzfaktoren,5,0),"0,00")</f>
        <v>0,00</v>
      </c>
      <c r="I42" s="51"/>
      <c r="J42" s="602" t="s">
        <v>92</v>
      </c>
      <c r="K42" s="39"/>
      <c r="L42" s="42" t="s">
        <v>2220</v>
      </c>
      <c r="M42" s="598"/>
    </row>
    <row r="43" spans="1:13" ht="15" customHeight="1" thickBot="1">
      <c r="A43" s="55">
        <v>4400</v>
      </c>
      <c r="B43" s="55"/>
      <c r="C43" s="56" t="s">
        <v>32</v>
      </c>
      <c r="D43" s="80" t="s">
        <v>84</v>
      </c>
      <c r="E43" s="194"/>
      <c r="F43" s="194" t="s">
        <v>2432</v>
      </c>
      <c r="G43" s="49" t="str">
        <f t="shared" si="3"/>
        <v>0,00</v>
      </c>
      <c r="H43" s="53" t="str">
        <f>IF(Schätzfaktoren!$I$57="ja",(VLOOKUP("NGF",Objektkenndaten,5,0)-VLOOKUP("NF",Objektkenndaten,5,0))*VLOOKUP("F_NEBF",Schätzfaktoren,5,0),"0,00")</f>
        <v>0,00</v>
      </c>
      <c r="I43" s="51"/>
      <c r="J43" s="602" t="s">
        <v>92</v>
      </c>
      <c r="K43" s="39"/>
      <c r="L43" s="42" t="s">
        <v>2220</v>
      </c>
      <c r="M43" s="598"/>
    </row>
    <row r="44" spans="1:13" ht="15" customHeight="1" thickBot="1">
      <c r="A44" s="55">
        <v>4500</v>
      </c>
      <c r="B44" s="55"/>
      <c r="C44" s="56" t="s">
        <v>33</v>
      </c>
      <c r="D44" s="56" t="s">
        <v>85</v>
      </c>
      <c r="E44" s="194"/>
      <c r="F44" s="194" t="s">
        <v>2433</v>
      </c>
      <c r="G44" s="49" t="str">
        <f t="shared" si="3"/>
        <v>0,00</v>
      </c>
      <c r="H44" s="53" t="str">
        <f>IF(Schätzfaktoren!$I$57="ja",VLOOKUP("INWF",Objektkenndaten,5,0)*VLOOKUP("F_MALFw",Schätzfaktoren,5,0),"0,00")</f>
        <v>0,00</v>
      </c>
      <c r="I44" s="51"/>
      <c r="J44" s="602" t="s">
        <v>92</v>
      </c>
      <c r="K44" s="39"/>
      <c r="L44" s="42" t="s">
        <v>2221</v>
      </c>
      <c r="M44" s="598"/>
    </row>
    <row r="45" spans="1:13" ht="15" customHeight="1" thickBot="1">
      <c r="A45" s="55">
        <v>4600</v>
      </c>
      <c r="B45" s="55"/>
      <c r="C45" s="56" t="s">
        <v>34</v>
      </c>
      <c r="D45" s="56" t="s">
        <v>86</v>
      </c>
      <c r="E45" s="194"/>
      <c r="F45" s="194" t="s">
        <v>2434</v>
      </c>
      <c r="G45" s="49" t="str">
        <f t="shared" si="3"/>
        <v>0,00</v>
      </c>
      <c r="H45" s="53" t="str">
        <f>IF(Schätzfaktoren!$I$57="ja",VLOOKUP("DECKF",Objektkenndaten,5,0)*VLOOKUP("F_MALFd",Schätzfaktoren,5,0),"0,00")</f>
        <v>0,00</v>
      </c>
      <c r="I45" s="51"/>
      <c r="J45" s="602" t="s">
        <v>92</v>
      </c>
      <c r="K45" s="39"/>
      <c r="L45" s="42" t="s">
        <v>2221</v>
      </c>
      <c r="M45" s="598"/>
    </row>
    <row r="46" spans="1:13" s="193" customFormat="1" ht="15" customHeight="1"/>
    <row r="47" spans="1:13" ht="15" customHeight="1" thickBot="1">
      <c r="A47" s="29"/>
      <c r="B47" s="27"/>
      <c r="C47" s="27"/>
      <c r="D47" s="27" t="s">
        <v>1549</v>
      </c>
      <c r="E47" s="208"/>
      <c r="F47" s="209"/>
      <c r="G47" s="27"/>
      <c r="H47" s="27"/>
      <c r="I47" s="27"/>
      <c r="J47" s="27"/>
      <c r="K47" s="45"/>
      <c r="L47" s="39"/>
      <c r="M47" s="27"/>
    </row>
    <row r="48" spans="1:13" ht="15" customHeight="1" thickBot="1">
      <c r="A48" s="55">
        <v>4700</v>
      </c>
      <c r="B48" s="55"/>
      <c r="C48" s="56" t="s">
        <v>35</v>
      </c>
      <c r="D48" s="56" t="s">
        <v>87</v>
      </c>
      <c r="E48" s="194"/>
      <c r="F48" s="194"/>
      <c r="G48" s="49">
        <f t="shared" si="3"/>
        <v>20</v>
      </c>
      <c r="H48" s="53">
        <v>20</v>
      </c>
      <c r="I48" s="61"/>
      <c r="J48" s="599" t="s">
        <v>92</v>
      </c>
      <c r="K48" s="39"/>
      <c r="L48" s="39"/>
      <c r="M48" s="598"/>
    </row>
    <row r="49" spans="1:13" ht="15" customHeight="1" thickBot="1">
      <c r="A49" s="55">
        <v>4750</v>
      </c>
      <c r="B49" s="55"/>
      <c r="C49" s="56" t="s">
        <v>36</v>
      </c>
      <c r="D49" s="194" t="s">
        <v>2435</v>
      </c>
      <c r="E49" s="194"/>
      <c r="F49" s="194" t="s">
        <v>91</v>
      </c>
      <c r="G49" s="84">
        <f t="shared" si="3"/>
        <v>0</v>
      </c>
      <c r="H49" s="53">
        <f>ROUNDUP(VLOOKUP("NF",Objektkenndaten,5,0)/VLOOKUP("NFNUE",Objektkenndaten,5,0),0)</f>
        <v>0</v>
      </c>
      <c r="I49" s="52"/>
      <c r="J49" s="56" t="s">
        <v>94</v>
      </c>
      <c r="M49" s="598"/>
    </row>
    <row r="50" spans="1:13" s="193" customFormat="1" ht="15" customHeight="1" thickBot="1"/>
    <row r="51" spans="1:13" ht="15" customHeight="1" thickTop="1" thickBot="1">
      <c r="A51" s="63"/>
      <c r="B51" s="63"/>
      <c r="C51" s="62"/>
      <c r="D51" s="62" t="s">
        <v>2049</v>
      </c>
      <c r="E51" s="172"/>
      <c r="F51" s="172"/>
      <c r="G51" s="613" t="s">
        <v>1528</v>
      </c>
      <c r="H51" s="613"/>
      <c r="I51" s="613"/>
      <c r="J51" s="613"/>
      <c r="M51" s="62"/>
    </row>
    <row r="52" spans="1:13" ht="15" customHeight="1" thickTop="1" thickBot="1">
      <c r="A52" s="55"/>
      <c r="B52" s="55"/>
      <c r="C52" s="194" t="s">
        <v>1971</v>
      </c>
      <c r="D52" s="91" t="s">
        <v>2371</v>
      </c>
      <c r="E52" s="194"/>
      <c r="F52" s="194" t="s">
        <v>2203</v>
      </c>
      <c r="G52" s="49" t="str">
        <f t="shared" ref="G52:G57" si="4">IF(I52="",H52,I52)</f>
        <v>0,00</v>
      </c>
      <c r="H52" s="53" t="str">
        <f>IF(Schätzfaktoren!$G$109="ja",(VLOOKUP("ENPRODPV",Allgemeine_Angaben,5,0)&lt;&gt;"keine")*(1-0.5*(VLOOKUP("ENPRODSOLAR",Allgemeine_Angaben,5,0)&lt;&gt;"keine"))*VLOOKUP("DACHF",Objektkenndaten,5,0)*VLOOKUP("F_PVDE",Schätzfaktoren,5,0),"0,00")</f>
        <v>0,00</v>
      </c>
      <c r="I52" s="50"/>
      <c r="J52" s="56" t="s">
        <v>92</v>
      </c>
      <c r="M52" s="598"/>
    </row>
    <row r="53" spans="1:13" ht="15" customHeight="1" thickBot="1">
      <c r="A53" s="55"/>
      <c r="B53" s="55"/>
      <c r="C53" s="194" t="s">
        <v>1972</v>
      </c>
      <c r="D53" s="91" t="s">
        <v>2372</v>
      </c>
      <c r="E53" s="194"/>
      <c r="F53" s="194" t="s">
        <v>2204</v>
      </c>
      <c r="G53" s="49" t="str">
        <f t="shared" si="4"/>
        <v>0,00</v>
      </c>
      <c r="H53" s="53" t="str">
        <f>IF(Schätzfaktoren!$G$109="ja",(VLOOKUP("ENPRODPV",Allgemeine_Angaben,5,0)&lt;&gt;"keine")*(1-0.5*(VLOOKUP("ENPRODSOLAR",Allgemeine_Angaben,5,0)&lt;&gt;"keine"))*VLOOKUP("AWF",Objektkenndaten,5,0)*VLOOKUP("F_PVF",Schätzfaktoren,5,0),"0,00")</f>
        <v>0,00</v>
      </c>
      <c r="I53" s="50"/>
      <c r="J53" s="56" t="s">
        <v>92</v>
      </c>
      <c r="M53" s="598"/>
    </row>
    <row r="54" spans="1:13" ht="15" customHeight="1" thickBot="1">
      <c r="A54" s="55"/>
      <c r="B54" s="55"/>
      <c r="C54" s="194" t="s">
        <v>2339</v>
      </c>
      <c r="D54" s="207" t="s">
        <v>2354</v>
      </c>
      <c r="E54" s="194"/>
      <c r="F54" s="194"/>
      <c r="G54" s="49">
        <f t="shared" si="4"/>
        <v>0</v>
      </c>
      <c r="H54" s="53"/>
      <c r="I54" s="50"/>
      <c r="J54" s="111" t="s">
        <v>92</v>
      </c>
      <c r="M54" s="598"/>
    </row>
    <row r="55" spans="1:13" ht="15" customHeight="1" thickBot="1">
      <c r="A55" s="55"/>
      <c r="B55" s="55"/>
      <c r="C55" s="194" t="s">
        <v>2156</v>
      </c>
      <c r="D55" s="91" t="s">
        <v>2373</v>
      </c>
      <c r="E55" s="194"/>
      <c r="F55" s="194" t="s">
        <v>2203</v>
      </c>
      <c r="G55" s="49" t="str">
        <f t="shared" si="4"/>
        <v>0,00</v>
      </c>
      <c r="H55" s="53" t="str">
        <f>IF(Schätzfaktoren!$G$109="ja",(VLOOKUP("ENPRODSOLAR",Allgemeine_Angaben,5,0)&lt;&gt;"keine")*(1-0.5*(VLOOKUP("ENPRODPV",Allgemeine_Angaben,5,0)&lt;&gt;"keine"))*VLOOKUP("DACHF",Objektkenndaten,5,0)*VLOOKUP("F_PVDE",Schätzfaktoren,5,0),"0,00")</f>
        <v>0,00</v>
      </c>
      <c r="I55" s="50"/>
      <c r="J55" s="56" t="s">
        <v>92</v>
      </c>
      <c r="M55" s="598"/>
    </row>
    <row r="56" spans="1:13" ht="15" customHeight="1" thickBot="1">
      <c r="A56" s="55"/>
      <c r="B56" s="55"/>
      <c r="C56" s="194" t="s">
        <v>1973</v>
      </c>
      <c r="D56" s="91" t="s">
        <v>2374</v>
      </c>
      <c r="E56" s="194"/>
      <c r="F56" s="194" t="s">
        <v>2204</v>
      </c>
      <c r="G56" s="49" t="str">
        <f t="shared" si="4"/>
        <v>0,00</v>
      </c>
      <c r="H56" s="53" t="str">
        <f>IF(Schätzfaktoren!$G$109="ja",(VLOOKUP("ENPRODSOLAR",Allgemeine_Angaben,5,0)&lt;&gt;"keine")*(1-0.5*(VLOOKUP("ENPRODPV",Allgemeine_Angaben,5,0)&lt;&gt;"keine"))*VLOOKUP("AWF",Objektkenndaten,5,0)*VLOOKUP("F_PVF",Schätzfaktoren,5,0),"0,00")</f>
        <v>0,00</v>
      </c>
      <c r="I56" s="50"/>
      <c r="J56" s="56" t="s">
        <v>92</v>
      </c>
      <c r="M56" s="598"/>
    </row>
    <row r="57" spans="1:13" ht="15" customHeight="1" thickBot="1">
      <c r="A57" s="55"/>
      <c r="B57" s="55"/>
      <c r="C57" s="194" t="s">
        <v>2338</v>
      </c>
      <c r="D57" s="207" t="s">
        <v>2354</v>
      </c>
      <c r="E57" s="194"/>
      <c r="F57" s="194"/>
      <c r="G57" s="49">
        <f t="shared" si="4"/>
        <v>0</v>
      </c>
      <c r="H57" s="53"/>
      <c r="I57" s="50"/>
      <c r="J57" s="56" t="s">
        <v>92</v>
      </c>
      <c r="M57" s="598"/>
    </row>
    <row r="58" spans="1:13" s="193" customFormat="1" ht="15" customHeight="1"/>
    <row r="59" spans="1:13" ht="15" customHeight="1" thickBot="1">
      <c r="A59" s="63"/>
      <c r="B59" s="63"/>
      <c r="C59" s="62"/>
      <c r="D59" s="62" t="s">
        <v>2419</v>
      </c>
      <c r="E59" s="62"/>
      <c r="F59" s="62"/>
      <c r="G59" s="62"/>
      <c r="H59" s="62"/>
      <c r="I59" s="62"/>
      <c r="J59" s="62"/>
      <c r="M59" s="62"/>
    </row>
    <row r="60" spans="1:13" ht="15" customHeight="1" thickBot="1">
      <c r="A60" s="55">
        <v>5000</v>
      </c>
      <c r="B60" s="55"/>
      <c r="C60" s="56" t="s">
        <v>37</v>
      </c>
      <c r="D60" s="56" t="s">
        <v>88</v>
      </c>
      <c r="E60" s="56"/>
      <c r="F60" s="56"/>
      <c r="G60" s="49">
        <f>IF(I60="",H60,I60)</f>
        <v>0</v>
      </c>
      <c r="H60" s="53"/>
      <c r="I60" s="51"/>
      <c r="J60" s="56" t="s">
        <v>94</v>
      </c>
      <c r="M60" s="598"/>
    </row>
    <row r="61" spans="1:13" ht="15" customHeight="1" thickBot="1">
      <c r="A61" s="55">
        <v>5100</v>
      </c>
      <c r="B61" s="55"/>
      <c r="C61" s="56" t="s">
        <v>38</v>
      </c>
      <c r="D61" s="111" t="s">
        <v>2420</v>
      </c>
      <c r="E61" s="56" t="s">
        <v>2051</v>
      </c>
      <c r="F61" s="56"/>
      <c r="G61" s="49">
        <f>IF(I61="",H61,I61)</f>
        <v>0</v>
      </c>
      <c r="H61" s="53"/>
      <c r="I61" s="51"/>
      <c r="J61" s="56" t="s">
        <v>95</v>
      </c>
      <c r="M61" s="598"/>
    </row>
  </sheetData>
  <sheetProtection password="FDAF" sheet="1" objects="1" scenarios="1" selectLockedCells="1"/>
  <mergeCells count="2">
    <mergeCell ref="G25:J25"/>
    <mergeCell ref="G51:J51"/>
  </mergeCells>
  <hyperlinks>
    <hyperlink ref="G25" location="Schätzfaktoren!D52" display="Berechnung mit Schätzfaktoren"/>
    <hyperlink ref="G51" location="Schätzfaktoren!D103" display="Berechnung mit Schätzfaktoren"/>
    <hyperlink ref="G51:J51" location="Schätzfaktoren!I111" display="Berechnung mit Schätzfaktoren"/>
    <hyperlink ref="G25:J25" location="Schätzfaktoren!I71" display="Berechnung mit Schätzfaktoren"/>
  </hyperlinks>
  <pageMargins left="0.78740157480314965" right="0.78740157480314965" top="0.98425196850393704" bottom="0.98425196850393704" header="0.51181102362204722" footer="0.51181102362204722"/>
  <pageSetup paperSize="9" fitToHeight="0" orientation="landscape" horizontalDpi="300" verticalDpi="300" r:id="rId1"/>
  <headerFooter>
    <oddFooter>&amp;L&amp;F&amp;C&amp;A&amp;R&amp;P von &amp;N</oddFooter>
  </headerFooter>
  <colBreaks count="1" manualBreakCount="1">
    <brk id="10" max="1048575" man="1"/>
  </colBreaks>
  <legacyDrawing r:id="rId2"/>
</worksheet>
</file>

<file path=xl/worksheets/sheet5.xml><?xml version="1.0" encoding="utf-8"?>
<worksheet xmlns="http://schemas.openxmlformats.org/spreadsheetml/2006/main" xmlns:r="http://schemas.openxmlformats.org/officeDocument/2006/relationships">
  <sheetPr codeName="Tabelle4">
    <tabColor theme="9" tint="0.39997558519241921"/>
    <pageSetUpPr fitToPage="1"/>
  </sheetPr>
  <dimension ref="A1:S208"/>
  <sheetViews>
    <sheetView topLeftCell="C1" zoomScaleNormal="100" workbookViewId="0">
      <pane xSplit="3" ySplit="2" topLeftCell="F3" activePane="bottomRight" state="frozenSplit"/>
      <selection activeCell="P5" sqref="P5"/>
      <selection pane="topRight" activeCell="P5" sqref="P5"/>
      <selection pane="bottomLeft" activeCell="P5" sqref="P5"/>
      <selection pane="bottomRight" activeCell="H13" sqref="H13"/>
    </sheetView>
  </sheetViews>
  <sheetFormatPr baseColWidth="10" defaultRowHeight="15" customHeight="1" outlineLevelCol="1"/>
  <cols>
    <col min="1" max="1" width="7.83203125" style="37" hidden="1" customWidth="1" outlineLevel="1"/>
    <col min="2" max="2" width="6" style="37" hidden="1" customWidth="1" outlineLevel="1"/>
    <col min="3" max="3" width="13.5" style="37" customWidth="1" collapsed="1"/>
    <col min="4" max="4" width="35.1640625" style="37" customWidth="1"/>
    <col min="5" max="5" width="33.33203125" style="37" hidden="1" customWidth="1" outlineLevel="1"/>
    <col min="6" max="6" width="11.83203125" style="37" customWidth="1" collapsed="1"/>
    <col min="7" max="7" width="10.83203125" style="37" hidden="1" customWidth="1" outlineLevel="1"/>
    <col min="8" max="8" width="10.83203125" style="47" customWidth="1" collapsed="1"/>
    <col min="9" max="9" width="7.1640625" style="37" customWidth="1"/>
    <col min="10" max="10" width="33" style="37" customWidth="1"/>
    <col min="11" max="11" width="12.5" style="37" hidden="1" customWidth="1" outlineLevel="1"/>
    <col min="12" max="12" width="36" style="37" customWidth="1" collapsed="1"/>
    <col min="13" max="13" width="28" style="37" hidden="1" customWidth="1" outlineLevel="1"/>
    <col min="14" max="14" width="15.83203125" style="47" customWidth="1" collapsed="1"/>
    <col min="15" max="15" width="15.83203125" style="47" hidden="1" customWidth="1" outlineLevel="1"/>
    <col min="16" max="16" width="15.83203125" style="47" customWidth="1" collapsed="1"/>
    <col min="17" max="17" width="8.33203125" style="37" customWidth="1"/>
    <col min="18" max="18" width="2.83203125" style="37" customWidth="1"/>
    <col min="19" max="19" width="40.83203125" style="37" customWidth="1"/>
    <col min="20" max="16384" width="12" style="37"/>
  </cols>
  <sheetData>
    <row r="1" spans="1:19" s="64" customFormat="1" ht="18" customHeight="1">
      <c r="A1" s="287" t="s">
        <v>0</v>
      </c>
      <c r="B1" s="287"/>
      <c r="C1" s="287"/>
      <c r="D1" s="287"/>
      <c r="E1" s="287"/>
      <c r="F1" s="615" t="s">
        <v>1512</v>
      </c>
      <c r="G1" s="615"/>
      <c r="H1" s="615"/>
      <c r="I1" s="615"/>
      <c r="J1" s="614" t="s">
        <v>1515</v>
      </c>
      <c r="K1" s="614"/>
      <c r="L1" s="614"/>
      <c r="M1" s="287"/>
      <c r="N1" s="538" t="s">
        <v>2673</v>
      </c>
      <c r="O1" s="483"/>
      <c r="P1" s="484"/>
      <c r="Q1" s="484" t="str">
        <f>'Allgemeine Angaben'!$G$16</f>
        <v>brutto (inkl. USt.)</v>
      </c>
      <c r="S1" s="510" t="s">
        <v>2770</v>
      </c>
    </row>
    <row r="2" spans="1:19" s="64" customFormat="1" ht="15" customHeight="1" thickBot="1">
      <c r="A2" s="288" t="s">
        <v>1</v>
      </c>
      <c r="B2" s="287" t="s">
        <v>719</v>
      </c>
      <c r="C2" s="288" t="s">
        <v>2</v>
      </c>
      <c r="D2" s="288" t="s">
        <v>66</v>
      </c>
      <c r="E2" s="288" t="s">
        <v>89</v>
      </c>
      <c r="F2" s="510" t="s">
        <v>1207</v>
      </c>
      <c r="G2" s="510" t="s">
        <v>1208</v>
      </c>
      <c r="H2" s="510" t="s">
        <v>1206</v>
      </c>
      <c r="I2" s="510" t="s">
        <v>1484</v>
      </c>
      <c r="J2" s="510" t="s">
        <v>1207</v>
      </c>
      <c r="K2" s="288" t="s">
        <v>1208</v>
      </c>
      <c r="L2" s="510" t="s">
        <v>1279</v>
      </c>
      <c r="M2" s="288" t="s">
        <v>90</v>
      </c>
      <c r="N2" s="511" t="s">
        <v>1207</v>
      </c>
      <c r="O2" s="512" t="s">
        <v>1208</v>
      </c>
      <c r="P2" s="512" t="s">
        <v>1206</v>
      </c>
      <c r="Q2" s="512" t="s">
        <v>1484</v>
      </c>
      <c r="R2" s="470"/>
      <c r="S2" s="288"/>
    </row>
    <row r="3" spans="1:19" ht="15" customHeight="1" thickTop="1" thickBot="1">
      <c r="A3" s="209">
        <v>100</v>
      </c>
      <c r="B3" s="289" t="s">
        <v>721</v>
      </c>
      <c r="C3" s="208" t="s">
        <v>354</v>
      </c>
      <c r="D3" s="208" t="s">
        <v>353</v>
      </c>
      <c r="E3" s="208"/>
      <c r="F3" s="209"/>
      <c r="G3" s="208"/>
      <c r="H3" s="209"/>
      <c r="I3" s="208"/>
      <c r="J3" s="467"/>
      <c r="K3" s="209"/>
      <c r="L3" s="467"/>
      <c r="M3" s="172"/>
      <c r="N3" s="616" t="s">
        <v>1528</v>
      </c>
      <c r="O3" s="617"/>
      <c r="P3" s="617"/>
      <c r="Q3" s="617"/>
      <c r="S3" s="208"/>
    </row>
    <row r="4" spans="1:19" ht="15" customHeight="1" thickTop="1" thickBot="1">
      <c r="A4" s="209">
        <v>200</v>
      </c>
      <c r="B4" s="289" t="s">
        <v>724</v>
      </c>
      <c r="C4" s="208" t="s">
        <v>352</v>
      </c>
      <c r="D4" s="208" t="s">
        <v>351</v>
      </c>
      <c r="E4" s="208"/>
      <c r="F4" s="209"/>
      <c r="G4" s="208"/>
      <c r="H4" s="209"/>
      <c r="I4" s="208"/>
      <c r="J4" s="209"/>
      <c r="K4" s="209"/>
      <c r="L4" s="466"/>
      <c r="M4" s="208" t="s">
        <v>117</v>
      </c>
      <c r="N4" s="513">
        <f>SUM(N5:N7)</f>
        <v>0</v>
      </c>
      <c r="O4" s="514"/>
      <c r="P4" s="514" t="s">
        <v>103</v>
      </c>
      <c r="Q4" s="514"/>
      <c r="S4" s="208"/>
    </row>
    <row r="5" spans="1:19" ht="15" customHeight="1" thickBot="1">
      <c r="A5" s="55">
        <v>300</v>
      </c>
      <c r="B5" s="290" t="s">
        <v>728</v>
      </c>
      <c r="C5" s="194" t="s">
        <v>350</v>
      </c>
      <c r="D5" s="194" t="s">
        <v>0</v>
      </c>
      <c r="E5" s="194"/>
      <c r="F5" s="71"/>
      <c r="G5" s="67"/>
      <c r="H5" s="67"/>
      <c r="I5" s="194"/>
      <c r="J5" s="72"/>
      <c r="K5" s="67"/>
      <c r="L5" s="67"/>
      <c r="M5" s="194"/>
      <c r="N5" s="515">
        <f t="shared" ref="N5:N100" si="0">IF(P5="",O5,P5)</f>
        <v>0</v>
      </c>
      <c r="O5" s="516"/>
      <c r="P5" s="517"/>
      <c r="Q5" s="518" t="s">
        <v>103</v>
      </c>
      <c r="S5" s="598"/>
    </row>
    <row r="6" spans="1:19" ht="15" customHeight="1" thickBot="1">
      <c r="A6" s="55">
        <v>400</v>
      </c>
      <c r="B6" s="290" t="s">
        <v>728</v>
      </c>
      <c r="C6" s="194" t="s">
        <v>349</v>
      </c>
      <c r="D6" s="194" t="s">
        <v>348</v>
      </c>
      <c r="E6" s="194"/>
      <c r="F6" s="71"/>
      <c r="G6" s="67"/>
      <c r="H6" s="67"/>
      <c r="I6" s="194"/>
      <c r="J6" s="72"/>
      <c r="K6" s="67"/>
      <c r="L6" s="67"/>
      <c r="M6" s="194"/>
      <c r="N6" s="515">
        <f t="shared" si="0"/>
        <v>0</v>
      </c>
      <c r="O6" s="516"/>
      <c r="P6" s="517"/>
      <c r="Q6" s="518" t="s">
        <v>103</v>
      </c>
      <c r="S6" s="598"/>
    </row>
    <row r="7" spans="1:19" ht="15" customHeight="1" thickBot="1">
      <c r="A7" s="55">
        <v>500</v>
      </c>
      <c r="B7" s="290" t="s">
        <v>728</v>
      </c>
      <c r="C7" s="194" t="s">
        <v>347</v>
      </c>
      <c r="D7" s="194" t="s">
        <v>346</v>
      </c>
      <c r="E7" s="194" t="s">
        <v>1172</v>
      </c>
      <c r="F7" s="71"/>
      <c r="G7" s="67"/>
      <c r="H7" s="67"/>
      <c r="I7" s="194"/>
      <c r="J7" s="72"/>
      <c r="K7" s="67"/>
      <c r="L7" s="67"/>
      <c r="M7" s="194"/>
      <c r="N7" s="515">
        <f t="shared" si="0"/>
        <v>0</v>
      </c>
      <c r="O7" s="516"/>
      <c r="P7" s="519"/>
      <c r="Q7" s="518" t="s">
        <v>103</v>
      </c>
      <c r="S7" s="598"/>
    </row>
    <row r="8" spans="1:19" ht="15" customHeight="1" thickBot="1">
      <c r="A8" s="293">
        <v>700</v>
      </c>
      <c r="B8" s="294" t="s">
        <v>724</v>
      </c>
      <c r="C8" s="172" t="s">
        <v>345</v>
      </c>
      <c r="D8" s="172" t="s">
        <v>344</v>
      </c>
      <c r="E8" s="172"/>
      <c r="F8" s="171"/>
      <c r="G8" s="172"/>
      <c r="H8" s="171"/>
      <c r="I8" s="172"/>
      <c r="J8" s="171"/>
      <c r="K8" s="171"/>
      <c r="L8" s="171"/>
      <c r="M8" s="172" t="s">
        <v>117</v>
      </c>
      <c r="N8" s="513">
        <f>SUM(N9:N12,N15:N16)</f>
        <v>0</v>
      </c>
      <c r="O8" s="520"/>
      <c r="P8" s="521" t="s">
        <v>103</v>
      </c>
      <c r="Q8" s="521"/>
      <c r="S8" s="172"/>
    </row>
    <row r="9" spans="1:19" ht="15" customHeight="1" thickBot="1">
      <c r="A9" s="55">
        <v>800</v>
      </c>
      <c r="B9" s="290" t="s">
        <v>728</v>
      </c>
      <c r="C9" s="194" t="s">
        <v>343</v>
      </c>
      <c r="D9" s="194" t="s">
        <v>0</v>
      </c>
      <c r="E9" s="194"/>
      <c r="F9" s="71"/>
      <c r="G9" s="67"/>
      <c r="H9" s="67"/>
      <c r="I9" s="194"/>
      <c r="J9" s="72"/>
      <c r="K9" s="67"/>
      <c r="L9" s="67"/>
      <c r="M9" s="194"/>
      <c r="N9" s="515">
        <f t="shared" si="0"/>
        <v>0</v>
      </c>
      <c r="O9" s="516"/>
      <c r="P9" s="517"/>
      <c r="Q9" s="518" t="s">
        <v>103</v>
      </c>
      <c r="S9" s="598"/>
    </row>
    <row r="10" spans="1:19" ht="15" customHeight="1" thickBot="1">
      <c r="A10" s="55">
        <v>900</v>
      </c>
      <c r="B10" s="290" t="s">
        <v>728</v>
      </c>
      <c r="C10" s="194" t="s">
        <v>342</v>
      </c>
      <c r="D10" s="194" t="s">
        <v>341</v>
      </c>
      <c r="E10" s="194"/>
      <c r="F10" s="71"/>
      <c r="G10" s="67"/>
      <c r="H10" s="67"/>
      <c r="I10" s="194"/>
      <c r="J10" s="72"/>
      <c r="K10" s="67"/>
      <c r="L10" s="67"/>
      <c r="M10" s="194"/>
      <c r="N10" s="515">
        <f t="shared" si="0"/>
        <v>0</v>
      </c>
      <c r="O10" s="516"/>
      <c r="P10" s="517"/>
      <c r="Q10" s="518" t="s">
        <v>103</v>
      </c>
      <c r="S10" s="598"/>
    </row>
    <row r="11" spans="1:19" ht="15" customHeight="1" thickBot="1">
      <c r="A11" s="55">
        <v>1000</v>
      </c>
      <c r="B11" s="290" t="s">
        <v>728</v>
      </c>
      <c r="C11" s="194" t="s">
        <v>340</v>
      </c>
      <c r="D11" s="194" t="s">
        <v>339</v>
      </c>
      <c r="E11" s="194"/>
      <c r="F11" s="71"/>
      <c r="G11" s="67"/>
      <c r="H11" s="67"/>
      <c r="I11" s="194"/>
      <c r="J11" s="72"/>
      <c r="K11" s="67"/>
      <c r="L11" s="67"/>
      <c r="M11" s="194"/>
      <c r="N11" s="515">
        <f t="shared" si="0"/>
        <v>0</v>
      </c>
      <c r="O11" s="516"/>
      <c r="P11" s="517"/>
      <c r="Q11" s="518" t="s">
        <v>103</v>
      </c>
      <c r="S11" s="598"/>
    </row>
    <row r="12" spans="1:19" s="66" customFormat="1" ht="15" customHeight="1" thickBot="1">
      <c r="A12" s="55"/>
      <c r="B12" s="290" t="s">
        <v>728</v>
      </c>
      <c r="C12" s="194" t="s">
        <v>1179</v>
      </c>
      <c r="D12" s="194" t="s">
        <v>1180</v>
      </c>
      <c r="E12" s="194"/>
      <c r="F12" s="71"/>
      <c r="G12" s="67"/>
      <c r="H12" s="67"/>
      <c r="I12" s="194"/>
      <c r="J12" s="72"/>
      <c r="K12" s="67"/>
      <c r="L12" s="67"/>
      <c r="M12" s="194"/>
      <c r="N12" s="515">
        <f>IF(P12="",O12,P12)</f>
        <v>0</v>
      </c>
      <c r="O12" s="516"/>
      <c r="P12" s="517"/>
      <c r="Q12" s="518" t="s">
        <v>103</v>
      </c>
      <c r="S12" s="598"/>
    </row>
    <row r="13" spans="1:19" s="66" customFormat="1" ht="15" customHeight="1" thickBot="1">
      <c r="A13" s="55"/>
      <c r="B13" s="290" t="s">
        <v>728</v>
      </c>
      <c r="C13" s="194" t="s">
        <v>1668</v>
      </c>
      <c r="D13" s="75" t="s">
        <v>1275</v>
      </c>
      <c r="E13" s="194"/>
      <c r="F13" s="291">
        <f t="shared" ref="F13:F14" si="1">IF(H13="",G13,H13)</f>
        <v>0</v>
      </c>
      <c r="G13" s="292"/>
      <c r="H13" s="296"/>
      <c r="I13" s="194" t="s">
        <v>93</v>
      </c>
      <c r="J13" s="72"/>
      <c r="K13" s="67"/>
      <c r="L13" s="67"/>
      <c r="M13" s="194"/>
      <c r="N13" s="522"/>
      <c r="O13" s="523"/>
      <c r="P13" s="523"/>
      <c r="Q13" s="518"/>
      <c r="S13" s="598"/>
    </row>
    <row r="14" spans="1:19" s="66" customFormat="1" ht="15" customHeight="1" thickBot="1">
      <c r="A14" s="55"/>
      <c r="B14" s="290" t="s">
        <v>728</v>
      </c>
      <c r="C14" s="194" t="s">
        <v>1669</v>
      </c>
      <c r="D14" s="75" t="s">
        <v>1276</v>
      </c>
      <c r="E14" s="194"/>
      <c r="F14" s="152">
        <f t="shared" si="1"/>
        <v>50</v>
      </c>
      <c r="G14" s="297">
        <v>50</v>
      </c>
      <c r="H14" s="298"/>
      <c r="I14" s="194" t="s">
        <v>1277</v>
      </c>
      <c r="J14" s="72"/>
      <c r="K14" s="67"/>
      <c r="L14" s="67"/>
      <c r="M14" s="194"/>
      <c r="N14" s="522"/>
      <c r="O14" s="523"/>
      <c r="P14" s="523"/>
      <c r="Q14" s="518"/>
      <c r="S14" s="598"/>
    </row>
    <row r="15" spans="1:19" ht="15" customHeight="1" thickBot="1">
      <c r="A15" s="55">
        <v>1100</v>
      </c>
      <c r="B15" s="290" t="s">
        <v>728</v>
      </c>
      <c r="C15" s="194" t="s">
        <v>338</v>
      </c>
      <c r="D15" s="194" t="s">
        <v>337</v>
      </c>
      <c r="E15" s="194"/>
      <c r="F15" s="67"/>
      <c r="G15" s="67"/>
      <c r="H15" s="67"/>
      <c r="I15" s="194"/>
      <c r="J15" s="72"/>
      <c r="K15" s="67"/>
      <c r="L15" s="67"/>
      <c r="M15" s="194"/>
      <c r="N15" s="515">
        <f t="shared" si="0"/>
        <v>0</v>
      </c>
      <c r="O15" s="516"/>
      <c r="P15" s="517"/>
      <c r="Q15" s="518" t="s">
        <v>103</v>
      </c>
      <c r="S15" s="598"/>
    </row>
    <row r="16" spans="1:19" ht="15" customHeight="1" thickBot="1">
      <c r="A16" s="55">
        <v>1200</v>
      </c>
      <c r="B16" s="290" t="s">
        <v>728</v>
      </c>
      <c r="C16" s="194" t="s">
        <v>336</v>
      </c>
      <c r="D16" s="194" t="s">
        <v>335</v>
      </c>
      <c r="E16" s="194" t="s">
        <v>1172</v>
      </c>
      <c r="F16" s="67"/>
      <c r="G16" s="67"/>
      <c r="H16" s="67"/>
      <c r="I16" s="194"/>
      <c r="J16" s="72"/>
      <c r="K16" s="67"/>
      <c r="L16" s="67"/>
      <c r="M16" s="194"/>
      <c r="N16" s="515">
        <f t="shared" si="0"/>
        <v>0</v>
      </c>
      <c r="O16" s="516"/>
      <c r="P16" s="519"/>
      <c r="Q16" s="518" t="s">
        <v>103</v>
      </c>
      <c r="S16" s="598"/>
    </row>
    <row r="17" spans="1:19" ht="15" customHeight="1" thickBot="1">
      <c r="A17" s="293">
        <v>1400</v>
      </c>
      <c r="B17" s="294" t="s">
        <v>724</v>
      </c>
      <c r="C17" s="172" t="s">
        <v>334</v>
      </c>
      <c r="D17" s="172" t="s">
        <v>333</v>
      </c>
      <c r="E17" s="172"/>
      <c r="F17" s="171"/>
      <c r="G17" s="172"/>
      <c r="H17" s="171"/>
      <c r="I17" s="172"/>
      <c r="J17" s="171"/>
      <c r="K17" s="171"/>
      <c r="L17" s="171"/>
      <c r="M17" s="172" t="s">
        <v>117</v>
      </c>
      <c r="N17" s="513">
        <f>SUM(N18,N19,N21,N37,N62,N76,N77)</f>
        <v>0</v>
      </c>
      <c r="O17" s="520"/>
      <c r="P17" s="521" t="s">
        <v>103</v>
      </c>
      <c r="Q17" s="521"/>
      <c r="R17" s="47"/>
      <c r="S17" s="172"/>
    </row>
    <row r="18" spans="1:19" ht="15" customHeight="1" thickBot="1">
      <c r="A18" s="55">
        <v>1500</v>
      </c>
      <c r="B18" s="290" t="s">
        <v>728</v>
      </c>
      <c r="C18" s="194" t="s">
        <v>332</v>
      </c>
      <c r="D18" s="194" t="s">
        <v>0</v>
      </c>
      <c r="E18" s="194"/>
      <c r="F18" s="67"/>
      <c r="G18" s="67"/>
      <c r="H18" s="67"/>
      <c r="I18" s="194"/>
      <c r="J18" s="72"/>
      <c r="K18" s="67"/>
      <c r="L18" s="67"/>
      <c r="M18" s="194"/>
      <c r="N18" s="524">
        <f t="shared" si="0"/>
        <v>0</v>
      </c>
      <c r="O18" s="516"/>
      <c r="P18" s="517"/>
      <c r="Q18" s="518" t="s">
        <v>103</v>
      </c>
      <c r="S18" s="598"/>
    </row>
    <row r="19" spans="1:19" ht="15" customHeight="1" thickBot="1">
      <c r="A19" s="55">
        <v>1600</v>
      </c>
      <c r="B19" s="290" t="s">
        <v>728</v>
      </c>
      <c r="C19" s="194" t="s">
        <v>331</v>
      </c>
      <c r="D19" s="194" t="s">
        <v>330</v>
      </c>
      <c r="E19" s="194"/>
      <c r="F19" s="67"/>
      <c r="G19" s="67"/>
      <c r="H19" s="67"/>
      <c r="I19" s="194"/>
      <c r="J19" s="72"/>
      <c r="K19" s="67"/>
      <c r="L19" s="67"/>
      <c r="M19" s="194" t="s">
        <v>329</v>
      </c>
      <c r="N19" s="524">
        <f t="shared" si="0"/>
        <v>0</v>
      </c>
      <c r="O19" s="525">
        <f>IF(Schätzfaktoren!$G$3="ja",VLOOKUP("BAUGRV",Objektkenndaten,5,0)*VLOOKUP("K_BAUGRV",Schätzfaktoren,5,0),0)</f>
        <v>0</v>
      </c>
      <c r="P19" s="526"/>
      <c r="Q19" s="518" t="s">
        <v>103</v>
      </c>
      <c r="S19" s="598"/>
    </row>
    <row r="20" spans="1:19" ht="15" customHeight="1" thickBot="1">
      <c r="A20" s="55"/>
      <c r="B20" s="290" t="s">
        <v>728</v>
      </c>
      <c r="C20" s="194" t="s">
        <v>1670</v>
      </c>
      <c r="D20" s="75" t="s">
        <v>1278</v>
      </c>
      <c r="E20" s="194"/>
      <c r="F20" s="152">
        <f t="shared" ref="F20" si="2">IF(H20="",G20,H20)</f>
        <v>50</v>
      </c>
      <c r="G20" s="297">
        <v>50</v>
      </c>
      <c r="H20" s="298"/>
      <c r="I20" s="194" t="s">
        <v>1277</v>
      </c>
      <c r="J20" s="72"/>
      <c r="K20" s="67"/>
      <c r="L20" s="67"/>
      <c r="M20" s="194"/>
      <c r="N20" s="522"/>
      <c r="O20" s="523"/>
      <c r="P20" s="523"/>
      <c r="Q20" s="518"/>
      <c r="R20" s="66"/>
      <c r="S20" s="598"/>
    </row>
    <row r="21" spans="1:19" ht="15" customHeight="1" thickTop="1" thickBot="1">
      <c r="A21" s="293">
        <v>1700</v>
      </c>
      <c r="B21" s="294" t="s">
        <v>728</v>
      </c>
      <c r="C21" s="172" t="s">
        <v>328</v>
      </c>
      <c r="D21" s="172" t="s">
        <v>327</v>
      </c>
      <c r="E21" s="172"/>
      <c r="F21" s="171"/>
      <c r="G21" s="172"/>
      <c r="H21" s="171"/>
      <c r="I21" s="172"/>
      <c r="J21" s="608" t="s">
        <v>2712</v>
      </c>
      <c r="K21" s="608"/>
      <c r="L21" s="608"/>
      <c r="M21" s="172" t="s">
        <v>117</v>
      </c>
      <c r="N21" s="513">
        <f>SUM(N22:N23,N27,N31:N33)</f>
        <v>0</v>
      </c>
      <c r="O21" s="520"/>
      <c r="P21" s="521" t="s">
        <v>103</v>
      </c>
      <c r="Q21" s="521"/>
      <c r="R21" s="47"/>
      <c r="S21" s="172"/>
    </row>
    <row r="22" spans="1:19" s="66" customFormat="1" ht="15" customHeight="1" thickTop="1" thickBot="1">
      <c r="A22" s="55"/>
      <c r="B22" s="290"/>
      <c r="C22" s="194" t="s">
        <v>1185</v>
      </c>
      <c r="D22" s="194" t="s">
        <v>1181</v>
      </c>
      <c r="E22" s="194"/>
      <c r="F22" s="70"/>
      <c r="G22" s="67"/>
      <c r="H22" s="194"/>
      <c r="I22" s="194"/>
      <c r="J22" s="72"/>
      <c r="K22" s="67"/>
      <c r="L22" s="67"/>
      <c r="M22" s="194"/>
      <c r="N22" s="515">
        <f t="shared" si="0"/>
        <v>0</v>
      </c>
      <c r="O22" s="516"/>
      <c r="P22" s="517"/>
      <c r="Q22" s="518" t="s">
        <v>103</v>
      </c>
      <c r="S22" s="598"/>
    </row>
    <row r="23" spans="1:19" s="66" customFormat="1" ht="15" customHeight="1" thickBot="1">
      <c r="A23" s="55"/>
      <c r="B23" s="290"/>
      <c r="C23" s="194" t="s">
        <v>1186</v>
      </c>
      <c r="D23" s="194" t="s">
        <v>1182</v>
      </c>
      <c r="E23" s="194"/>
      <c r="F23" s="291">
        <f t="shared" ref="F23:F25" si="3">IF(H23="",G23,H23)</f>
        <v>0</v>
      </c>
      <c r="G23" s="297">
        <f>VLOOKUP("GRÜNDF",Objektkenndaten,5,0)</f>
        <v>0</v>
      </c>
      <c r="H23" s="298"/>
      <c r="I23" s="194" t="s">
        <v>92</v>
      </c>
      <c r="J23" s="72"/>
      <c r="K23" s="67"/>
      <c r="L23" s="67"/>
      <c r="M23" s="194"/>
      <c r="N23" s="515">
        <f t="shared" si="0"/>
        <v>0</v>
      </c>
      <c r="O23" s="516"/>
      <c r="P23" s="517"/>
      <c r="Q23" s="518" t="s">
        <v>103</v>
      </c>
      <c r="S23" s="598"/>
    </row>
    <row r="24" spans="1:19" s="66" customFormat="1" ht="15" customHeight="1" thickBot="1">
      <c r="A24" s="55"/>
      <c r="B24" s="290"/>
      <c r="C24" s="194" t="s">
        <v>1671</v>
      </c>
      <c r="D24" s="75" t="s">
        <v>1430</v>
      </c>
      <c r="E24" s="194"/>
      <c r="F24" s="70"/>
      <c r="G24" s="67"/>
      <c r="H24" s="194"/>
      <c r="I24" s="194"/>
      <c r="J24" s="49" t="str">
        <f>IF(L24="Bitte auswählen",K24,L24)</f>
        <v>keine Angabe</v>
      </c>
      <c r="K24" s="292" t="s">
        <v>1870</v>
      </c>
      <c r="L24" s="299" t="s">
        <v>2071</v>
      </c>
      <c r="M24" s="194"/>
      <c r="N24" s="524"/>
      <c r="O24" s="523"/>
      <c r="P24" s="523"/>
      <c r="Q24" s="518"/>
      <c r="S24" s="598"/>
    </row>
    <row r="25" spans="1:19" s="66" customFormat="1" ht="15" customHeight="1" thickBot="1">
      <c r="A25" s="55"/>
      <c r="B25" s="290"/>
      <c r="C25" s="194" t="s">
        <v>1672</v>
      </c>
      <c r="D25" s="75" t="s">
        <v>1431</v>
      </c>
      <c r="E25" s="194"/>
      <c r="F25" s="291">
        <f t="shared" si="3"/>
        <v>0</v>
      </c>
      <c r="G25" s="292"/>
      <c r="H25" s="296"/>
      <c r="I25" s="194" t="s">
        <v>1514</v>
      </c>
      <c r="J25" s="49" t="str">
        <f>IF(L25="Bitte auswählen",K25,L25)</f>
        <v>keine Angabe</v>
      </c>
      <c r="K25" s="292" t="s">
        <v>1870</v>
      </c>
      <c r="L25" s="299" t="s">
        <v>2071</v>
      </c>
      <c r="M25" s="194"/>
      <c r="N25" s="524"/>
      <c r="O25" s="523"/>
      <c r="P25" s="523"/>
      <c r="Q25" s="518"/>
      <c r="S25" s="598"/>
    </row>
    <row r="26" spans="1:19" s="66" customFormat="1" ht="15" customHeight="1" thickBot="1">
      <c r="A26" s="55"/>
      <c r="B26" s="290"/>
      <c r="C26" s="194" t="s">
        <v>1673</v>
      </c>
      <c r="D26" s="75" t="s">
        <v>1432</v>
      </c>
      <c r="E26" s="194"/>
      <c r="F26" s="70"/>
      <c r="G26" s="67"/>
      <c r="H26" s="194"/>
      <c r="I26" s="194"/>
      <c r="J26" s="49" t="str">
        <f>IF(L26="Bitte auswählen",K26,L26)</f>
        <v>keine Angabe</v>
      </c>
      <c r="K26" s="292" t="s">
        <v>1870</v>
      </c>
      <c r="L26" s="299" t="s">
        <v>2071</v>
      </c>
      <c r="M26" s="194"/>
      <c r="N26" s="524"/>
      <c r="O26" s="523"/>
      <c r="P26" s="523"/>
      <c r="Q26" s="518"/>
      <c r="S26" s="598"/>
    </row>
    <row r="27" spans="1:19" s="66" customFormat="1" ht="15" customHeight="1" thickBot="1">
      <c r="A27" s="55"/>
      <c r="B27" s="290"/>
      <c r="C27" s="194" t="s">
        <v>1187</v>
      </c>
      <c r="D27" s="194" t="s">
        <v>1183</v>
      </c>
      <c r="E27" s="194"/>
      <c r="F27" s="291">
        <f t="shared" ref="F27" si="4">IF(H27="",G27,H27)</f>
        <v>0</v>
      </c>
      <c r="G27" s="297">
        <f>VLOOKUP("GRÜNDF",Objektkenndaten,5,0)-F23</f>
        <v>0</v>
      </c>
      <c r="H27" s="298"/>
      <c r="I27" s="194" t="s">
        <v>92</v>
      </c>
      <c r="J27" s="72"/>
      <c r="K27" s="67"/>
      <c r="L27" s="67"/>
      <c r="M27" s="194"/>
      <c r="N27" s="515">
        <f t="shared" si="0"/>
        <v>0</v>
      </c>
      <c r="O27" s="516"/>
      <c r="P27" s="517"/>
      <c r="Q27" s="518" t="s">
        <v>103</v>
      </c>
      <c r="S27" s="598"/>
    </row>
    <row r="28" spans="1:19" s="66" customFormat="1" ht="15" customHeight="1" thickBot="1">
      <c r="A28" s="55"/>
      <c r="B28" s="290"/>
      <c r="C28" s="194" t="s">
        <v>1674</v>
      </c>
      <c r="D28" s="75" t="s">
        <v>2052</v>
      </c>
      <c r="E28" s="194"/>
      <c r="F28" s="70"/>
      <c r="G28" s="67"/>
      <c r="H28" s="194"/>
      <c r="I28" s="194"/>
      <c r="J28" s="468" t="str">
        <f>IF(L28="Bitte auswählen",K28,L28)</f>
        <v>keine Angabe</v>
      </c>
      <c r="K28" s="300" t="s">
        <v>1870</v>
      </c>
      <c r="L28" s="299" t="s">
        <v>2071</v>
      </c>
      <c r="M28" s="194"/>
      <c r="N28" s="524"/>
      <c r="O28" s="523"/>
      <c r="P28" s="523"/>
      <c r="Q28" s="518"/>
      <c r="S28" s="598"/>
    </row>
    <row r="29" spans="1:19" s="66" customFormat="1" ht="15" customHeight="1" thickBot="1">
      <c r="A29" s="55"/>
      <c r="B29" s="290"/>
      <c r="C29" s="194" t="s">
        <v>1675</v>
      </c>
      <c r="D29" s="75" t="s">
        <v>1431</v>
      </c>
      <c r="E29" s="194"/>
      <c r="F29" s="291">
        <f>IF(H29="",G29,H29)</f>
        <v>0</v>
      </c>
      <c r="G29" s="292"/>
      <c r="H29" s="296"/>
      <c r="I29" s="194" t="s">
        <v>1514</v>
      </c>
      <c r="J29" s="468" t="str">
        <f>IF(L29="Bitte auswählen",K29,L29)</f>
        <v>keine Angabe</v>
      </c>
      <c r="K29" s="300" t="s">
        <v>1870</v>
      </c>
      <c r="L29" s="299" t="s">
        <v>2071</v>
      </c>
      <c r="M29" s="194"/>
      <c r="N29" s="524"/>
      <c r="O29" s="523"/>
      <c r="P29" s="523"/>
      <c r="Q29" s="518"/>
      <c r="S29" s="598"/>
    </row>
    <row r="30" spans="1:19" s="66" customFormat="1" ht="15" customHeight="1" thickBot="1">
      <c r="A30" s="55"/>
      <c r="B30" s="290"/>
      <c r="C30" s="194" t="s">
        <v>1676</v>
      </c>
      <c r="D30" s="75" t="s">
        <v>1432</v>
      </c>
      <c r="E30" s="194"/>
      <c r="F30" s="70"/>
      <c r="G30" s="70"/>
      <c r="H30" s="70"/>
      <c r="I30" s="194"/>
      <c r="J30" s="468" t="str">
        <f>IF(L30="Bitte auswählen",K30,L30)</f>
        <v>keine Angabe</v>
      </c>
      <c r="K30" s="300" t="s">
        <v>1870</v>
      </c>
      <c r="L30" s="299" t="s">
        <v>2071</v>
      </c>
      <c r="M30" s="194"/>
      <c r="N30" s="524"/>
      <c r="O30" s="523"/>
      <c r="P30" s="523"/>
      <c r="Q30" s="518"/>
      <c r="S30" s="598"/>
    </row>
    <row r="31" spans="1:19" s="66" customFormat="1" ht="15" customHeight="1" thickBot="1">
      <c r="A31" s="55"/>
      <c r="B31" s="290"/>
      <c r="C31" s="194" t="s">
        <v>1188</v>
      </c>
      <c r="D31" s="194" t="s">
        <v>1702</v>
      </c>
      <c r="E31" s="194"/>
      <c r="F31" s="291">
        <f t="shared" ref="F31" si="5">IF(H31="",G31,H31)</f>
        <v>0</v>
      </c>
      <c r="G31" s="297">
        <f>VLOOKUP("GRÜNDF",Objektkenndaten,5,0)</f>
        <v>0</v>
      </c>
      <c r="H31" s="298"/>
      <c r="I31" s="194" t="s">
        <v>92</v>
      </c>
      <c r="J31" s="49" t="str">
        <f>IF(L31="Bitte auswählen",K31,L31)</f>
        <v>keine Angabe</v>
      </c>
      <c r="K31" s="292" t="s">
        <v>1870</v>
      </c>
      <c r="L31" s="299" t="s">
        <v>2071</v>
      </c>
      <c r="M31" s="194"/>
      <c r="N31" s="515">
        <f t="shared" si="0"/>
        <v>0</v>
      </c>
      <c r="O31" s="516"/>
      <c r="P31" s="517"/>
      <c r="Q31" s="518" t="s">
        <v>103</v>
      </c>
      <c r="S31" s="598"/>
    </row>
    <row r="32" spans="1:19" s="66" customFormat="1" ht="15" customHeight="1" thickBot="1">
      <c r="A32" s="55"/>
      <c r="B32" s="290"/>
      <c r="C32" s="194" t="s">
        <v>1239</v>
      </c>
      <c r="D32" s="194" t="s">
        <v>1240</v>
      </c>
      <c r="E32" s="194"/>
      <c r="F32" s="70"/>
      <c r="G32" s="67"/>
      <c r="H32" s="67"/>
      <c r="I32" s="194"/>
      <c r="J32" s="72"/>
      <c r="K32" s="67"/>
      <c r="L32" s="67"/>
      <c r="M32" s="194" t="s">
        <v>326</v>
      </c>
      <c r="N32" s="515">
        <f t="shared" si="0"/>
        <v>0</v>
      </c>
      <c r="O32" s="525">
        <f>IF(Schätzfaktoren!$G$3="ja",VLOOKUP("GRÜNDF",Objektkenndaten,5,0)*VLOOKUP("*K_GRÜNDF",Schätzfaktoren,5,0),0)</f>
        <v>0</v>
      </c>
      <c r="P32" s="519"/>
      <c r="Q32" s="518" t="s">
        <v>103</v>
      </c>
      <c r="S32" s="598"/>
    </row>
    <row r="33" spans="1:19" s="66" customFormat="1" ht="15" customHeight="1" thickBot="1">
      <c r="A33" s="55"/>
      <c r="B33" s="290"/>
      <c r="C33" s="194" t="s">
        <v>1439</v>
      </c>
      <c r="D33" s="194" t="s">
        <v>1435</v>
      </c>
      <c r="E33" s="194"/>
      <c r="F33" s="70"/>
      <c r="G33" s="67"/>
      <c r="H33" s="67"/>
      <c r="I33" s="194"/>
      <c r="J33" s="72"/>
      <c r="K33" s="67"/>
      <c r="L33" s="67"/>
      <c r="M33" s="194"/>
      <c r="N33" s="524"/>
      <c r="O33" s="523"/>
      <c r="P33" s="523"/>
      <c r="Q33" s="518"/>
      <c r="S33" s="598"/>
    </row>
    <row r="34" spans="1:19" s="66" customFormat="1" ht="15" customHeight="1" thickBot="1">
      <c r="A34" s="55"/>
      <c r="B34" s="290"/>
      <c r="C34" s="194" t="s">
        <v>1703</v>
      </c>
      <c r="D34" s="75" t="s">
        <v>1436</v>
      </c>
      <c r="E34" s="194"/>
      <c r="F34" s="291">
        <f t="shared" ref="F34:F36" si="6">IF(H34="",G34,H34)</f>
        <v>0</v>
      </c>
      <c r="G34" s="292"/>
      <c r="H34" s="296"/>
      <c r="I34" s="194" t="s">
        <v>93</v>
      </c>
      <c r="J34" s="72"/>
      <c r="K34" s="67"/>
      <c r="L34" s="67"/>
      <c r="M34" s="194"/>
      <c r="N34" s="524"/>
      <c r="O34" s="523"/>
      <c r="P34" s="523"/>
      <c r="Q34" s="518"/>
      <c r="S34" s="598"/>
    </row>
    <row r="35" spans="1:19" s="66" customFormat="1" ht="15" customHeight="1" thickBot="1">
      <c r="A35" s="55"/>
      <c r="B35" s="290"/>
      <c r="C35" s="194" t="s">
        <v>1704</v>
      </c>
      <c r="D35" s="75" t="s">
        <v>1437</v>
      </c>
      <c r="E35" s="194"/>
      <c r="F35" s="291">
        <f t="shared" si="6"/>
        <v>0</v>
      </c>
      <c r="G35" s="292"/>
      <c r="H35" s="296"/>
      <c r="I35" s="111" t="s">
        <v>1310</v>
      </c>
      <c r="J35" s="72"/>
      <c r="K35" s="67"/>
      <c r="L35" s="67"/>
      <c r="M35" s="194"/>
      <c r="N35" s="524"/>
      <c r="O35" s="523"/>
      <c r="P35" s="523"/>
      <c r="Q35" s="518"/>
      <c r="S35" s="598"/>
    </row>
    <row r="36" spans="1:19" s="66" customFormat="1" ht="15" customHeight="1" thickBot="1">
      <c r="A36" s="55"/>
      <c r="B36" s="290"/>
      <c r="C36" s="194" t="s">
        <v>1705</v>
      </c>
      <c r="D36" s="75" t="s">
        <v>1438</v>
      </c>
      <c r="E36" s="194"/>
      <c r="F36" s="291">
        <f t="shared" si="6"/>
        <v>0</v>
      </c>
      <c r="G36" s="292"/>
      <c r="H36" s="296"/>
      <c r="I36" s="194" t="s">
        <v>93</v>
      </c>
      <c r="J36" s="72"/>
      <c r="K36" s="67"/>
      <c r="L36" s="67"/>
      <c r="M36" s="194"/>
      <c r="N36" s="524"/>
      <c r="O36" s="523"/>
      <c r="P36" s="523"/>
      <c r="Q36" s="518"/>
      <c r="S36" s="598"/>
    </row>
    <row r="37" spans="1:19" ht="15" customHeight="1" thickTop="1" thickBot="1">
      <c r="A37" s="293">
        <v>1800</v>
      </c>
      <c r="B37" s="294" t="s">
        <v>743</v>
      </c>
      <c r="C37" s="172" t="s">
        <v>325</v>
      </c>
      <c r="D37" s="172" t="s">
        <v>324</v>
      </c>
      <c r="E37" s="172"/>
      <c r="F37" s="171"/>
      <c r="G37" s="172"/>
      <c r="H37" s="171"/>
      <c r="I37" s="172"/>
      <c r="J37" s="608" t="s">
        <v>2712</v>
      </c>
      <c r="K37" s="608"/>
      <c r="L37" s="608"/>
      <c r="M37" s="172" t="s">
        <v>117</v>
      </c>
      <c r="N37" s="513">
        <f>SUM(N38,N50,N51,N60,N61)</f>
        <v>0</v>
      </c>
      <c r="O37" s="520"/>
      <c r="P37" s="521" t="s">
        <v>103</v>
      </c>
      <c r="Q37" s="521"/>
      <c r="S37" s="172"/>
    </row>
    <row r="38" spans="1:19" ht="15" customHeight="1" thickTop="1" thickBot="1">
      <c r="A38" s="293">
        <v>1900</v>
      </c>
      <c r="B38" s="294" t="s">
        <v>743</v>
      </c>
      <c r="C38" s="172" t="s">
        <v>323</v>
      </c>
      <c r="D38" s="172" t="s">
        <v>322</v>
      </c>
      <c r="E38" s="172"/>
      <c r="F38" s="171"/>
      <c r="G38" s="171"/>
      <c r="H38" s="301"/>
      <c r="I38" s="172"/>
      <c r="J38" s="172"/>
      <c r="K38" s="171"/>
      <c r="L38" s="171"/>
      <c r="M38" s="172" t="s">
        <v>117</v>
      </c>
      <c r="N38" s="513">
        <f>SUM(N39:N49)</f>
        <v>0</v>
      </c>
      <c r="O38" s="520"/>
      <c r="P38" s="521" t="s">
        <v>103</v>
      </c>
      <c r="Q38" s="521"/>
      <c r="S38" s="172"/>
    </row>
    <row r="39" spans="1:19" ht="15" customHeight="1" thickBot="1">
      <c r="A39" s="55"/>
      <c r="B39" s="290"/>
      <c r="C39" s="194" t="s">
        <v>1708</v>
      </c>
      <c r="D39" s="194" t="s">
        <v>1441</v>
      </c>
      <c r="E39" s="194"/>
      <c r="F39" s="291">
        <f>IF(H39="",G39,H39)</f>
        <v>0</v>
      </c>
      <c r="G39" s="292">
        <f>VLOOKUP("KDF",Objektkenndaten,5,0)</f>
        <v>0</v>
      </c>
      <c r="H39" s="296"/>
      <c r="I39" s="194" t="s">
        <v>92</v>
      </c>
      <c r="J39" s="49" t="str">
        <f>IF(L39="Bitte auswählen",K39,L39)</f>
        <v>keine Angabe</v>
      </c>
      <c r="K39" s="292" t="s">
        <v>1870</v>
      </c>
      <c r="L39" s="299" t="s">
        <v>2071</v>
      </c>
      <c r="M39" s="194"/>
      <c r="N39" s="515">
        <f t="shared" si="0"/>
        <v>0</v>
      </c>
      <c r="O39" s="516"/>
      <c r="P39" s="517"/>
      <c r="Q39" s="518" t="s">
        <v>103</v>
      </c>
      <c r="S39" s="598"/>
    </row>
    <row r="40" spans="1:19" ht="15" customHeight="1" thickBot="1">
      <c r="A40" s="55"/>
      <c r="B40" s="290"/>
      <c r="C40" s="194" t="s">
        <v>1707</v>
      </c>
      <c r="D40" s="75" t="s">
        <v>1442</v>
      </c>
      <c r="E40" s="194"/>
      <c r="F40" s="291">
        <f t="shared" ref="F40:F48" si="7">IF(H40="",G40,H40)</f>
        <v>0</v>
      </c>
      <c r="G40" s="292">
        <f>VLOOKUP("KDF",Objektkenndaten,5,0)</f>
        <v>0</v>
      </c>
      <c r="H40" s="296"/>
      <c r="I40" s="194" t="s">
        <v>92</v>
      </c>
      <c r="J40" s="49" t="str">
        <f>IF(L40="Bitte auswählen",K40,L40)</f>
        <v>keine Angabe</v>
      </c>
      <c r="K40" s="292" t="s">
        <v>1870</v>
      </c>
      <c r="L40" s="296" t="s">
        <v>2071</v>
      </c>
      <c r="M40" s="194"/>
      <c r="N40" s="524"/>
      <c r="O40" s="523"/>
      <c r="P40" s="523"/>
      <c r="Q40" s="518"/>
      <c r="S40" s="598"/>
    </row>
    <row r="41" spans="1:19" ht="15" customHeight="1" thickBot="1">
      <c r="A41" s="55"/>
      <c r="B41" s="290"/>
      <c r="C41" s="194" t="s">
        <v>1709</v>
      </c>
      <c r="D41" s="75" t="s">
        <v>1519</v>
      </c>
      <c r="E41" s="194"/>
      <c r="F41" s="291">
        <f t="shared" si="7"/>
        <v>0</v>
      </c>
      <c r="G41" s="292"/>
      <c r="H41" s="296"/>
      <c r="I41" s="194" t="s">
        <v>1514</v>
      </c>
      <c r="J41" s="72"/>
      <c r="K41" s="67"/>
      <c r="L41" s="67"/>
      <c r="M41" s="194"/>
      <c r="N41" s="524"/>
      <c r="O41" s="523"/>
      <c r="P41" s="523"/>
      <c r="Q41" s="518"/>
      <c r="S41" s="598"/>
    </row>
    <row r="42" spans="1:19" ht="15" customHeight="1" thickBot="1">
      <c r="A42" s="55"/>
      <c r="B42" s="290"/>
      <c r="C42" s="194" t="s">
        <v>1710</v>
      </c>
      <c r="D42" s="75" t="s">
        <v>1443</v>
      </c>
      <c r="E42" s="194"/>
      <c r="F42" s="291">
        <f t="shared" si="7"/>
        <v>0</v>
      </c>
      <c r="G42" s="292">
        <f>VLOOKUP("KDF",Objektkenndaten,5,0)</f>
        <v>0</v>
      </c>
      <c r="H42" s="296"/>
      <c r="I42" s="194" t="s">
        <v>92</v>
      </c>
      <c r="J42" s="49" t="str">
        <f>IF(L42="Bitte auswählen",K42,L42)</f>
        <v>keine Angabe</v>
      </c>
      <c r="K42" s="292" t="s">
        <v>1870</v>
      </c>
      <c r="L42" s="296" t="s">
        <v>2071</v>
      </c>
      <c r="M42" s="194"/>
      <c r="N42" s="524"/>
      <c r="O42" s="523"/>
      <c r="P42" s="523"/>
      <c r="Q42" s="518"/>
      <c r="S42" s="598"/>
    </row>
    <row r="43" spans="1:19" ht="15" customHeight="1" thickBot="1">
      <c r="A43" s="55"/>
      <c r="B43" s="290"/>
      <c r="C43" s="194" t="s">
        <v>1711</v>
      </c>
      <c r="D43" s="194" t="s">
        <v>1444</v>
      </c>
      <c r="E43" s="194"/>
      <c r="F43" s="291">
        <f t="shared" si="7"/>
        <v>0</v>
      </c>
      <c r="G43" s="292">
        <f>VLOOKUP("GDF",Objektkenndaten,5,0)</f>
        <v>0</v>
      </c>
      <c r="H43" s="296"/>
      <c r="I43" s="194" t="s">
        <v>92</v>
      </c>
      <c r="J43" s="49" t="str">
        <f>IF(L43="Bitte auswählen",K43,L43)</f>
        <v>keine Angabe</v>
      </c>
      <c r="K43" s="292" t="s">
        <v>1870</v>
      </c>
      <c r="L43" s="299" t="s">
        <v>2071</v>
      </c>
      <c r="M43" s="194"/>
      <c r="N43" s="515">
        <f t="shared" si="0"/>
        <v>0</v>
      </c>
      <c r="O43" s="516"/>
      <c r="P43" s="517"/>
      <c r="Q43" s="518" t="s">
        <v>103</v>
      </c>
      <c r="S43" s="598"/>
    </row>
    <row r="44" spans="1:19" ht="15" customHeight="1" thickBot="1">
      <c r="A44" s="55"/>
      <c r="B44" s="290"/>
      <c r="C44" s="194" t="s">
        <v>1712</v>
      </c>
      <c r="D44" s="75" t="s">
        <v>1445</v>
      </c>
      <c r="E44" s="194"/>
      <c r="F44" s="291">
        <f t="shared" si="7"/>
        <v>0</v>
      </c>
      <c r="G44" s="292">
        <f>VLOOKUP("GDF",Objektkenndaten,5,0)</f>
        <v>0</v>
      </c>
      <c r="H44" s="296"/>
      <c r="I44" s="194" t="s">
        <v>92</v>
      </c>
      <c r="J44" s="49" t="str">
        <f>IF(L44="Bitte auswählen",K44,L44)</f>
        <v>keine Angabe</v>
      </c>
      <c r="K44" s="292" t="s">
        <v>1870</v>
      </c>
      <c r="L44" s="296" t="s">
        <v>2071</v>
      </c>
      <c r="M44" s="194"/>
      <c r="N44" s="524"/>
      <c r="O44" s="523"/>
      <c r="P44" s="523"/>
      <c r="Q44" s="518"/>
      <c r="S44" s="598"/>
    </row>
    <row r="45" spans="1:19" ht="15" customHeight="1" thickBot="1">
      <c r="A45" s="55"/>
      <c r="B45" s="290"/>
      <c r="C45" s="194" t="s">
        <v>1713</v>
      </c>
      <c r="D45" s="194" t="s">
        <v>1446</v>
      </c>
      <c r="E45" s="194"/>
      <c r="F45" s="291">
        <f t="shared" si="7"/>
        <v>0</v>
      </c>
      <c r="G45" s="292">
        <f>VLOOKUP("ADF",Objektkenndaten,5,0)</f>
        <v>0</v>
      </c>
      <c r="H45" s="296"/>
      <c r="I45" s="194" t="s">
        <v>92</v>
      </c>
      <c r="J45" s="49" t="str">
        <f>IF(L45="Bitte auswählen",K45,L45)</f>
        <v>keine Angabe</v>
      </c>
      <c r="K45" s="292" t="s">
        <v>1870</v>
      </c>
      <c r="L45" s="299" t="s">
        <v>2071</v>
      </c>
      <c r="M45" s="194"/>
      <c r="N45" s="515">
        <f t="shared" si="0"/>
        <v>0</v>
      </c>
      <c r="O45" s="516"/>
      <c r="P45" s="517"/>
      <c r="Q45" s="518" t="s">
        <v>103</v>
      </c>
      <c r="S45" s="598"/>
    </row>
    <row r="46" spans="1:19" ht="15" customHeight="1" thickBot="1">
      <c r="A46" s="55"/>
      <c r="B46" s="290"/>
      <c r="C46" s="194" t="s">
        <v>1714</v>
      </c>
      <c r="D46" s="75" t="s">
        <v>1447</v>
      </c>
      <c r="E46" s="194"/>
      <c r="F46" s="291">
        <f t="shared" si="7"/>
        <v>0</v>
      </c>
      <c r="G46" s="292">
        <f>VLOOKUP("ADF",Objektkenndaten,5,0)</f>
        <v>0</v>
      </c>
      <c r="H46" s="296"/>
      <c r="I46" s="194" t="s">
        <v>92</v>
      </c>
      <c r="J46" s="49" t="str">
        <f>IF(L46="Bitte auswählen",K46,L46)</f>
        <v>keine Angabe</v>
      </c>
      <c r="K46" s="292" t="s">
        <v>1870</v>
      </c>
      <c r="L46" s="296" t="s">
        <v>2071</v>
      </c>
      <c r="M46" s="194"/>
      <c r="N46" s="524"/>
      <c r="O46" s="523"/>
      <c r="P46" s="523"/>
      <c r="Q46" s="518"/>
      <c r="S46" s="598"/>
    </row>
    <row r="47" spans="1:19" ht="15" customHeight="1" thickBot="1">
      <c r="A47" s="55"/>
      <c r="B47" s="290"/>
      <c r="C47" s="194" t="s">
        <v>1715</v>
      </c>
      <c r="D47" s="75" t="s">
        <v>1519</v>
      </c>
      <c r="E47" s="194"/>
      <c r="F47" s="291">
        <f t="shared" ref="F47" si="8">IF(H47="",G47,H47)</f>
        <v>0</v>
      </c>
      <c r="G47" s="292"/>
      <c r="H47" s="296"/>
      <c r="I47" s="194" t="s">
        <v>1514</v>
      </c>
      <c r="J47" s="72"/>
      <c r="K47" s="67"/>
      <c r="L47" s="67"/>
      <c r="M47" s="194"/>
      <c r="N47" s="524"/>
      <c r="O47" s="523"/>
      <c r="P47" s="523"/>
      <c r="Q47" s="518"/>
      <c r="S47" s="598"/>
    </row>
    <row r="48" spans="1:19" ht="15" customHeight="1" thickBot="1">
      <c r="A48" s="55"/>
      <c r="B48" s="290"/>
      <c r="C48" s="194" t="s">
        <v>1716</v>
      </c>
      <c r="D48" s="75" t="s">
        <v>1448</v>
      </c>
      <c r="E48" s="194"/>
      <c r="F48" s="291">
        <f t="shared" si="7"/>
        <v>0</v>
      </c>
      <c r="G48" s="292">
        <f>VLOOKUP("ADF",Objektkenndaten,5,0)</f>
        <v>0</v>
      </c>
      <c r="H48" s="296"/>
      <c r="I48" s="194" t="s">
        <v>92</v>
      </c>
      <c r="J48" s="49" t="str">
        <f>IF(L48="Bitte auswählen",K48,L48)</f>
        <v>keine Angabe</v>
      </c>
      <c r="K48" s="292" t="s">
        <v>1870</v>
      </c>
      <c r="L48" s="296" t="s">
        <v>2071</v>
      </c>
      <c r="M48" s="194"/>
      <c r="N48" s="524"/>
      <c r="O48" s="523"/>
      <c r="P48" s="523"/>
      <c r="Q48" s="518"/>
      <c r="S48" s="598"/>
    </row>
    <row r="49" spans="1:19" ht="15" customHeight="1" thickBot="1">
      <c r="A49" s="55"/>
      <c r="B49" s="290"/>
      <c r="C49" s="194" t="s">
        <v>2253</v>
      </c>
      <c r="D49" s="194" t="s">
        <v>2254</v>
      </c>
      <c r="E49" s="194" t="s">
        <v>1172</v>
      </c>
      <c r="F49" s="70"/>
      <c r="G49" s="67"/>
      <c r="H49" s="67"/>
      <c r="I49" s="194"/>
      <c r="J49" s="72"/>
      <c r="K49" s="67"/>
      <c r="L49" s="67"/>
      <c r="M49" s="194" t="s">
        <v>321</v>
      </c>
      <c r="N49" s="515">
        <f t="shared" si="0"/>
        <v>0</v>
      </c>
      <c r="O49" s="525">
        <f>IF(Schätzfaktoren!$G$3="ja",VLOOKUP("DECKF",Objektkenndaten,5,0)*VLOOKUP("F_DECKFROH",Schätzfaktoren,5,0)/100*VLOOKUP("K_DECKF",Schätzfaktoren,5,0),0)</f>
        <v>0</v>
      </c>
      <c r="P49" s="519"/>
      <c r="Q49" s="518" t="s">
        <v>103</v>
      </c>
      <c r="S49" s="598"/>
    </row>
    <row r="50" spans="1:19" ht="15" customHeight="1" thickBot="1">
      <c r="A50" s="55">
        <v>2000</v>
      </c>
      <c r="B50" s="290" t="s">
        <v>728</v>
      </c>
      <c r="C50" s="194" t="s">
        <v>320</v>
      </c>
      <c r="D50" s="194" t="s">
        <v>319</v>
      </c>
      <c r="E50" s="194"/>
      <c r="F50" s="291" t="str">
        <f t="shared" ref="F50" si="9">IF(H50="",G50,H50)</f>
        <v>0,00</v>
      </c>
      <c r="G50" s="292" t="str">
        <f>VLOOKUP("STIEGF",Objektkenndaten,5,0)</f>
        <v>0,00</v>
      </c>
      <c r="H50" s="153"/>
      <c r="I50" s="194" t="s">
        <v>92</v>
      </c>
      <c r="J50" s="49" t="str">
        <f>IF(L50="Bitte auswählen",K50,L50)</f>
        <v>keine Angabe</v>
      </c>
      <c r="K50" s="292" t="s">
        <v>1870</v>
      </c>
      <c r="L50" s="299" t="s">
        <v>2071</v>
      </c>
      <c r="M50" s="194"/>
      <c r="N50" s="515">
        <f t="shared" si="0"/>
        <v>0</v>
      </c>
      <c r="O50" s="516"/>
      <c r="P50" s="517"/>
      <c r="Q50" s="518" t="s">
        <v>103</v>
      </c>
      <c r="S50" s="598"/>
    </row>
    <row r="51" spans="1:19" ht="15" customHeight="1" thickBot="1">
      <c r="A51" s="293">
        <v>2100</v>
      </c>
      <c r="B51" s="294" t="s">
        <v>743</v>
      </c>
      <c r="C51" s="172" t="s">
        <v>318</v>
      </c>
      <c r="D51" s="172" t="s">
        <v>317</v>
      </c>
      <c r="E51" s="172"/>
      <c r="F51" s="387">
        <f>VLOOKUP("DACHF",Objektkenndaten,5,0)</f>
        <v>0</v>
      </c>
      <c r="G51" s="171"/>
      <c r="H51" s="172" t="s">
        <v>92</v>
      </c>
      <c r="I51" s="172"/>
      <c r="J51" s="172"/>
      <c r="K51" s="171"/>
      <c r="L51" s="171"/>
      <c r="M51" s="172"/>
      <c r="N51" s="513">
        <f>SUM(N52:N59)</f>
        <v>0</v>
      </c>
      <c r="O51" s="527" t="s">
        <v>103</v>
      </c>
      <c r="P51" s="527"/>
      <c r="Q51" s="521"/>
      <c r="S51" s="172"/>
    </row>
    <row r="52" spans="1:19" ht="15" customHeight="1" thickBot="1">
      <c r="A52" s="55">
        <v>2200</v>
      </c>
      <c r="B52" s="290" t="s">
        <v>728</v>
      </c>
      <c r="C52" s="194" t="s">
        <v>316</v>
      </c>
      <c r="D52" s="194" t="s">
        <v>1987</v>
      </c>
      <c r="E52" s="194"/>
      <c r="F52" s="291">
        <f t="shared" ref="F52:F57" si="10">IF(H52="",G52,H52)</f>
        <v>0</v>
      </c>
      <c r="G52" s="292">
        <f>F51</f>
        <v>0</v>
      </c>
      <c r="H52" s="153"/>
      <c r="I52" s="194" t="s">
        <v>92</v>
      </c>
      <c r="J52" s="87" t="str">
        <f t="shared" ref="J52:J59" si="11">IF(L52="Bitte auswählen",K52,L52)</f>
        <v>keine Angabe</v>
      </c>
      <c r="K52" s="292" t="s">
        <v>1870</v>
      </c>
      <c r="L52" s="296" t="s">
        <v>2071</v>
      </c>
      <c r="M52" s="194" t="s">
        <v>315</v>
      </c>
      <c r="N52" s="515">
        <f t="shared" si="0"/>
        <v>0</v>
      </c>
      <c r="O52" s="525">
        <f>IF(Schätzfaktoren!$G$3="ja",VLOOKUP("DACHF",Objektkenndaten,5,0)*VLOOKUP("F_DACHFROH",Schätzfaktoren,5,0)/100*VLOOKUP("K_DACHF",Schätzfaktoren,5,0),0)</f>
        <v>0</v>
      </c>
      <c r="P52" s="519"/>
      <c r="Q52" s="518" t="s">
        <v>103</v>
      </c>
      <c r="S52" s="598"/>
    </row>
    <row r="53" spans="1:19" ht="15" customHeight="1" thickBot="1">
      <c r="A53" s="55"/>
      <c r="B53" s="290"/>
      <c r="C53" s="194" t="s">
        <v>1850</v>
      </c>
      <c r="D53" s="75" t="s">
        <v>1798</v>
      </c>
      <c r="E53" s="194"/>
      <c r="F53" s="291">
        <f t="shared" si="10"/>
        <v>0</v>
      </c>
      <c r="G53" s="292"/>
      <c r="H53" s="296"/>
      <c r="I53" s="194" t="s">
        <v>1514</v>
      </c>
      <c r="J53" s="87" t="str">
        <f t="shared" si="11"/>
        <v>keine Angabe</v>
      </c>
      <c r="K53" s="292" t="s">
        <v>1870</v>
      </c>
      <c r="L53" s="296" t="s">
        <v>2071</v>
      </c>
      <c r="M53" s="194"/>
      <c r="N53" s="524"/>
      <c r="O53" s="523"/>
      <c r="P53" s="523"/>
      <c r="Q53" s="518"/>
      <c r="S53" s="598"/>
    </row>
    <row r="54" spans="1:19" ht="15" customHeight="1" thickBot="1">
      <c r="A54" s="55"/>
      <c r="B54" s="290"/>
      <c r="C54" s="194" t="s">
        <v>1851</v>
      </c>
      <c r="D54" s="75" t="s">
        <v>1799</v>
      </c>
      <c r="E54" s="194"/>
      <c r="F54" s="67"/>
      <c r="G54" s="67"/>
      <c r="H54" s="67"/>
      <c r="I54" s="194"/>
      <c r="J54" s="87" t="str">
        <f t="shared" si="11"/>
        <v>keine Angabe</v>
      </c>
      <c r="K54" s="292" t="s">
        <v>1870</v>
      </c>
      <c r="L54" s="296" t="s">
        <v>2071</v>
      </c>
      <c r="M54" s="194"/>
      <c r="N54" s="524"/>
      <c r="O54" s="523"/>
      <c r="P54" s="523"/>
      <c r="Q54" s="518"/>
      <c r="S54" s="598"/>
    </row>
    <row r="55" spans="1:19" ht="15" customHeight="1" thickBot="1">
      <c r="A55" s="55"/>
      <c r="B55" s="290"/>
      <c r="C55" s="194" t="s">
        <v>1852</v>
      </c>
      <c r="D55" s="75" t="s">
        <v>1797</v>
      </c>
      <c r="E55" s="194"/>
      <c r="F55" s="67"/>
      <c r="G55" s="67"/>
      <c r="H55" s="67"/>
      <c r="I55" s="194"/>
      <c r="J55" s="87" t="str">
        <f t="shared" si="11"/>
        <v>keine Angabe</v>
      </c>
      <c r="K55" s="292" t="s">
        <v>1870</v>
      </c>
      <c r="L55" s="296" t="s">
        <v>2071</v>
      </c>
      <c r="M55" s="194"/>
      <c r="N55" s="524"/>
      <c r="O55" s="523"/>
      <c r="P55" s="523"/>
      <c r="Q55" s="518"/>
      <c r="S55" s="598"/>
    </row>
    <row r="56" spans="1:19" ht="15" customHeight="1" thickBot="1">
      <c r="A56" s="55">
        <v>2300</v>
      </c>
      <c r="B56" s="290" t="s">
        <v>728</v>
      </c>
      <c r="C56" s="194" t="s">
        <v>314</v>
      </c>
      <c r="D56" s="194" t="s">
        <v>2550</v>
      </c>
      <c r="E56" s="194"/>
      <c r="F56" s="291">
        <f t="shared" si="10"/>
        <v>0</v>
      </c>
      <c r="G56" s="292">
        <f>F51-F52</f>
        <v>0</v>
      </c>
      <c r="H56" s="153"/>
      <c r="I56" s="194" t="s">
        <v>92</v>
      </c>
      <c r="J56" s="87" t="str">
        <f t="shared" si="11"/>
        <v>keine Angabe</v>
      </c>
      <c r="K56" s="292" t="s">
        <v>1870</v>
      </c>
      <c r="L56" s="299" t="s">
        <v>2071</v>
      </c>
      <c r="M56" s="194"/>
      <c r="N56" s="515">
        <f t="shared" si="0"/>
        <v>0</v>
      </c>
      <c r="O56" s="516"/>
      <c r="P56" s="517"/>
      <c r="Q56" s="518" t="s">
        <v>103</v>
      </c>
      <c r="S56" s="598"/>
    </row>
    <row r="57" spans="1:19" ht="15" customHeight="1" thickBot="1">
      <c r="A57" s="55"/>
      <c r="B57" s="290"/>
      <c r="C57" s="194" t="s">
        <v>1853</v>
      </c>
      <c r="D57" s="75" t="s">
        <v>1798</v>
      </c>
      <c r="E57" s="194"/>
      <c r="F57" s="291">
        <f t="shared" si="10"/>
        <v>0</v>
      </c>
      <c r="G57" s="292"/>
      <c r="H57" s="296"/>
      <c r="I57" s="194" t="s">
        <v>1514</v>
      </c>
      <c r="J57" s="87" t="str">
        <f t="shared" si="11"/>
        <v>keine Angabe</v>
      </c>
      <c r="K57" s="292" t="s">
        <v>1870</v>
      </c>
      <c r="L57" s="299" t="s">
        <v>2071</v>
      </c>
      <c r="M57" s="194"/>
      <c r="N57" s="524"/>
      <c r="O57" s="523"/>
      <c r="P57" s="523"/>
      <c r="Q57" s="518"/>
      <c r="S57" s="598"/>
    </row>
    <row r="58" spans="1:19" ht="15" customHeight="1" thickBot="1">
      <c r="A58" s="55"/>
      <c r="B58" s="290"/>
      <c r="C58" s="194" t="s">
        <v>1854</v>
      </c>
      <c r="D58" s="75" t="s">
        <v>1799</v>
      </c>
      <c r="E58" s="194"/>
      <c r="F58" s="67"/>
      <c r="G58" s="67"/>
      <c r="H58" s="67"/>
      <c r="I58" s="194"/>
      <c r="J58" s="87" t="str">
        <f t="shared" si="11"/>
        <v>keine Angabe</v>
      </c>
      <c r="K58" s="292" t="s">
        <v>1870</v>
      </c>
      <c r="L58" s="299" t="s">
        <v>2071</v>
      </c>
      <c r="M58" s="194"/>
      <c r="N58" s="524"/>
      <c r="O58" s="523"/>
      <c r="P58" s="523"/>
      <c r="Q58" s="518"/>
      <c r="S58" s="598"/>
    </row>
    <row r="59" spans="1:19" ht="15" customHeight="1" thickBot="1">
      <c r="A59" s="55"/>
      <c r="B59" s="290"/>
      <c r="C59" s="194" t="s">
        <v>1855</v>
      </c>
      <c r="D59" s="75" t="s">
        <v>1797</v>
      </c>
      <c r="E59" s="194"/>
      <c r="F59" s="67"/>
      <c r="G59" s="67"/>
      <c r="H59" s="67"/>
      <c r="I59" s="67"/>
      <c r="J59" s="87" t="str">
        <f t="shared" si="11"/>
        <v>keine Angabe</v>
      </c>
      <c r="K59" s="292" t="s">
        <v>1870</v>
      </c>
      <c r="L59" s="299" t="s">
        <v>2071</v>
      </c>
      <c r="M59" s="194"/>
      <c r="N59" s="524"/>
      <c r="O59" s="523"/>
      <c r="P59" s="523"/>
      <c r="Q59" s="518"/>
      <c r="S59" s="598"/>
    </row>
    <row r="60" spans="1:19" s="66" customFormat="1" ht="15" customHeight="1" thickBot="1">
      <c r="A60" s="55"/>
      <c r="B60" s="290"/>
      <c r="C60" s="194" t="s">
        <v>1189</v>
      </c>
      <c r="D60" s="194" t="s">
        <v>1190</v>
      </c>
      <c r="E60" s="194"/>
      <c r="F60" s="67"/>
      <c r="G60" s="67"/>
      <c r="H60" s="67"/>
      <c r="I60" s="194"/>
      <c r="J60" s="72"/>
      <c r="K60" s="67"/>
      <c r="L60" s="67"/>
      <c r="M60" s="194"/>
      <c r="N60" s="515">
        <f t="shared" si="0"/>
        <v>0</v>
      </c>
      <c r="O60" s="516"/>
      <c r="P60" s="517"/>
      <c r="Q60" s="518" t="s">
        <v>103</v>
      </c>
      <c r="S60" s="598"/>
    </row>
    <row r="61" spans="1:19" ht="15" customHeight="1" thickBot="1">
      <c r="A61" s="55">
        <v>2600</v>
      </c>
      <c r="B61" s="290" t="s">
        <v>728</v>
      </c>
      <c r="C61" s="194" t="s">
        <v>313</v>
      </c>
      <c r="D61" s="194" t="s">
        <v>312</v>
      </c>
      <c r="E61" s="194" t="s">
        <v>1172</v>
      </c>
      <c r="F61" s="67"/>
      <c r="G61" s="67"/>
      <c r="H61" s="67"/>
      <c r="I61" s="194"/>
      <c r="J61" s="72"/>
      <c r="K61" s="67"/>
      <c r="L61" s="67"/>
      <c r="M61" s="194"/>
      <c r="N61" s="515">
        <f t="shared" si="0"/>
        <v>0</v>
      </c>
      <c r="O61" s="516"/>
      <c r="P61" s="517"/>
      <c r="Q61" s="518" t="s">
        <v>103</v>
      </c>
      <c r="S61" s="598"/>
    </row>
    <row r="62" spans="1:19" ht="15" customHeight="1" thickTop="1" thickBot="1">
      <c r="A62" s="293">
        <v>2700</v>
      </c>
      <c r="B62" s="294" t="s">
        <v>743</v>
      </c>
      <c r="C62" s="172" t="s">
        <v>311</v>
      </c>
      <c r="D62" s="172" t="s">
        <v>310</v>
      </c>
      <c r="E62" s="172"/>
      <c r="F62" s="171"/>
      <c r="G62" s="172"/>
      <c r="H62" s="171"/>
      <c r="I62" s="172"/>
      <c r="J62" s="608" t="s">
        <v>2712</v>
      </c>
      <c r="K62" s="608"/>
      <c r="L62" s="608"/>
      <c r="M62" s="172" t="s">
        <v>117</v>
      </c>
      <c r="N62" s="513">
        <f>SUM(N63,N69,N73,N74,N75)</f>
        <v>0</v>
      </c>
      <c r="O62" s="521"/>
      <c r="P62" s="521" t="s">
        <v>103</v>
      </c>
      <c r="Q62" s="521"/>
      <c r="S62" s="172"/>
    </row>
    <row r="63" spans="1:19" ht="15" customHeight="1" thickTop="1" thickBot="1">
      <c r="A63" s="293">
        <v>2800</v>
      </c>
      <c r="B63" s="294" t="s">
        <v>743</v>
      </c>
      <c r="C63" s="172" t="s">
        <v>309</v>
      </c>
      <c r="D63" s="172" t="s">
        <v>308</v>
      </c>
      <c r="E63" s="172"/>
      <c r="F63" s="387">
        <f>SUM(F64:F66)</f>
        <v>0</v>
      </c>
      <c r="G63" s="171"/>
      <c r="H63" s="172" t="s">
        <v>92</v>
      </c>
      <c r="I63" s="172"/>
      <c r="J63" s="171"/>
      <c r="K63" s="171"/>
      <c r="L63" s="171"/>
      <c r="M63" s="172" t="s">
        <v>117</v>
      </c>
      <c r="N63" s="513">
        <f>SUM(N64:N68)</f>
        <v>0</v>
      </c>
      <c r="O63" s="521"/>
      <c r="P63" s="521" t="s">
        <v>103</v>
      </c>
      <c r="Q63" s="521"/>
      <c r="S63" s="172"/>
    </row>
    <row r="64" spans="1:19" ht="15" customHeight="1" thickBot="1">
      <c r="A64" s="55">
        <v>2900</v>
      </c>
      <c r="B64" s="290" t="s">
        <v>728</v>
      </c>
      <c r="C64" s="194" t="s">
        <v>307</v>
      </c>
      <c r="D64" s="194" t="s">
        <v>2305</v>
      </c>
      <c r="E64" s="194"/>
      <c r="F64" s="291">
        <f>IF(H64="",G64,H64)</f>
        <v>0</v>
      </c>
      <c r="G64" s="292">
        <f>VLOOKUP("AWF",Objektkenndaten,5,0)-VLOOKUP("GLASF",Objektkenndaten,5,0)-VLOOKUP("GLASFF",Objektkenndaten,5,0)</f>
        <v>0</v>
      </c>
      <c r="H64" s="153"/>
      <c r="I64" s="194" t="s">
        <v>92</v>
      </c>
      <c r="J64" s="49" t="str">
        <f>IF(L64="Bitte auswählen",K64,L64)</f>
        <v>keine Angabe</v>
      </c>
      <c r="K64" s="292" t="s">
        <v>1870</v>
      </c>
      <c r="L64" s="168" t="s">
        <v>2071</v>
      </c>
      <c r="M64" s="194" t="s">
        <v>305</v>
      </c>
      <c r="N64" s="515">
        <f t="shared" si="0"/>
        <v>0</v>
      </c>
      <c r="O64" s="525">
        <f>IF(Schätzfaktoren!$G$3="ja",VLOOKUP("AWF",Objektkenndaten,5,0)*VLOOKUP("F_AWFROH",Schätzfaktoren,5,0)/100*VLOOKUP("K_AWF",Schätzfaktoren,5,0),0)</f>
        <v>0</v>
      </c>
      <c r="P64" s="526"/>
      <c r="Q64" s="518" t="s">
        <v>103</v>
      </c>
      <c r="S64" s="598"/>
    </row>
    <row r="65" spans="1:19" ht="15" customHeight="1" thickBot="1">
      <c r="A65" s="55">
        <v>3000</v>
      </c>
      <c r="B65" s="290" t="s">
        <v>728</v>
      </c>
      <c r="C65" s="194" t="s">
        <v>306</v>
      </c>
      <c r="D65" s="194" t="s">
        <v>2306</v>
      </c>
      <c r="E65" s="194"/>
      <c r="F65" s="291">
        <f>IF(H65="",G65,H65)</f>
        <v>0</v>
      </c>
      <c r="G65" s="292"/>
      <c r="H65" s="153"/>
      <c r="I65" s="194" t="s">
        <v>92</v>
      </c>
      <c r="J65" s="49" t="str">
        <f>IF(L65="Bitte auswählen",K65,L65)</f>
        <v>keine Angabe</v>
      </c>
      <c r="K65" s="292" t="s">
        <v>1870</v>
      </c>
      <c r="L65" s="168" t="s">
        <v>2071</v>
      </c>
      <c r="M65" s="194"/>
      <c r="N65" s="515">
        <f t="shared" si="0"/>
        <v>0</v>
      </c>
      <c r="O65" s="525"/>
      <c r="P65" s="517"/>
      <c r="Q65" s="518" t="s">
        <v>103</v>
      </c>
      <c r="S65" s="598"/>
    </row>
    <row r="66" spans="1:19" ht="15" customHeight="1" thickBot="1">
      <c r="A66" s="55"/>
      <c r="B66" s="290"/>
      <c r="C66" s="194" t="s">
        <v>304</v>
      </c>
      <c r="D66" s="194" t="s">
        <v>1752</v>
      </c>
      <c r="E66" s="194"/>
      <c r="F66" s="291">
        <f t="shared" ref="F66:F67" si="12">IF(H66="",G66,H66)</f>
        <v>0</v>
      </c>
      <c r="G66" s="292"/>
      <c r="H66" s="153"/>
      <c r="I66" s="194" t="s">
        <v>92</v>
      </c>
      <c r="J66" s="49" t="str">
        <f>IF(L66="Bitte auswählen",K66,L66)</f>
        <v>keine Angabe</v>
      </c>
      <c r="K66" s="292" t="s">
        <v>1870</v>
      </c>
      <c r="L66" s="168" t="s">
        <v>2071</v>
      </c>
      <c r="M66" s="194"/>
      <c r="N66" s="515">
        <f t="shared" si="0"/>
        <v>0</v>
      </c>
      <c r="O66" s="516"/>
      <c r="P66" s="517"/>
      <c r="Q66" s="518" t="s">
        <v>103</v>
      </c>
      <c r="S66" s="598"/>
    </row>
    <row r="67" spans="1:19" ht="15" customHeight="1" thickBot="1">
      <c r="A67" s="55"/>
      <c r="B67" s="290"/>
      <c r="C67" s="194" t="s">
        <v>1986</v>
      </c>
      <c r="D67" s="75" t="s">
        <v>2361</v>
      </c>
      <c r="E67" s="194"/>
      <c r="F67" s="291">
        <f t="shared" si="12"/>
        <v>0</v>
      </c>
      <c r="G67" s="292">
        <v>0</v>
      </c>
      <c r="H67" s="298"/>
      <c r="I67" s="194" t="s">
        <v>1514</v>
      </c>
      <c r="J67" s="49" t="str">
        <f>IF(L67="Bitte auswählen",K67,L67)</f>
        <v>keine Angabe</v>
      </c>
      <c r="K67" s="292" t="s">
        <v>1870</v>
      </c>
      <c r="L67" s="168" t="s">
        <v>2071</v>
      </c>
      <c r="M67" s="194"/>
      <c r="N67" s="528"/>
      <c r="O67" s="529"/>
      <c r="P67" s="529"/>
      <c r="Q67" s="518"/>
      <c r="S67" s="598"/>
    </row>
    <row r="68" spans="1:19" ht="15" customHeight="1" thickBot="1">
      <c r="A68" s="55"/>
      <c r="B68" s="290"/>
      <c r="C68" s="194" t="s">
        <v>1796</v>
      </c>
      <c r="D68" s="194" t="s">
        <v>1472</v>
      </c>
      <c r="E68" s="194"/>
      <c r="F68" s="291">
        <f t="shared" ref="F68" si="13">IF(H68="",G68,H68)</f>
        <v>0</v>
      </c>
      <c r="G68" s="292"/>
      <c r="H68" s="153"/>
      <c r="I68" s="194" t="s">
        <v>92</v>
      </c>
      <c r="J68" s="49" t="str">
        <f>IF(L68="Bitte auswählen",K68,L68)</f>
        <v>keine Angabe</v>
      </c>
      <c r="K68" s="292" t="s">
        <v>1870</v>
      </c>
      <c r="L68" s="168" t="s">
        <v>2071</v>
      </c>
      <c r="M68" s="194"/>
      <c r="N68" s="515">
        <f t="shared" si="0"/>
        <v>0</v>
      </c>
      <c r="O68" s="516"/>
      <c r="P68" s="517"/>
      <c r="Q68" s="518" t="s">
        <v>103</v>
      </c>
      <c r="S68" s="598"/>
    </row>
    <row r="69" spans="1:19" ht="15" customHeight="1" thickBot="1">
      <c r="A69" s="293">
        <v>3400</v>
      </c>
      <c r="B69" s="294" t="s">
        <v>743</v>
      </c>
      <c r="C69" s="172" t="s">
        <v>303</v>
      </c>
      <c r="D69" s="172" t="s">
        <v>302</v>
      </c>
      <c r="E69" s="172"/>
      <c r="F69" s="387">
        <f>SUM(F70:F72)</f>
        <v>0</v>
      </c>
      <c r="G69" s="289"/>
      <c r="H69" s="172" t="s">
        <v>92</v>
      </c>
      <c r="I69" s="172"/>
      <c r="J69" s="171"/>
      <c r="K69" s="171"/>
      <c r="L69" s="171"/>
      <c r="M69" s="172" t="s">
        <v>117</v>
      </c>
      <c r="N69" s="513">
        <f>SUM(N70:N72)</f>
        <v>0</v>
      </c>
      <c r="O69" s="520"/>
      <c r="P69" s="521" t="s">
        <v>103</v>
      </c>
      <c r="Q69" s="521"/>
      <c r="S69" s="172"/>
    </row>
    <row r="70" spans="1:19" ht="15" customHeight="1" thickBot="1">
      <c r="A70" s="55"/>
      <c r="B70" s="290"/>
      <c r="C70" s="194" t="s">
        <v>1569</v>
      </c>
      <c r="D70" s="75" t="s">
        <v>2308</v>
      </c>
      <c r="E70" s="194"/>
      <c r="F70" s="291">
        <f>IF(H70="",G70,H70)</f>
        <v>0</v>
      </c>
      <c r="G70" s="292">
        <f>VLOOKUP("INWF",Objektkenndaten,5,0)</f>
        <v>0</v>
      </c>
      <c r="H70" s="153"/>
      <c r="I70" s="194" t="s">
        <v>92</v>
      </c>
      <c r="J70" s="49" t="str">
        <f>IF(L70="Bitte auswählen",K70,L70)</f>
        <v>keine Angabe</v>
      </c>
      <c r="K70" s="292" t="s">
        <v>1870</v>
      </c>
      <c r="L70" s="168" t="s">
        <v>2071</v>
      </c>
      <c r="M70" s="194"/>
      <c r="N70" s="515">
        <f t="shared" si="0"/>
        <v>0</v>
      </c>
      <c r="O70" s="525"/>
      <c r="P70" s="517"/>
      <c r="Q70" s="518" t="s">
        <v>103</v>
      </c>
      <c r="S70" s="598"/>
    </row>
    <row r="71" spans="1:19" ht="15" customHeight="1" thickBot="1">
      <c r="A71" s="55"/>
      <c r="B71" s="290"/>
      <c r="C71" s="194" t="s">
        <v>1570</v>
      </c>
      <c r="D71" s="75" t="s">
        <v>2309</v>
      </c>
      <c r="E71" s="194"/>
      <c r="F71" s="291">
        <f t="shared" ref="F71:F73" si="14">IF(H71="",G71,H71)</f>
        <v>0</v>
      </c>
      <c r="G71" s="292">
        <f>VLOOKUP("INWF",Objektkenndaten,5,0)-F70</f>
        <v>0</v>
      </c>
      <c r="H71" s="153"/>
      <c r="I71" s="194" t="s">
        <v>92</v>
      </c>
      <c r="J71" s="49" t="str">
        <f>IF(L71="Bitte auswählen",K71,L71)</f>
        <v>keine Angabe</v>
      </c>
      <c r="K71" s="292" t="s">
        <v>1870</v>
      </c>
      <c r="L71" s="168" t="s">
        <v>2071</v>
      </c>
      <c r="M71" s="194"/>
      <c r="N71" s="515">
        <f t="shared" si="0"/>
        <v>0</v>
      </c>
      <c r="O71" s="525"/>
      <c r="P71" s="517"/>
      <c r="Q71" s="518" t="s">
        <v>103</v>
      </c>
      <c r="S71" s="598"/>
    </row>
    <row r="72" spans="1:19" ht="15" customHeight="1" thickBot="1">
      <c r="A72" s="55"/>
      <c r="B72" s="290"/>
      <c r="C72" s="194" t="s">
        <v>2330</v>
      </c>
      <c r="D72" s="75" t="s">
        <v>2310</v>
      </c>
      <c r="E72" s="194"/>
      <c r="F72" s="291">
        <f>VLOOKUP("INWF",Objektkenndaten,5,0)-F70-F71</f>
        <v>0</v>
      </c>
      <c r="G72" s="67"/>
      <c r="H72" s="67"/>
      <c r="I72" s="194" t="s">
        <v>92</v>
      </c>
      <c r="J72" s="49" t="str">
        <f>IF(L72="Bitte auswählen",K72,L72)</f>
        <v>keine Angabe</v>
      </c>
      <c r="K72" s="292" t="s">
        <v>1870</v>
      </c>
      <c r="L72" s="168" t="s">
        <v>2071</v>
      </c>
      <c r="M72" s="194"/>
      <c r="N72" s="515">
        <f t="shared" ref="N72" si="15">IF(P72="",O72,P72)</f>
        <v>0</v>
      </c>
      <c r="O72" s="525"/>
      <c r="P72" s="517"/>
      <c r="Q72" s="518" t="s">
        <v>103</v>
      </c>
      <c r="S72" s="598"/>
    </row>
    <row r="73" spans="1:19" ht="15" customHeight="1" thickBot="1">
      <c r="A73" s="55">
        <v>3500</v>
      </c>
      <c r="B73" s="290" t="s">
        <v>728</v>
      </c>
      <c r="C73" s="194" t="s">
        <v>301</v>
      </c>
      <c r="D73" s="194" t="s">
        <v>300</v>
      </c>
      <c r="E73" s="194"/>
      <c r="F73" s="291">
        <f t="shared" si="14"/>
        <v>0</v>
      </c>
      <c r="G73" s="292"/>
      <c r="H73" s="168"/>
      <c r="I73" s="194" t="s">
        <v>92</v>
      </c>
      <c r="J73" s="49" t="str">
        <f>IF(L73="Bitte auswählen",K73,L73)</f>
        <v>keine Angabe</v>
      </c>
      <c r="K73" s="292" t="s">
        <v>1870</v>
      </c>
      <c r="L73" s="168" t="s">
        <v>2071</v>
      </c>
      <c r="M73" s="194" t="s">
        <v>299</v>
      </c>
      <c r="N73" s="515">
        <f t="shared" si="0"/>
        <v>0</v>
      </c>
      <c r="O73" s="525">
        <f>IF(Schätzfaktoren!$G$3="ja",VLOOKUP("AWF",Objektkenndaten,5,0)*VLOOKUP("F_AWSTÜTZ",Schätzfaktoren,5,0)/100*VLOOKUP("K_AWF",Schätzfaktoren,5,0)+VLOOKUP("INWF",Objektkenndaten,5,0)*VLOOKUP("F_INWSTÜTZ",Schätzfaktoren,5,0)/100*VLOOKUP("K_INWF",Schätzfaktoren,5,0),0)</f>
        <v>0</v>
      </c>
      <c r="P73" s="519"/>
      <c r="Q73" s="518" t="s">
        <v>103</v>
      </c>
      <c r="S73" s="598"/>
    </row>
    <row r="74" spans="1:19" ht="15" customHeight="1" thickBot="1">
      <c r="A74" s="55">
        <v>3600</v>
      </c>
      <c r="B74" s="290" t="s">
        <v>728</v>
      </c>
      <c r="C74" s="194" t="s">
        <v>298</v>
      </c>
      <c r="D74" s="194" t="s">
        <v>297</v>
      </c>
      <c r="E74" s="194"/>
      <c r="F74" s="67"/>
      <c r="G74" s="67"/>
      <c r="H74" s="67"/>
      <c r="I74" s="194"/>
      <c r="J74" s="72"/>
      <c r="K74" s="67"/>
      <c r="L74" s="67"/>
      <c r="M74" s="194"/>
      <c r="N74" s="515">
        <f t="shared" si="0"/>
        <v>0</v>
      </c>
      <c r="O74" s="525"/>
      <c r="P74" s="517"/>
      <c r="Q74" s="518" t="s">
        <v>103</v>
      </c>
      <c r="S74" s="598"/>
    </row>
    <row r="75" spans="1:19" ht="15" customHeight="1" thickBot="1">
      <c r="A75" s="55">
        <v>3700</v>
      </c>
      <c r="B75" s="290" t="s">
        <v>728</v>
      </c>
      <c r="C75" s="194" t="s">
        <v>296</v>
      </c>
      <c r="D75" s="194" t="s">
        <v>295</v>
      </c>
      <c r="E75" s="194" t="s">
        <v>1172</v>
      </c>
      <c r="F75" s="67"/>
      <c r="G75" s="67"/>
      <c r="H75" s="67"/>
      <c r="I75" s="194"/>
      <c r="J75" s="72"/>
      <c r="K75" s="67"/>
      <c r="L75" s="67"/>
      <c r="M75" s="194"/>
      <c r="N75" s="515">
        <f t="shared" si="0"/>
        <v>0</v>
      </c>
      <c r="O75" s="525"/>
      <c r="P75" s="517"/>
      <c r="Q75" s="518" t="s">
        <v>103</v>
      </c>
      <c r="S75" s="598"/>
    </row>
    <row r="76" spans="1:19" s="66" customFormat="1" ht="15" customHeight="1" thickBot="1">
      <c r="A76" s="55"/>
      <c r="B76" s="290"/>
      <c r="C76" s="194" t="s">
        <v>1191</v>
      </c>
      <c r="D76" s="194" t="s">
        <v>1192</v>
      </c>
      <c r="E76" s="194"/>
      <c r="F76" s="67"/>
      <c r="G76" s="67"/>
      <c r="H76" s="67"/>
      <c r="I76" s="194"/>
      <c r="J76" s="72"/>
      <c r="K76" s="67"/>
      <c r="L76" s="67"/>
      <c r="M76" s="194"/>
      <c r="N76" s="515">
        <f t="shared" si="0"/>
        <v>0</v>
      </c>
      <c r="O76" s="525"/>
      <c r="P76" s="517"/>
      <c r="Q76" s="518" t="s">
        <v>103</v>
      </c>
      <c r="S76" s="598"/>
    </row>
    <row r="77" spans="1:19" ht="15" customHeight="1" thickBot="1">
      <c r="A77" s="55">
        <v>3800</v>
      </c>
      <c r="B77" s="290" t="s">
        <v>728</v>
      </c>
      <c r="C77" s="194" t="s">
        <v>294</v>
      </c>
      <c r="D77" s="194" t="s">
        <v>293</v>
      </c>
      <c r="E77" s="194" t="s">
        <v>1172</v>
      </c>
      <c r="F77" s="67"/>
      <c r="G77" s="67"/>
      <c r="H77" s="67"/>
      <c r="I77" s="194"/>
      <c r="J77" s="72"/>
      <c r="K77" s="67"/>
      <c r="L77" s="67"/>
      <c r="M77" s="194" t="s">
        <v>292</v>
      </c>
      <c r="N77" s="515">
        <f t="shared" si="0"/>
        <v>0</v>
      </c>
      <c r="O77" s="525">
        <f>IF(Schätzfaktoren!$G$3="ja",VLOOKUP("BGF",Objektkenndaten,5,0)*(VLOOKUP("K_SBK",Schätzfaktoren,5,0)+VLOOKUP("K_BKEINB",Schätzfaktoren,5,0)),0)</f>
        <v>0</v>
      </c>
      <c r="P77" s="519"/>
      <c r="Q77" s="518" t="s">
        <v>103</v>
      </c>
      <c r="S77" s="598"/>
    </row>
    <row r="78" spans="1:19" ht="15" customHeight="1" thickTop="1" thickBot="1">
      <c r="A78" s="293">
        <v>4000</v>
      </c>
      <c r="B78" s="294" t="s">
        <v>724</v>
      </c>
      <c r="C78" s="172" t="s">
        <v>291</v>
      </c>
      <c r="D78" s="172" t="s">
        <v>290</v>
      </c>
      <c r="E78" s="172"/>
      <c r="F78" s="171"/>
      <c r="G78" s="172"/>
      <c r="H78" s="171"/>
      <c r="I78" s="172"/>
      <c r="J78" s="608" t="s">
        <v>2712</v>
      </c>
      <c r="K78" s="608"/>
      <c r="L78" s="608"/>
      <c r="M78" s="172" t="s">
        <v>117</v>
      </c>
      <c r="N78" s="513">
        <f>SUM(N79:N80,N81,N88,N95,N101,N112,N121,N124,N128)</f>
        <v>0</v>
      </c>
      <c r="O78" s="520"/>
      <c r="P78" s="521" t="s">
        <v>103</v>
      </c>
      <c r="Q78" s="521"/>
      <c r="S78" s="172"/>
    </row>
    <row r="79" spans="1:19" ht="15" customHeight="1" thickTop="1" thickBot="1">
      <c r="A79" s="55">
        <v>4100</v>
      </c>
      <c r="B79" s="290" t="s">
        <v>728</v>
      </c>
      <c r="C79" s="194" t="s">
        <v>289</v>
      </c>
      <c r="D79" s="194" t="s">
        <v>0</v>
      </c>
      <c r="E79" s="194"/>
      <c r="F79" s="67"/>
      <c r="G79" s="67"/>
      <c r="H79" s="67"/>
      <c r="I79" s="194"/>
      <c r="J79" s="72"/>
      <c r="K79" s="67"/>
      <c r="L79" s="67"/>
      <c r="M79" s="194"/>
      <c r="N79" s="515">
        <f t="shared" si="0"/>
        <v>0</v>
      </c>
      <c r="O79" s="516"/>
      <c r="P79" s="517"/>
      <c r="Q79" s="518" t="s">
        <v>103</v>
      </c>
      <c r="S79" s="598"/>
    </row>
    <row r="80" spans="1:19" ht="15" customHeight="1" thickBot="1">
      <c r="A80" s="55">
        <v>4200</v>
      </c>
      <c r="B80" s="290" t="s">
        <v>728</v>
      </c>
      <c r="C80" s="194" t="s">
        <v>288</v>
      </c>
      <c r="D80" s="194" t="s">
        <v>287</v>
      </c>
      <c r="E80" s="194" t="s">
        <v>2256</v>
      </c>
      <c r="F80" s="67"/>
      <c r="G80" s="67"/>
      <c r="H80" s="67"/>
      <c r="I80" s="194"/>
      <c r="J80" s="72"/>
      <c r="K80" s="67"/>
      <c r="L80" s="67"/>
      <c r="M80" s="194"/>
      <c r="N80" s="515">
        <f t="shared" si="0"/>
        <v>0</v>
      </c>
      <c r="O80" s="516"/>
      <c r="P80" s="517"/>
      <c r="Q80" s="518" t="s">
        <v>103</v>
      </c>
      <c r="S80" s="598"/>
    </row>
    <row r="81" spans="1:19" ht="15" customHeight="1" thickBot="1">
      <c r="A81" s="293">
        <v>4300</v>
      </c>
      <c r="B81" s="294" t="s">
        <v>743</v>
      </c>
      <c r="C81" s="172" t="s">
        <v>286</v>
      </c>
      <c r="D81" s="172" t="s">
        <v>285</v>
      </c>
      <c r="E81" s="172"/>
      <c r="F81" s="171"/>
      <c r="G81" s="172"/>
      <c r="H81" s="171"/>
      <c r="I81" s="172"/>
      <c r="J81" s="171"/>
      <c r="K81" s="171"/>
      <c r="L81" s="171"/>
      <c r="M81" s="172" t="s">
        <v>117</v>
      </c>
      <c r="N81" s="513">
        <f>SUM(N82:N87)</f>
        <v>0</v>
      </c>
      <c r="O81" s="520"/>
      <c r="P81" s="521" t="s">
        <v>103</v>
      </c>
      <c r="Q81" s="521"/>
      <c r="S81" s="172"/>
    </row>
    <row r="82" spans="1:19" ht="15" customHeight="1" thickBot="1">
      <c r="A82" s="55">
        <v>4400</v>
      </c>
      <c r="B82" s="290" t="s">
        <v>728</v>
      </c>
      <c r="C82" s="194" t="s">
        <v>284</v>
      </c>
      <c r="D82" s="194" t="s">
        <v>283</v>
      </c>
      <c r="E82" s="194"/>
      <c r="F82" s="291">
        <f>SUM(F83:F84)</f>
        <v>0</v>
      </c>
      <c r="G82" s="67"/>
      <c r="H82" s="67"/>
      <c r="I82" s="194" t="s">
        <v>92</v>
      </c>
      <c r="J82" s="72"/>
      <c r="K82" s="67"/>
      <c r="L82" s="67"/>
      <c r="M82" s="194"/>
      <c r="N82" s="515">
        <f t="shared" si="0"/>
        <v>0</v>
      </c>
      <c r="O82" s="516"/>
      <c r="P82" s="517"/>
      <c r="Q82" s="518" t="s">
        <v>103</v>
      </c>
      <c r="S82" s="598"/>
    </row>
    <row r="83" spans="1:19" ht="15" customHeight="1" thickBot="1">
      <c r="A83" s="55"/>
      <c r="B83" s="290"/>
      <c r="C83" s="194" t="s">
        <v>2299</v>
      </c>
      <c r="D83" s="80" t="s">
        <v>2303</v>
      </c>
      <c r="E83" s="194"/>
      <c r="F83" s="291" t="str">
        <f>G83</f>
        <v>0,00</v>
      </c>
      <c r="G83" s="292" t="str">
        <f>VLOOKUP("SOLARD",Objektkenndaten,5,0)</f>
        <v>0,00</v>
      </c>
      <c r="H83" s="67"/>
      <c r="I83" s="194" t="s">
        <v>92</v>
      </c>
      <c r="J83" s="291" t="str">
        <f t="shared" ref="J83:J84" si="16">IF(L83="Bitte auswählen","keine Angabe",L83)</f>
        <v>keine Angabe</v>
      </c>
      <c r="K83" s="292"/>
      <c r="L83" s="168" t="s">
        <v>2071</v>
      </c>
      <c r="M83" s="194"/>
      <c r="N83" s="524"/>
      <c r="O83" s="523"/>
      <c r="P83" s="523"/>
      <c r="Q83" s="518"/>
      <c r="S83" s="598"/>
    </row>
    <row r="84" spans="1:19" ht="15" customHeight="1" thickBot="1">
      <c r="A84" s="55"/>
      <c r="B84" s="290"/>
      <c r="C84" s="194" t="s">
        <v>2300</v>
      </c>
      <c r="D84" s="80" t="s">
        <v>2304</v>
      </c>
      <c r="E84" s="194"/>
      <c r="F84" s="291" t="str">
        <f>G84</f>
        <v>0,00</v>
      </c>
      <c r="G84" s="292" t="str">
        <f>VLOOKUP("SOLARF",Objektkenndaten,5,0)</f>
        <v>0,00</v>
      </c>
      <c r="H84" s="67"/>
      <c r="I84" s="194" t="s">
        <v>92</v>
      </c>
      <c r="J84" s="291" t="str">
        <f t="shared" si="16"/>
        <v>keine Angabe</v>
      </c>
      <c r="K84" s="292"/>
      <c r="L84" s="168" t="s">
        <v>2071</v>
      </c>
      <c r="M84" s="194"/>
      <c r="N84" s="524"/>
      <c r="O84" s="523"/>
      <c r="P84" s="523"/>
      <c r="Q84" s="518"/>
      <c r="S84" s="598"/>
    </row>
    <row r="85" spans="1:19" ht="15" customHeight="1" thickBot="1">
      <c r="A85" s="55">
        <v>4500</v>
      </c>
      <c r="B85" s="290" t="s">
        <v>728</v>
      </c>
      <c r="C85" s="194" t="s">
        <v>282</v>
      </c>
      <c r="D85" s="194" t="s">
        <v>281</v>
      </c>
      <c r="E85" s="194"/>
      <c r="F85" s="67"/>
      <c r="G85" s="67"/>
      <c r="H85" s="67"/>
      <c r="I85" s="194"/>
      <c r="J85" s="72"/>
      <c r="K85" s="67"/>
      <c r="L85" s="67"/>
      <c r="M85" s="194"/>
      <c r="N85" s="515">
        <f t="shared" si="0"/>
        <v>0</v>
      </c>
      <c r="O85" s="516"/>
      <c r="P85" s="517"/>
      <c r="Q85" s="518" t="s">
        <v>103</v>
      </c>
      <c r="S85" s="598"/>
    </row>
    <row r="86" spans="1:19" ht="15" customHeight="1" thickBot="1">
      <c r="A86" s="55">
        <v>4600</v>
      </c>
      <c r="B86" s="290" t="s">
        <v>728</v>
      </c>
      <c r="C86" s="194" t="s">
        <v>280</v>
      </c>
      <c r="D86" s="194" t="s">
        <v>279</v>
      </c>
      <c r="E86" s="194"/>
      <c r="F86" s="67"/>
      <c r="G86" s="67"/>
      <c r="H86" s="67"/>
      <c r="I86" s="194"/>
      <c r="J86" s="72"/>
      <c r="K86" s="67"/>
      <c r="L86" s="67"/>
      <c r="M86" s="194"/>
      <c r="N86" s="515">
        <f t="shared" si="0"/>
        <v>0</v>
      </c>
      <c r="O86" s="516"/>
      <c r="P86" s="517"/>
      <c r="Q86" s="518" t="s">
        <v>103</v>
      </c>
      <c r="S86" s="598"/>
    </row>
    <row r="87" spans="1:19" ht="15" customHeight="1" thickBot="1">
      <c r="A87" s="55">
        <v>4700</v>
      </c>
      <c r="B87" s="290" t="s">
        <v>728</v>
      </c>
      <c r="C87" s="194" t="s">
        <v>278</v>
      </c>
      <c r="D87" s="194" t="s">
        <v>277</v>
      </c>
      <c r="E87" s="194" t="s">
        <v>1172</v>
      </c>
      <c r="F87" s="67"/>
      <c r="G87" s="67"/>
      <c r="H87" s="67"/>
      <c r="I87" s="194"/>
      <c r="J87" s="72"/>
      <c r="K87" s="67"/>
      <c r="L87" s="67"/>
      <c r="M87" s="194" t="s">
        <v>276</v>
      </c>
      <c r="N87" s="515">
        <f t="shared" si="0"/>
        <v>0</v>
      </c>
      <c r="O87" s="516">
        <f>IF(Schätzfaktoren!$G$3="ja",VLOOKUP("BGF",Objektkenndaten,5,0)*VLOOKUP("K_WÄRMEANL",Schätzfaktoren,5,0),0)</f>
        <v>0</v>
      </c>
      <c r="P87" s="519"/>
      <c r="Q87" s="518" t="s">
        <v>103</v>
      </c>
      <c r="S87" s="598"/>
    </row>
    <row r="88" spans="1:19" ht="15" customHeight="1" thickBot="1">
      <c r="A88" s="293">
        <v>4800</v>
      </c>
      <c r="B88" s="294" t="s">
        <v>743</v>
      </c>
      <c r="C88" s="172" t="s">
        <v>275</v>
      </c>
      <c r="D88" s="172" t="s">
        <v>274</v>
      </c>
      <c r="E88" s="172"/>
      <c r="F88" s="171"/>
      <c r="G88" s="172"/>
      <c r="H88" s="171"/>
      <c r="I88" s="172"/>
      <c r="J88" s="171"/>
      <c r="K88" s="171"/>
      <c r="L88" s="171"/>
      <c r="M88" s="172" t="s">
        <v>117</v>
      </c>
      <c r="N88" s="513">
        <f>SUM(N89:N94)</f>
        <v>0</v>
      </c>
      <c r="O88" s="520"/>
      <c r="P88" s="521" t="s">
        <v>103</v>
      </c>
      <c r="Q88" s="521"/>
      <c r="S88" s="172"/>
    </row>
    <row r="89" spans="1:19" ht="15" customHeight="1" thickBot="1">
      <c r="A89" s="55">
        <v>4900</v>
      </c>
      <c r="B89" s="290" t="s">
        <v>728</v>
      </c>
      <c r="C89" s="194" t="s">
        <v>273</v>
      </c>
      <c r="D89" s="194" t="s">
        <v>272</v>
      </c>
      <c r="E89" s="194"/>
      <c r="F89" s="67"/>
      <c r="G89" s="67"/>
      <c r="H89" s="67"/>
      <c r="I89" s="194"/>
      <c r="J89" s="72"/>
      <c r="K89" s="67"/>
      <c r="L89" s="67"/>
      <c r="M89" s="194"/>
      <c r="N89" s="515">
        <f t="shared" si="0"/>
        <v>0</v>
      </c>
      <c r="O89" s="516"/>
      <c r="P89" s="517"/>
      <c r="Q89" s="518" t="s">
        <v>103</v>
      </c>
      <c r="S89" s="598"/>
    </row>
    <row r="90" spans="1:19" ht="15" customHeight="1" thickBot="1">
      <c r="A90" s="55">
        <v>5000</v>
      </c>
      <c r="B90" s="290" t="s">
        <v>728</v>
      </c>
      <c r="C90" s="194" t="s">
        <v>271</v>
      </c>
      <c r="D90" s="194" t="s">
        <v>270</v>
      </c>
      <c r="E90" s="194"/>
      <c r="F90" s="67"/>
      <c r="G90" s="67"/>
      <c r="H90" s="67"/>
      <c r="I90" s="194"/>
      <c r="J90" s="72"/>
      <c r="K90" s="67"/>
      <c r="L90" s="67"/>
      <c r="M90" s="194"/>
      <c r="N90" s="515">
        <f t="shared" si="0"/>
        <v>0</v>
      </c>
      <c r="O90" s="516"/>
      <c r="P90" s="517"/>
      <c r="Q90" s="518" t="s">
        <v>103</v>
      </c>
      <c r="S90" s="598"/>
    </row>
    <row r="91" spans="1:19" ht="15" customHeight="1" thickBot="1">
      <c r="A91" s="55">
        <v>5100</v>
      </c>
      <c r="B91" s="290" t="s">
        <v>728</v>
      </c>
      <c r="C91" s="194" t="s">
        <v>269</v>
      </c>
      <c r="D91" s="194" t="s">
        <v>268</v>
      </c>
      <c r="E91" s="194"/>
      <c r="F91" s="67"/>
      <c r="G91" s="67"/>
      <c r="H91" s="67"/>
      <c r="I91" s="194"/>
      <c r="J91" s="72"/>
      <c r="K91" s="67"/>
      <c r="L91" s="67"/>
      <c r="M91" s="194"/>
      <c r="N91" s="515">
        <f t="shared" si="0"/>
        <v>0</v>
      </c>
      <c r="O91" s="516"/>
      <c r="P91" s="517"/>
      <c r="Q91" s="518" t="s">
        <v>103</v>
      </c>
      <c r="S91" s="598"/>
    </row>
    <row r="92" spans="1:19" ht="15" customHeight="1" thickBot="1">
      <c r="A92" s="55">
        <v>5200</v>
      </c>
      <c r="B92" s="290" t="s">
        <v>728</v>
      </c>
      <c r="C92" s="194" t="s">
        <v>267</v>
      </c>
      <c r="D92" s="194" t="s">
        <v>266</v>
      </c>
      <c r="E92" s="194"/>
      <c r="F92" s="67"/>
      <c r="G92" s="67"/>
      <c r="H92" s="67"/>
      <c r="I92" s="194"/>
      <c r="J92" s="72"/>
      <c r="K92" s="67"/>
      <c r="L92" s="67"/>
      <c r="M92" s="194"/>
      <c r="N92" s="515">
        <f t="shared" si="0"/>
        <v>0</v>
      </c>
      <c r="O92" s="516"/>
      <c r="P92" s="517"/>
      <c r="Q92" s="518" t="s">
        <v>103</v>
      </c>
      <c r="S92" s="598"/>
    </row>
    <row r="93" spans="1:19" ht="15" customHeight="1" thickBot="1">
      <c r="A93" s="55">
        <v>5300</v>
      </c>
      <c r="B93" s="290" t="s">
        <v>728</v>
      </c>
      <c r="C93" s="194" t="s">
        <v>265</v>
      </c>
      <c r="D93" s="194" t="s">
        <v>264</v>
      </c>
      <c r="E93" s="194"/>
      <c r="F93" s="67"/>
      <c r="G93" s="67"/>
      <c r="H93" s="67"/>
      <c r="I93" s="194"/>
      <c r="J93" s="72"/>
      <c r="K93" s="67"/>
      <c r="L93" s="67"/>
      <c r="M93" s="194"/>
      <c r="N93" s="515">
        <f t="shared" si="0"/>
        <v>0</v>
      </c>
      <c r="O93" s="516"/>
      <c r="P93" s="517"/>
      <c r="Q93" s="518" t="s">
        <v>103</v>
      </c>
      <c r="S93" s="598"/>
    </row>
    <row r="94" spans="1:19" ht="15" customHeight="1" thickBot="1">
      <c r="A94" s="55">
        <v>5400</v>
      </c>
      <c r="B94" s="290" t="s">
        <v>728</v>
      </c>
      <c r="C94" s="194" t="s">
        <v>263</v>
      </c>
      <c r="D94" s="194" t="s">
        <v>262</v>
      </c>
      <c r="E94" s="194" t="s">
        <v>1172</v>
      </c>
      <c r="F94" s="67"/>
      <c r="G94" s="67"/>
      <c r="H94" s="67"/>
      <c r="I94" s="194"/>
      <c r="J94" s="72"/>
      <c r="K94" s="67"/>
      <c r="L94" s="67"/>
      <c r="M94" s="194" t="s">
        <v>261</v>
      </c>
      <c r="N94" s="515">
        <f t="shared" si="0"/>
        <v>0</v>
      </c>
      <c r="O94" s="516">
        <f>IF(Schätzfaktoren!$G$3="ja",VLOOKUP("BGF",Objektkenndaten,5,0)*VLOOKUP("K_LUFTANL",Schätzfaktoren,5,0),0)</f>
        <v>0</v>
      </c>
      <c r="P94" s="519"/>
      <c r="Q94" s="518" t="s">
        <v>103</v>
      </c>
      <c r="S94" s="598"/>
    </row>
    <row r="95" spans="1:19" ht="15" customHeight="1" thickBot="1">
      <c r="A95" s="293">
        <v>5500</v>
      </c>
      <c r="B95" s="294" t="s">
        <v>743</v>
      </c>
      <c r="C95" s="172" t="s">
        <v>260</v>
      </c>
      <c r="D95" s="172" t="s">
        <v>259</v>
      </c>
      <c r="E95" s="172"/>
      <c r="F95" s="171"/>
      <c r="G95" s="172"/>
      <c r="H95" s="171"/>
      <c r="I95" s="172"/>
      <c r="J95" s="171"/>
      <c r="K95" s="171"/>
      <c r="L95" s="171"/>
      <c r="M95" s="172" t="s">
        <v>117</v>
      </c>
      <c r="N95" s="513">
        <f>SUM(N96:N100)</f>
        <v>0</v>
      </c>
      <c r="O95" s="520"/>
      <c r="P95" s="521" t="s">
        <v>103</v>
      </c>
      <c r="Q95" s="521"/>
      <c r="S95" s="172"/>
    </row>
    <row r="96" spans="1:19" ht="15" customHeight="1" thickBot="1">
      <c r="A96" s="55">
        <v>5600</v>
      </c>
      <c r="B96" s="290" t="s">
        <v>728</v>
      </c>
      <c r="C96" s="194" t="s">
        <v>258</v>
      </c>
      <c r="D96" s="194" t="s">
        <v>257</v>
      </c>
      <c r="E96" s="194"/>
      <c r="F96" s="67"/>
      <c r="G96" s="67"/>
      <c r="H96" s="67"/>
      <c r="I96" s="194"/>
      <c r="J96" s="72"/>
      <c r="K96" s="67"/>
      <c r="L96" s="67"/>
      <c r="M96" s="194"/>
      <c r="N96" s="530">
        <f t="shared" si="0"/>
        <v>0</v>
      </c>
      <c r="O96" s="516"/>
      <c r="P96" s="517"/>
      <c r="Q96" s="518" t="s">
        <v>103</v>
      </c>
      <c r="S96" s="598"/>
    </row>
    <row r="97" spans="1:19" ht="15" customHeight="1" thickBot="1">
      <c r="A97" s="55">
        <v>5700</v>
      </c>
      <c r="B97" s="290" t="s">
        <v>728</v>
      </c>
      <c r="C97" s="194" t="s">
        <v>256</v>
      </c>
      <c r="D97" s="194" t="s">
        <v>255</v>
      </c>
      <c r="E97" s="194"/>
      <c r="F97" s="67"/>
      <c r="G97" s="67"/>
      <c r="H97" s="67"/>
      <c r="I97" s="194"/>
      <c r="J97" s="72"/>
      <c r="K97" s="67"/>
      <c r="L97" s="67"/>
      <c r="M97" s="194"/>
      <c r="N97" s="530">
        <f t="shared" si="0"/>
        <v>0</v>
      </c>
      <c r="O97" s="516"/>
      <c r="P97" s="517"/>
      <c r="Q97" s="518" t="s">
        <v>103</v>
      </c>
      <c r="S97" s="598"/>
    </row>
    <row r="98" spans="1:19" ht="15" customHeight="1" thickBot="1">
      <c r="A98" s="55">
        <v>5800</v>
      </c>
      <c r="B98" s="290" t="s">
        <v>728</v>
      </c>
      <c r="C98" s="194" t="s">
        <v>254</v>
      </c>
      <c r="D98" s="194" t="s">
        <v>253</v>
      </c>
      <c r="E98" s="194"/>
      <c r="F98" s="67"/>
      <c r="G98" s="67"/>
      <c r="H98" s="67"/>
      <c r="I98" s="194"/>
      <c r="J98" s="72"/>
      <c r="K98" s="67"/>
      <c r="L98" s="67"/>
      <c r="M98" s="194"/>
      <c r="N98" s="530">
        <f t="shared" si="0"/>
        <v>0</v>
      </c>
      <c r="O98" s="516"/>
      <c r="P98" s="517"/>
      <c r="Q98" s="518" t="s">
        <v>103</v>
      </c>
      <c r="S98" s="598"/>
    </row>
    <row r="99" spans="1:19" ht="15" customHeight="1" thickBot="1">
      <c r="A99" s="55">
        <v>5900</v>
      </c>
      <c r="B99" s="290" t="s">
        <v>728</v>
      </c>
      <c r="C99" s="194" t="s">
        <v>252</v>
      </c>
      <c r="D99" s="194" t="s">
        <v>251</v>
      </c>
      <c r="E99" s="194"/>
      <c r="F99" s="67"/>
      <c r="G99" s="67"/>
      <c r="H99" s="67"/>
      <c r="I99" s="194"/>
      <c r="J99" s="72"/>
      <c r="K99" s="67"/>
      <c r="L99" s="67"/>
      <c r="M99" s="194"/>
      <c r="N99" s="530">
        <f t="shared" si="0"/>
        <v>0</v>
      </c>
      <c r="O99" s="516"/>
      <c r="P99" s="517"/>
      <c r="Q99" s="518" t="s">
        <v>103</v>
      </c>
      <c r="S99" s="598"/>
    </row>
    <row r="100" spans="1:19" ht="15" customHeight="1" thickBot="1">
      <c r="A100" s="55">
        <v>6000</v>
      </c>
      <c r="B100" s="290" t="s">
        <v>728</v>
      </c>
      <c r="C100" s="194" t="s">
        <v>250</v>
      </c>
      <c r="D100" s="194" t="s">
        <v>249</v>
      </c>
      <c r="E100" s="194" t="s">
        <v>1172</v>
      </c>
      <c r="F100" s="67"/>
      <c r="G100" s="67"/>
      <c r="H100" s="67"/>
      <c r="I100" s="194"/>
      <c r="J100" s="72"/>
      <c r="K100" s="67"/>
      <c r="L100" s="67"/>
      <c r="M100" s="194" t="s">
        <v>248</v>
      </c>
      <c r="N100" s="530">
        <f t="shared" si="0"/>
        <v>0</v>
      </c>
      <c r="O100" s="516">
        <f>IF(Schätzfaktoren!$G$3="ja",VLOOKUP("BGF",Objektkenndaten,5,0)*VLOOKUP("K_WASGAS",Schätzfaktoren,5,0),0)</f>
        <v>0</v>
      </c>
      <c r="P100" s="519"/>
      <c r="Q100" s="518" t="s">
        <v>103</v>
      </c>
      <c r="S100" s="598"/>
    </row>
    <row r="101" spans="1:19" ht="15" customHeight="1" thickBot="1">
      <c r="A101" s="293">
        <v>6100</v>
      </c>
      <c r="B101" s="294" t="s">
        <v>743</v>
      </c>
      <c r="C101" s="172" t="s">
        <v>247</v>
      </c>
      <c r="D101" s="172" t="s">
        <v>246</v>
      </c>
      <c r="E101" s="172"/>
      <c r="F101" s="171"/>
      <c r="G101" s="172"/>
      <c r="H101" s="171"/>
      <c r="I101" s="172"/>
      <c r="J101" s="171"/>
      <c r="K101" s="171"/>
      <c r="L101" s="171"/>
      <c r="M101" s="172" t="s">
        <v>117</v>
      </c>
      <c r="N101" s="513">
        <f>SUM(N102:N103,N107:N111)</f>
        <v>0</v>
      </c>
      <c r="O101" s="520"/>
      <c r="P101" s="521" t="s">
        <v>103</v>
      </c>
      <c r="Q101" s="521"/>
      <c r="S101" s="172"/>
    </row>
    <row r="102" spans="1:19" ht="15" customHeight="1" thickBot="1">
      <c r="A102" s="55">
        <v>6200</v>
      </c>
      <c r="B102" s="290" t="s">
        <v>728</v>
      </c>
      <c r="C102" s="194" t="s">
        <v>245</v>
      </c>
      <c r="D102" s="194" t="s">
        <v>244</v>
      </c>
      <c r="E102" s="194"/>
      <c r="F102" s="67"/>
      <c r="G102" s="67"/>
      <c r="H102" s="67"/>
      <c r="I102" s="194"/>
      <c r="J102" s="72"/>
      <c r="K102" s="67"/>
      <c r="L102" s="67"/>
      <c r="M102" s="194"/>
      <c r="N102" s="515">
        <f t="shared" ref="N102:N195" si="17">IF(P102="",O102,P102)</f>
        <v>0</v>
      </c>
      <c r="O102" s="516"/>
      <c r="P102" s="517"/>
      <c r="Q102" s="518" t="s">
        <v>103</v>
      </c>
      <c r="S102" s="598"/>
    </row>
    <row r="103" spans="1:19" ht="15" customHeight="1" thickBot="1">
      <c r="A103" s="293">
        <v>6300</v>
      </c>
      <c r="B103" s="294" t="s">
        <v>743</v>
      </c>
      <c r="C103" s="172" t="s">
        <v>243</v>
      </c>
      <c r="D103" s="172" t="s">
        <v>242</v>
      </c>
      <c r="E103" s="172"/>
      <c r="F103" s="387">
        <f>SUM(F104:F105)</f>
        <v>0</v>
      </c>
      <c r="G103" s="172"/>
      <c r="H103" s="171"/>
      <c r="I103" s="172" t="s">
        <v>2551</v>
      </c>
      <c r="J103" s="171"/>
      <c r="K103" s="171"/>
      <c r="L103" s="171"/>
      <c r="M103" s="172" t="s">
        <v>117</v>
      </c>
      <c r="N103" s="513">
        <f>SUM(N104:N106)</f>
        <v>0</v>
      </c>
      <c r="O103" s="520"/>
      <c r="P103" s="521"/>
      <c r="Q103" s="521" t="s">
        <v>103</v>
      </c>
      <c r="S103" s="172"/>
    </row>
    <row r="104" spans="1:19" ht="15" customHeight="1" thickBot="1">
      <c r="A104" s="55"/>
      <c r="B104" s="290" t="s">
        <v>728</v>
      </c>
      <c r="C104" s="194" t="s">
        <v>2296</v>
      </c>
      <c r="D104" s="80" t="s">
        <v>2552</v>
      </c>
      <c r="E104" s="68"/>
      <c r="F104" s="291" t="str">
        <f>G104</f>
        <v>0,00</v>
      </c>
      <c r="G104" s="292" t="str">
        <f>VLOOKUP("PVDACH",Objektkenndaten,5,0)</f>
        <v>0,00</v>
      </c>
      <c r="H104" s="67"/>
      <c r="I104" s="194" t="s">
        <v>92</v>
      </c>
      <c r="J104" s="291" t="str">
        <f>IF(L104="Bitte auswählen","keine Angabe",L104)</f>
        <v>keine Angabe</v>
      </c>
      <c r="K104" s="292"/>
      <c r="L104" s="168" t="s">
        <v>2071</v>
      </c>
      <c r="M104" s="67" t="s">
        <v>2359</v>
      </c>
      <c r="N104" s="515">
        <f t="shared" si="17"/>
        <v>0</v>
      </c>
      <c r="O104" s="516">
        <f>IF(Schätzfaktoren!$G$3="ja",VLOOKUP("PVDACH",Objektkenndaten,5,0)*VLOOKUP("K_PVDACH",Schätzfaktoren,5,0),0)</f>
        <v>0</v>
      </c>
      <c r="P104" s="519"/>
      <c r="Q104" s="518" t="s">
        <v>103</v>
      </c>
      <c r="S104" s="598"/>
    </row>
    <row r="105" spans="1:19" ht="15" customHeight="1" thickBot="1">
      <c r="A105" s="55"/>
      <c r="B105" s="290" t="s">
        <v>728</v>
      </c>
      <c r="C105" s="194" t="s">
        <v>2297</v>
      </c>
      <c r="D105" s="80" t="s">
        <v>2553</v>
      </c>
      <c r="E105" s="68"/>
      <c r="F105" s="291" t="str">
        <f>G105</f>
        <v>0,00</v>
      </c>
      <c r="G105" s="292" t="str">
        <f>VLOOKUP("PVFASS",Objektkenndaten,5,0)</f>
        <v>0,00</v>
      </c>
      <c r="H105" s="67"/>
      <c r="I105" s="194" t="s">
        <v>92</v>
      </c>
      <c r="J105" s="291" t="str">
        <f>IF(L105="Bitte auswählen","keine Angabe",L105)</f>
        <v>keine Angabe</v>
      </c>
      <c r="K105" s="292"/>
      <c r="L105" s="168" t="s">
        <v>2071</v>
      </c>
      <c r="M105" s="67" t="s">
        <v>2360</v>
      </c>
      <c r="N105" s="515">
        <f t="shared" si="17"/>
        <v>0</v>
      </c>
      <c r="O105" s="516">
        <f>IF(Schätzfaktoren!$G$3="ja",VLOOKUP("PVFASS",Objektkenndaten,5,0)*VLOOKUP("K_PVFASS",Schätzfaktoren,5,0),0)</f>
        <v>0</v>
      </c>
      <c r="P105" s="519"/>
      <c r="Q105" s="518" t="s">
        <v>103</v>
      </c>
      <c r="S105" s="598"/>
    </row>
    <row r="106" spans="1:19" ht="15" customHeight="1" thickBot="1">
      <c r="A106" s="55"/>
      <c r="B106" s="290" t="s">
        <v>728</v>
      </c>
      <c r="C106" s="194" t="s">
        <v>2331</v>
      </c>
      <c r="D106" s="80" t="s">
        <v>2332</v>
      </c>
      <c r="E106" s="68"/>
      <c r="F106" s="70"/>
      <c r="G106" s="70"/>
      <c r="H106" s="70"/>
      <c r="I106" s="70"/>
      <c r="J106" s="70"/>
      <c r="K106" s="70"/>
      <c r="L106" s="70"/>
      <c r="M106" s="194"/>
      <c r="N106" s="515">
        <f t="shared" si="17"/>
        <v>0</v>
      </c>
      <c r="O106" s="516"/>
      <c r="P106" s="517"/>
      <c r="Q106" s="518" t="s">
        <v>103</v>
      </c>
      <c r="S106" s="598"/>
    </row>
    <row r="107" spans="1:19" ht="15" customHeight="1" thickBot="1">
      <c r="A107" s="55">
        <v>6400</v>
      </c>
      <c r="B107" s="290" t="s">
        <v>728</v>
      </c>
      <c r="C107" s="194" t="s">
        <v>241</v>
      </c>
      <c r="D107" s="194" t="s">
        <v>240</v>
      </c>
      <c r="E107" s="194"/>
      <c r="F107" s="67"/>
      <c r="G107" s="67"/>
      <c r="H107" s="67"/>
      <c r="I107" s="194"/>
      <c r="J107" s="72"/>
      <c r="K107" s="67"/>
      <c r="L107" s="67"/>
      <c r="M107" s="194"/>
      <c r="N107" s="515">
        <f t="shared" si="17"/>
        <v>0</v>
      </c>
      <c r="O107" s="516"/>
      <c r="P107" s="517"/>
      <c r="Q107" s="518" t="s">
        <v>103</v>
      </c>
      <c r="S107" s="598"/>
    </row>
    <row r="108" spans="1:19" ht="15" customHeight="1" thickBot="1">
      <c r="A108" s="55">
        <v>6500</v>
      </c>
      <c r="B108" s="290" t="s">
        <v>728</v>
      </c>
      <c r="C108" s="194" t="s">
        <v>239</v>
      </c>
      <c r="D108" s="194" t="s">
        <v>238</v>
      </c>
      <c r="E108" s="194"/>
      <c r="F108" s="67"/>
      <c r="G108" s="67"/>
      <c r="H108" s="67"/>
      <c r="I108" s="194"/>
      <c r="J108" s="72"/>
      <c r="K108" s="67"/>
      <c r="L108" s="67"/>
      <c r="M108" s="194"/>
      <c r="N108" s="515">
        <f t="shared" si="17"/>
        <v>0</v>
      </c>
      <c r="O108" s="516"/>
      <c r="P108" s="517"/>
      <c r="Q108" s="518" t="s">
        <v>103</v>
      </c>
      <c r="S108" s="598"/>
    </row>
    <row r="109" spans="1:19" ht="15" customHeight="1" thickBot="1">
      <c r="A109" s="55">
        <v>6600</v>
      </c>
      <c r="B109" s="290" t="s">
        <v>728</v>
      </c>
      <c r="C109" s="194" t="s">
        <v>237</v>
      </c>
      <c r="D109" s="194" t="s">
        <v>236</v>
      </c>
      <c r="E109" s="194"/>
      <c r="F109" s="67"/>
      <c r="G109" s="67"/>
      <c r="H109" s="67"/>
      <c r="I109" s="194"/>
      <c r="J109" s="72"/>
      <c r="K109" s="67"/>
      <c r="L109" s="67"/>
      <c r="M109" s="194"/>
      <c r="N109" s="515">
        <f t="shared" si="17"/>
        <v>0</v>
      </c>
      <c r="O109" s="516"/>
      <c r="P109" s="517"/>
      <c r="Q109" s="518" t="s">
        <v>103</v>
      </c>
      <c r="S109" s="598"/>
    </row>
    <row r="110" spans="1:19" ht="15" customHeight="1" thickBot="1">
      <c r="A110" s="55">
        <v>6700</v>
      </c>
      <c r="B110" s="290" t="s">
        <v>728</v>
      </c>
      <c r="C110" s="194" t="s">
        <v>235</v>
      </c>
      <c r="D110" s="194" t="s">
        <v>234</v>
      </c>
      <c r="E110" s="194"/>
      <c r="F110" s="67"/>
      <c r="G110" s="67"/>
      <c r="H110" s="67"/>
      <c r="I110" s="194"/>
      <c r="J110" s="72"/>
      <c r="K110" s="67"/>
      <c r="L110" s="67"/>
      <c r="M110" s="194"/>
      <c r="N110" s="515">
        <f t="shared" si="17"/>
        <v>0</v>
      </c>
      <c r="O110" s="516"/>
      <c r="P110" s="517"/>
      <c r="Q110" s="518" t="s">
        <v>103</v>
      </c>
      <c r="S110" s="598"/>
    </row>
    <row r="111" spans="1:19" ht="15" customHeight="1" thickBot="1">
      <c r="A111" s="55">
        <v>6800</v>
      </c>
      <c r="B111" s="290" t="s">
        <v>728</v>
      </c>
      <c r="C111" s="194" t="s">
        <v>233</v>
      </c>
      <c r="D111" s="194" t="s">
        <v>232</v>
      </c>
      <c r="E111" s="194" t="s">
        <v>1172</v>
      </c>
      <c r="F111" s="67"/>
      <c r="G111" s="67"/>
      <c r="H111" s="67"/>
      <c r="I111" s="194"/>
      <c r="J111" s="72"/>
      <c r="K111" s="67"/>
      <c r="L111" s="67"/>
      <c r="M111" s="194" t="s">
        <v>231</v>
      </c>
      <c r="N111" s="515">
        <f t="shared" si="17"/>
        <v>0</v>
      </c>
      <c r="O111" s="516">
        <f>IF(Schätzfaktoren!$G$3="ja",VLOOKUP("BGF",Objektkenndaten,5,0)*VLOOKUP("K_SSANL",Schätzfaktoren,5,0),0)</f>
        <v>0</v>
      </c>
      <c r="P111" s="519"/>
      <c r="Q111" s="518" t="s">
        <v>103</v>
      </c>
      <c r="S111" s="598"/>
    </row>
    <row r="112" spans="1:19" ht="15" customHeight="1" thickBot="1">
      <c r="A112" s="293">
        <v>6900</v>
      </c>
      <c r="B112" s="294" t="s">
        <v>743</v>
      </c>
      <c r="C112" s="172" t="s">
        <v>230</v>
      </c>
      <c r="D112" s="172" t="s">
        <v>229</v>
      </c>
      <c r="E112" s="172"/>
      <c r="F112" s="171"/>
      <c r="G112" s="172"/>
      <c r="H112" s="171"/>
      <c r="I112" s="172"/>
      <c r="J112" s="171"/>
      <c r="K112" s="171"/>
      <c r="L112" s="171"/>
      <c r="M112" s="172" t="s">
        <v>117</v>
      </c>
      <c r="N112" s="513">
        <f>SUM(N113:N120)</f>
        <v>0</v>
      </c>
      <c r="O112" s="520"/>
      <c r="P112" s="521" t="s">
        <v>103</v>
      </c>
      <c r="Q112" s="521"/>
      <c r="S112" s="172"/>
    </row>
    <row r="113" spans="1:19" ht="15" customHeight="1" thickBot="1">
      <c r="A113" s="55">
        <v>7000</v>
      </c>
      <c r="B113" s="290" t="s">
        <v>728</v>
      </c>
      <c r="C113" s="194" t="s">
        <v>228</v>
      </c>
      <c r="D113" s="194" t="s">
        <v>227</v>
      </c>
      <c r="E113" s="194"/>
      <c r="F113" s="67"/>
      <c r="G113" s="67"/>
      <c r="H113" s="67"/>
      <c r="I113" s="194"/>
      <c r="J113" s="72"/>
      <c r="K113" s="67"/>
      <c r="L113" s="67"/>
      <c r="M113" s="194"/>
      <c r="N113" s="515">
        <f t="shared" si="17"/>
        <v>0</v>
      </c>
      <c r="O113" s="516"/>
      <c r="P113" s="517"/>
      <c r="Q113" s="518" t="s">
        <v>103</v>
      </c>
      <c r="S113" s="598"/>
    </row>
    <row r="114" spans="1:19" ht="15" customHeight="1" thickBot="1">
      <c r="A114" s="55">
        <v>7100</v>
      </c>
      <c r="B114" s="290" t="s">
        <v>728</v>
      </c>
      <c r="C114" s="194" t="s">
        <v>226</v>
      </c>
      <c r="D114" s="194" t="s">
        <v>225</v>
      </c>
      <c r="E114" s="194"/>
      <c r="F114" s="67"/>
      <c r="G114" s="67"/>
      <c r="H114" s="67"/>
      <c r="I114" s="194"/>
      <c r="J114" s="72"/>
      <c r="K114" s="67"/>
      <c r="L114" s="67"/>
      <c r="M114" s="194"/>
      <c r="N114" s="515">
        <f t="shared" si="17"/>
        <v>0</v>
      </c>
      <c r="O114" s="516"/>
      <c r="P114" s="517"/>
      <c r="Q114" s="518" t="s">
        <v>103</v>
      </c>
      <c r="S114" s="598"/>
    </row>
    <row r="115" spans="1:19" ht="15" customHeight="1" thickBot="1">
      <c r="A115" s="55">
        <v>7200</v>
      </c>
      <c r="B115" s="290" t="s">
        <v>728</v>
      </c>
      <c r="C115" s="194" t="s">
        <v>224</v>
      </c>
      <c r="D115" s="194" t="s">
        <v>223</v>
      </c>
      <c r="E115" s="194"/>
      <c r="F115" s="67"/>
      <c r="G115" s="67"/>
      <c r="H115" s="67"/>
      <c r="I115" s="194"/>
      <c r="J115" s="72"/>
      <c r="K115" s="67"/>
      <c r="L115" s="67"/>
      <c r="M115" s="194"/>
      <c r="N115" s="515">
        <f t="shared" si="17"/>
        <v>0</v>
      </c>
      <c r="O115" s="516"/>
      <c r="P115" s="517"/>
      <c r="Q115" s="518" t="s">
        <v>103</v>
      </c>
      <c r="S115" s="598"/>
    </row>
    <row r="116" spans="1:19" ht="15" customHeight="1" thickBot="1">
      <c r="A116" s="55">
        <v>7300</v>
      </c>
      <c r="B116" s="290" t="s">
        <v>728</v>
      </c>
      <c r="C116" s="194" t="s">
        <v>222</v>
      </c>
      <c r="D116" s="194" t="s">
        <v>221</v>
      </c>
      <c r="E116" s="194"/>
      <c r="F116" s="67"/>
      <c r="G116" s="67"/>
      <c r="H116" s="67"/>
      <c r="I116" s="194"/>
      <c r="J116" s="72"/>
      <c r="K116" s="67"/>
      <c r="L116" s="67"/>
      <c r="M116" s="194"/>
      <c r="N116" s="515">
        <f t="shared" si="17"/>
        <v>0</v>
      </c>
      <c r="O116" s="516"/>
      <c r="P116" s="517"/>
      <c r="Q116" s="518" t="s">
        <v>103</v>
      </c>
      <c r="S116" s="598"/>
    </row>
    <row r="117" spans="1:19" ht="15" customHeight="1" thickBot="1">
      <c r="A117" s="55">
        <v>7400</v>
      </c>
      <c r="B117" s="290" t="s">
        <v>728</v>
      </c>
      <c r="C117" s="194" t="s">
        <v>220</v>
      </c>
      <c r="D117" s="194" t="s">
        <v>219</v>
      </c>
      <c r="E117" s="194"/>
      <c r="F117" s="67"/>
      <c r="G117" s="67"/>
      <c r="H117" s="67"/>
      <c r="I117" s="194"/>
      <c r="J117" s="72"/>
      <c r="K117" s="67"/>
      <c r="L117" s="67"/>
      <c r="M117" s="194"/>
      <c r="N117" s="515">
        <f t="shared" si="17"/>
        <v>0</v>
      </c>
      <c r="O117" s="516"/>
      <c r="P117" s="517"/>
      <c r="Q117" s="518" t="s">
        <v>103</v>
      </c>
      <c r="S117" s="598"/>
    </row>
    <row r="118" spans="1:19" ht="15" customHeight="1" thickBot="1">
      <c r="A118" s="55">
        <v>7500</v>
      </c>
      <c r="B118" s="290" t="s">
        <v>728</v>
      </c>
      <c r="C118" s="194" t="s">
        <v>218</v>
      </c>
      <c r="D118" s="194" t="s">
        <v>217</v>
      </c>
      <c r="E118" s="194"/>
      <c r="F118" s="67"/>
      <c r="G118" s="67"/>
      <c r="H118" s="67"/>
      <c r="I118" s="194"/>
      <c r="J118" s="72"/>
      <c r="K118" s="67"/>
      <c r="L118" s="67"/>
      <c r="M118" s="194"/>
      <c r="N118" s="515">
        <f t="shared" si="17"/>
        <v>0</v>
      </c>
      <c r="O118" s="516"/>
      <c r="P118" s="517"/>
      <c r="Q118" s="518" t="s">
        <v>103</v>
      </c>
      <c r="S118" s="598"/>
    </row>
    <row r="119" spans="1:19" ht="15" customHeight="1" thickBot="1">
      <c r="A119" s="55">
        <v>7600</v>
      </c>
      <c r="B119" s="290" t="s">
        <v>728</v>
      </c>
      <c r="C119" s="194" t="s">
        <v>216</v>
      </c>
      <c r="D119" s="194" t="s">
        <v>215</v>
      </c>
      <c r="E119" s="194"/>
      <c r="F119" s="67"/>
      <c r="G119" s="67"/>
      <c r="H119" s="67"/>
      <c r="I119" s="194"/>
      <c r="J119" s="72"/>
      <c r="K119" s="67"/>
      <c r="L119" s="67"/>
      <c r="M119" s="194"/>
      <c r="N119" s="515">
        <f t="shared" si="17"/>
        <v>0</v>
      </c>
      <c r="O119" s="516"/>
      <c r="P119" s="517"/>
      <c r="Q119" s="518" t="s">
        <v>103</v>
      </c>
      <c r="S119" s="598"/>
    </row>
    <row r="120" spans="1:19" ht="15" customHeight="1" thickBot="1">
      <c r="A120" s="55">
        <v>7700</v>
      </c>
      <c r="B120" s="290" t="s">
        <v>728</v>
      </c>
      <c r="C120" s="194" t="s">
        <v>214</v>
      </c>
      <c r="D120" s="194" t="s">
        <v>213</v>
      </c>
      <c r="E120" s="194" t="s">
        <v>1172</v>
      </c>
      <c r="F120" s="67"/>
      <c r="G120" s="67"/>
      <c r="H120" s="67"/>
      <c r="I120" s="194"/>
      <c r="J120" s="72"/>
      <c r="K120" s="67"/>
      <c r="L120" s="67"/>
      <c r="M120" s="194" t="s">
        <v>212</v>
      </c>
      <c r="N120" s="515">
        <f t="shared" si="17"/>
        <v>0</v>
      </c>
      <c r="O120" s="516">
        <f>IF(Schätzfaktoren!$G$3="ja",VLOOKUP("BGF",Objektkenndaten,5,0)*VLOOKUP("K_FMANL",Schätzfaktoren,5,0),0)</f>
        <v>0</v>
      </c>
      <c r="P120" s="519"/>
      <c r="Q120" s="518" t="s">
        <v>103</v>
      </c>
      <c r="S120" s="598"/>
    </row>
    <row r="121" spans="1:19" ht="15" customHeight="1" thickBot="1">
      <c r="A121" s="293">
        <v>7800</v>
      </c>
      <c r="B121" s="294" t="s">
        <v>743</v>
      </c>
      <c r="C121" s="172" t="s">
        <v>211</v>
      </c>
      <c r="D121" s="172" t="s">
        <v>210</v>
      </c>
      <c r="E121" s="172"/>
      <c r="F121" s="171"/>
      <c r="G121" s="172"/>
      <c r="H121" s="171"/>
      <c r="I121" s="172"/>
      <c r="J121" s="171"/>
      <c r="K121" s="171"/>
      <c r="L121" s="171"/>
      <c r="M121" s="172" t="s">
        <v>117</v>
      </c>
      <c r="N121" s="513">
        <f>SUM(N122:N123)</f>
        <v>0</v>
      </c>
      <c r="O121" s="520"/>
      <c r="P121" s="521" t="s">
        <v>103</v>
      </c>
      <c r="Q121" s="521"/>
      <c r="S121" s="172"/>
    </row>
    <row r="122" spans="1:19" ht="15" customHeight="1" thickBot="1">
      <c r="A122" s="55">
        <v>7900</v>
      </c>
      <c r="B122" s="290" t="s">
        <v>728</v>
      </c>
      <c r="C122" s="194" t="s">
        <v>209</v>
      </c>
      <c r="D122" s="194" t="s">
        <v>208</v>
      </c>
      <c r="E122" s="194"/>
      <c r="F122" s="67"/>
      <c r="G122" s="67"/>
      <c r="H122" s="67"/>
      <c r="I122" s="194"/>
      <c r="J122" s="72"/>
      <c r="K122" s="67"/>
      <c r="L122" s="67"/>
      <c r="M122" s="194"/>
      <c r="N122" s="515">
        <f t="shared" si="17"/>
        <v>0</v>
      </c>
      <c r="O122" s="516"/>
      <c r="P122" s="517"/>
      <c r="Q122" s="518" t="s">
        <v>103</v>
      </c>
      <c r="S122" s="598"/>
    </row>
    <row r="123" spans="1:19" ht="15" customHeight="1" thickBot="1">
      <c r="A123" s="55">
        <v>8000</v>
      </c>
      <c r="B123" s="290" t="s">
        <v>728</v>
      </c>
      <c r="C123" s="194" t="s">
        <v>207</v>
      </c>
      <c r="D123" s="194" t="s">
        <v>198</v>
      </c>
      <c r="E123" s="194" t="s">
        <v>1172</v>
      </c>
      <c r="F123" s="67"/>
      <c r="G123" s="67"/>
      <c r="H123" s="67"/>
      <c r="I123" s="194"/>
      <c r="J123" s="72"/>
      <c r="K123" s="67"/>
      <c r="L123" s="67"/>
      <c r="M123" s="194" t="s">
        <v>206</v>
      </c>
      <c r="N123" s="515">
        <f t="shared" si="17"/>
        <v>0</v>
      </c>
      <c r="O123" s="516">
        <f>IF(Schätzfaktoren!$G$3="ja",VLOOKUP("BGF",Objektkenndaten,5,0)*VLOOKUP("K_GEBAUTOANL",Schätzfaktoren,5,0),0)</f>
        <v>0</v>
      </c>
      <c r="P123" s="519"/>
      <c r="Q123" s="518" t="s">
        <v>103</v>
      </c>
      <c r="S123" s="598"/>
    </row>
    <row r="124" spans="1:19" ht="15" customHeight="1" thickBot="1">
      <c r="A124" s="293">
        <v>8100</v>
      </c>
      <c r="B124" s="294" t="s">
        <v>743</v>
      </c>
      <c r="C124" s="172" t="s">
        <v>205</v>
      </c>
      <c r="D124" s="172" t="s">
        <v>204</v>
      </c>
      <c r="E124" s="172"/>
      <c r="F124" s="171"/>
      <c r="G124" s="172"/>
      <c r="H124" s="171"/>
      <c r="I124" s="172"/>
      <c r="J124" s="171"/>
      <c r="K124" s="171"/>
      <c r="L124" s="171"/>
      <c r="M124" s="172" t="s">
        <v>117</v>
      </c>
      <c r="N124" s="513">
        <f>SUM(N125:N127)</f>
        <v>0</v>
      </c>
      <c r="O124" s="520"/>
      <c r="P124" s="521" t="s">
        <v>103</v>
      </c>
      <c r="Q124" s="521"/>
      <c r="S124" s="172"/>
    </row>
    <row r="125" spans="1:19" ht="15" customHeight="1" thickBot="1">
      <c r="A125" s="55">
        <v>8200</v>
      </c>
      <c r="B125" s="290" t="s">
        <v>728</v>
      </c>
      <c r="C125" s="194" t="s">
        <v>203</v>
      </c>
      <c r="D125" s="194" t="s">
        <v>202</v>
      </c>
      <c r="E125" s="194"/>
      <c r="F125" s="67"/>
      <c r="G125" s="67"/>
      <c r="H125" s="67"/>
      <c r="I125" s="194"/>
      <c r="J125" s="72"/>
      <c r="K125" s="67"/>
      <c r="L125" s="67"/>
      <c r="M125" s="194"/>
      <c r="N125" s="515">
        <f t="shared" si="17"/>
        <v>0</v>
      </c>
      <c r="O125" s="516"/>
      <c r="P125" s="517"/>
      <c r="Q125" s="518" t="s">
        <v>103</v>
      </c>
      <c r="S125" s="598"/>
    </row>
    <row r="126" spans="1:19" ht="15" customHeight="1" thickBot="1">
      <c r="A126" s="55">
        <v>8300</v>
      </c>
      <c r="B126" s="290" t="s">
        <v>728</v>
      </c>
      <c r="C126" s="194" t="s">
        <v>201</v>
      </c>
      <c r="D126" s="194" t="s">
        <v>200</v>
      </c>
      <c r="E126" s="194"/>
      <c r="F126" s="67"/>
      <c r="G126" s="67"/>
      <c r="H126" s="67"/>
      <c r="I126" s="194"/>
      <c r="J126" s="72"/>
      <c r="K126" s="67"/>
      <c r="L126" s="67"/>
      <c r="M126" s="194"/>
      <c r="N126" s="515">
        <f t="shared" si="17"/>
        <v>0</v>
      </c>
      <c r="O126" s="516"/>
      <c r="P126" s="517"/>
      <c r="Q126" s="518" t="s">
        <v>103</v>
      </c>
      <c r="S126" s="598"/>
    </row>
    <row r="127" spans="1:19" ht="15" customHeight="1" thickBot="1">
      <c r="A127" s="55">
        <v>8400</v>
      </c>
      <c r="B127" s="290" t="s">
        <v>728</v>
      </c>
      <c r="C127" s="194" t="s">
        <v>199</v>
      </c>
      <c r="D127" s="194" t="s">
        <v>198</v>
      </c>
      <c r="E127" s="194" t="s">
        <v>1172</v>
      </c>
      <c r="F127" s="67"/>
      <c r="G127" s="67"/>
      <c r="H127" s="67"/>
      <c r="I127" s="194"/>
      <c r="J127" s="72"/>
      <c r="K127" s="67"/>
      <c r="L127" s="67"/>
      <c r="M127" s="194"/>
      <c r="N127" s="515">
        <f t="shared" si="17"/>
        <v>0</v>
      </c>
      <c r="O127" s="516"/>
      <c r="P127" s="517"/>
      <c r="Q127" s="518" t="s">
        <v>103</v>
      </c>
      <c r="S127" s="598"/>
    </row>
    <row r="128" spans="1:19" ht="15" customHeight="1" thickBot="1">
      <c r="A128" s="293">
        <v>8500</v>
      </c>
      <c r="B128" s="294" t="s">
        <v>743</v>
      </c>
      <c r="C128" s="172" t="s">
        <v>197</v>
      </c>
      <c r="D128" s="172" t="s">
        <v>196</v>
      </c>
      <c r="E128" s="172"/>
      <c r="F128" s="171"/>
      <c r="G128" s="172"/>
      <c r="H128" s="171"/>
      <c r="I128" s="172"/>
      <c r="J128" s="171"/>
      <c r="K128" s="171"/>
      <c r="L128" s="171"/>
      <c r="M128" s="172" t="s">
        <v>117</v>
      </c>
      <c r="N128" s="513">
        <f>SUM(N129)</f>
        <v>0</v>
      </c>
      <c r="O128" s="520"/>
      <c r="P128" s="521" t="s">
        <v>103</v>
      </c>
      <c r="Q128" s="521"/>
      <c r="S128" s="172"/>
    </row>
    <row r="129" spans="1:19" ht="15" customHeight="1" thickBot="1">
      <c r="A129" s="55">
        <v>8600</v>
      </c>
      <c r="B129" s="290" t="s">
        <v>743</v>
      </c>
      <c r="C129" s="194" t="s">
        <v>1056</v>
      </c>
      <c r="D129" s="194" t="s">
        <v>196</v>
      </c>
      <c r="E129" s="194" t="s">
        <v>1172</v>
      </c>
      <c r="F129" s="67"/>
      <c r="G129" s="67"/>
      <c r="H129" s="67"/>
      <c r="I129" s="194"/>
      <c r="J129" s="72"/>
      <c r="K129" s="67"/>
      <c r="L129" s="67"/>
      <c r="M129" s="194" t="s">
        <v>195</v>
      </c>
      <c r="N129" s="515">
        <f t="shared" si="17"/>
        <v>0</v>
      </c>
      <c r="O129" s="516">
        <f>IF(Schätzfaktoren!$G$3="ja",VLOOKUP("BGF",Objektkenndaten,5,0)*VLOOKUP("K_STANL",Schätzfaktoren,5,0),0)</f>
        <v>0</v>
      </c>
      <c r="P129" s="519"/>
      <c r="Q129" s="518" t="s">
        <v>103</v>
      </c>
      <c r="S129" s="598"/>
    </row>
    <row r="130" spans="1:19" ht="15" customHeight="1" thickBot="1">
      <c r="A130" s="293">
        <v>8700</v>
      </c>
      <c r="B130" s="294" t="s">
        <v>724</v>
      </c>
      <c r="C130" s="172" t="s">
        <v>194</v>
      </c>
      <c r="D130" s="172" t="s">
        <v>193</v>
      </c>
      <c r="E130" s="172"/>
      <c r="F130" s="171"/>
      <c r="G130" s="172"/>
      <c r="H130" s="171"/>
      <c r="I130" s="172"/>
      <c r="J130" s="172"/>
      <c r="K130" s="172"/>
      <c r="L130" s="172"/>
      <c r="M130" s="172" t="s">
        <v>117</v>
      </c>
      <c r="N130" s="513">
        <f>SUM(N131,N132,N143,N166)</f>
        <v>0</v>
      </c>
      <c r="O130" s="520"/>
      <c r="P130" s="521" t="s">
        <v>103</v>
      </c>
      <c r="Q130" s="521"/>
      <c r="S130" s="172"/>
    </row>
    <row r="131" spans="1:19" ht="15" customHeight="1" thickBot="1">
      <c r="A131" s="55">
        <v>8800</v>
      </c>
      <c r="B131" s="290" t="s">
        <v>728</v>
      </c>
      <c r="C131" s="194" t="s">
        <v>192</v>
      </c>
      <c r="D131" s="194" t="s">
        <v>0</v>
      </c>
      <c r="E131" s="194"/>
      <c r="F131" s="67"/>
      <c r="G131" s="67"/>
      <c r="H131" s="67"/>
      <c r="I131" s="194"/>
      <c r="J131" s="72"/>
      <c r="K131" s="67"/>
      <c r="L131" s="67"/>
      <c r="M131" s="194"/>
      <c r="N131" s="515">
        <f t="shared" si="17"/>
        <v>0</v>
      </c>
      <c r="O131" s="516"/>
      <c r="P131" s="517"/>
      <c r="Q131" s="518" t="s">
        <v>103</v>
      </c>
      <c r="S131" s="598"/>
    </row>
    <row r="132" spans="1:19" ht="15" customHeight="1" thickTop="1" thickBot="1">
      <c r="A132" s="293">
        <v>8900</v>
      </c>
      <c r="B132" s="294" t="s">
        <v>743</v>
      </c>
      <c r="C132" s="172" t="s">
        <v>191</v>
      </c>
      <c r="D132" s="172" t="s">
        <v>190</v>
      </c>
      <c r="E132" s="172"/>
      <c r="F132" s="171"/>
      <c r="G132" s="172"/>
      <c r="H132" s="171"/>
      <c r="I132" s="172"/>
      <c r="J132" s="608" t="s">
        <v>2712</v>
      </c>
      <c r="K132" s="608"/>
      <c r="L132" s="608"/>
      <c r="M132" s="172" t="s">
        <v>117</v>
      </c>
      <c r="N132" s="513">
        <f>SUM(N133,N138,N141,N142)</f>
        <v>0</v>
      </c>
      <c r="O132" s="520"/>
      <c r="P132" s="521" t="s">
        <v>103</v>
      </c>
      <c r="Q132" s="521"/>
      <c r="S132" s="172"/>
    </row>
    <row r="133" spans="1:19" ht="15" customHeight="1" thickTop="1" thickBot="1">
      <c r="A133" s="293">
        <v>9000</v>
      </c>
      <c r="B133" s="294" t="s">
        <v>743</v>
      </c>
      <c r="C133" s="172" t="s">
        <v>189</v>
      </c>
      <c r="D133" s="172" t="s">
        <v>188</v>
      </c>
      <c r="E133" s="172"/>
      <c r="F133" s="291">
        <f>IF(H133="",G133,H133)</f>
        <v>0</v>
      </c>
      <c r="G133" s="292">
        <f>VLOOKUP("DACHF",Objektkenndaten,5,0)</f>
        <v>0</v>
      </c>
      <c r="H133" s="168"/>
      <c r="I133" s="194" t="s">
        <v>92</v>
      </c>
      <c r="J133" s="171"/>
      <c r="K133" s="171"/>
      <c r="L133" s="171"/>
      <c r="M133" s="172" t="s">
        <v>117</v>
      </c>
      <c r="N133" s="513">
        <f>SUM(N134:N137)</f>
        <v>0</v>
      </c>
      <c r="O133" s="520"/>
      <c r="P133" s="521" t="s">
        <v>103</v>
      </c>
      <c r="Q133" s="521"/>
      <c r="S133" s="172"/>
    </row>
    <row r="134" spans="1:19" ht="15" customHeight="1" thickBot="1">
      <c r="A134" s="55">
        <v>9100</v>
      </c>
      <c r="B134" s="290" t="s">
        <v>728</v>
      </c>
      <c r="C134" s="194" t="s">
        <v>187</v>
      </c>
      <c r="D134" s="80" t="s">
        <v>2301</v>
      </c>
      <c r="E134" s="194"/>
      <c r="F134" s="291">
        <f t="shared" ref="F134:F144" si="18">IF(H134="",G134,H134)</f>
        <v>0</v>
      </c>
      <c r="G134" s="303">
        <f>F133-F136-F137</f>
        <v>0</v>
      </c>
      <c r="H134" s="304"/>
      <c r="I134" s="194" t="s">
        <v>92</v>
      </c>
      <c r="J134" s="49" t="str">
        <f>IF(L134="Bitte auswählen",K134,L134)</f>
        <v>keine Angabe</v>
      </c>
      <c r="K134" s="292" t="s">
        <v>1870</v>
      </c>
      <c r="L134" s="305" t="s">
        <v>2071</v>
      </c>
      <c r="M134" s="194"/>
      <c r="N134" s="515">
        <f t="shared" si="17"/>
        <v>0</v>
      </c>
      <c r="O134" s="516">
        <f>IF(Schätzfaktoren!$G$3="ja",VLOOKUP("DACHF",Objektkenndaten,5,0)*VLOOKUP("F_DACHFAUS",Schätzfaktoren,5,0)/100*VLOOKUP("K_DACHF",Schätzfaktoren,5,0),0)</f>
        <v>0</v>
      </c>
      <c r="P134" s="519"/>
      <c r="Q134" s="518" t="s">
        <v>103</v>
      </c>
      <c r="S134" s="598"/>
    </row>
    <row r="135" spans="1:19" ht="15" customHeight="1" thickBot="1">
      <c r="A135" s="55">
        <v>9200</v>
      </c>
      <c r="B135" s="290" t="s">
        <v>728</v>
      </c>
      <c r="C135" s="194" t="s">
        <v>186</v>
      </c>
      <c r="D135" s="80" t="s">
        <v>2302</v>
      </c>
      <c r="E135" s="194"/>
      <c r="F135" s="291">
        <f>F133-F136-F137-F134</f>
        <v>0</v>
      </c>
      <c r="G135" s="82"/>
      <c r="H135" s="82"/>
      <c r="I135" s="194" t="s">
        <v>92</v>
      </c>
      <c r="J135" s="49" t="str">
        <f>IF(L135="Bitte auswählen",K135,L135)</f>
        <v>keine Angabe</v>
      </c>
      <c r="K135" s="292" t="s">
        <v>1870</v>
      </c>
      <c r="L135" s="305" t="s">
        <v>2071</v>
      </c>
      <c r="M135" s="194" t="s">
        <v>185</v>
      </c>
      <c r="N135" s="515">
        <f t="shared" ref="N135" si="19">IF(P135="",O135,P135)</f>
        <v>0</v>
      </c>
      <c r="O135" s="516"/>
      <c r="P135" s="531"/>
      <c r="Q135" s="518" t="s">
        <v>103</v>
      </c>
      <c r="S135" s="598"/>
    </row>
    <row r="136" spans="1:19" ht="15" customHeight="1" thickBot="1">
      <c r="A136" s="55"/>
      <c r="B136" s="290" t="s">
        <v>728</v>
      </c>
      <c r="C136" s="194"/>
      <c r="D136" s="80" t="s">
        <v>2357</v>
      </c>
      <c r="E136" s="194" t="s">
        <v>2584</v>
      </c>
      <c r="F136" s="291" t="str">
        <f>IF(H136="",G136,H136)</f>
        <v>0,00</v>
      </c>
      <c r="G136" s="292" t="str">
        <f>VLOOKUP("PVDACH",Objektkenndaten,5,0)</f>
        <v>0,00</v>
      </c>
      <c r="H136" s="306"/>
      <c r="I136" s="194" t="s">
        <v>92</v>
      </c>
      <c r="J136" s="72"/>
      <c r="K136" s="67"/>
      <c r="L136" s="67"/>
      <c r="M136" s="194"/>
      <c r="N136" s="532"/>
      <c r="O136" s="518"/>
      <c r="P136" s="518"/>
      <c r="Q136" s="518"/>
      <c r="S136" s="598"/>
    </row>
    <row r="137" spans="1:19" ht="15" customHeight="1" thickBot="1">
      <c r="A137" s="55"/>
      <c r="B137" s="290" t="s">
        <v>728</v>
      </c>
      <c r="C137" s="194"/>
      <c r="D137" s="80" t="s">
        <v>2358</v>
      </c>
      <c r="E137" s="194" t="s">
        <v>2585</v>
      </c>
      <c r="F137" s="291" t="str">
        <f>IF(H137="",G137,H137)</f>
        <v>0,00</v>
      </c>
      <c r="G137" s="292" t="str">
        <f>VLOOKUP("SOLARD",Objektkenndaten,5,0)</f>
        <v>0,00</v>
      </c>
      <c r="H137" s="306"/>
      <c r="I137" s="194" t="s">
        <v>92</v>
      </c>
      <c r="J137" s="72"/>
      <c r="K137" s="67"/>
      <c r="L137" s="67"/>
      <c r="M137" s="194"/>
      <c r="N137" s="532"/>
      <c r="O137" s="518"/>
      <c r="P137" s="518"/>
      <c r="Q137" s="518"/>
      <c r="S137" s="598"/>
    </row>
    <row r="138" spans="1:19" ht="15" customHeight="1" thickBot="1">
      <c r="A138" s="55">
        <v>9600</v>
      </c>
      <c r="B138" s="290" t="s">
        <v>728</v>
      </c>
      <c r="C138" s="194" t="s">
        <v>184</v>
      </c>
      <c r="D138" s="194" t="s">
        <v>183</v>
      </c>
      <c r="E138" s="194"/>
      <c r="F138" s="291">
        <f>IF(H138="",G138,H138)</f>
        <v>0</v>
      </c>
      <c r="G138" s="292">
        <f>VLOOKUP("GLASFNV",Objektkenndaten,5,0)</f>
        <v>0</v>
      </c>
      <c r="H138" s="168"/>
      <c r="I138" s="194" t="s">
        <v>92</v>
      </c>
      <c r="J138" s="72"/>
      <c r="K138" s="254"/>
      <c r="L138" s="67"/>
      <c r="M138" s="194"/>
      <c r="N138" s="515">
        <f t="shared" ref="N138" si="20">IF(P138="",O138,P138)</f>
        <v>0</v>
      </c>
      <c r="O138" s="516"/>
      <c r="P138" s="531"/>
      <c r="Q138" s="533" t="s">
        <v>103</v>
      </c>
      <c r="S138" s="598"/>
    </row>
    <row r="139" spans="1:19" ht="15" customHeight="1" thickBot="1">
      <c r="A139" s="55"/>
      <c r="B139" s="290" t="s">
        <v>728</v>
      </c>
      <c r="C139" s="194" t="s">
        <v>1963</v>
      </c>
      <c r="D139" s="80" t="s">
        <v>1962</v>
      </c>
      <c r="E139" s="194"/>
      <c r="F139" s="307">
        <f t="shared" ref="F139" si="21">IF(H139="",G139,H139)</f>
        <v>0.7</v>
      </c>
      <c r="G139" s="308">
        <v>0.7</v>
      </c>
      <c r="H139" s="309"/>
      <c r="I139" s="194" t="s">
        <v>98</v>
      </c>
      <c r="J139" s="49" t="str">
        <f>IF(L139="Bitte auswählen",K139,L139)</f>
        <v>keine Angabe</v>
      </c>
      <c r="K139" s="292" t="s">
        <v>1870</v>
      </c>
      <c r="L139" s="168" t="s">
        <v>2071</v>
      </c>
      <c r="M139" s="194"/>
      <c r="N139" s="524"/>
      <c r="O139" s="523"/>
      <c r="P139" s="523"/>
      <c r="Q139" s="533"/>
      <c r="S139" s="598"/>
    </row>
    <row r="140" spans="1:19" ht="15" customHeight="1" thickBot="1">
      <c r="A140" s="55"/>
      <c r="B140" s="290" t="s">
        <v>728</v>
      </c>
      <c r="C140" s="194" t="s">
        <v>1964</v>
      </c>
      <c r="D140" s="80" t="s">
        <v>1961</v>
      </c>
      <c r="E140" s="194"/>
      <c r="F140" s="307">
        <f>100%-F139</f>
        <v>0.30000000000000004</v>
      </c>
      <c r="G140" s="82"/>
      <c r="H140" s="82"/>
      <c r="I140" s="194" t="s">
        <v>98</v>
      </c>
      <c r="J140" s="49" t="str">
        <f>IF(L140="Bitte auswählen",K140,L140)</f>
        <v>keine Angabe</v>
      </c>
      <c r="K140" s="292" t="s">
        <v>1870</v>
      </c>
      <c r="L140" s="168" t="s">
        <v>2071</v>
      </c>
      <c r="M140" s="194"/>
      <c r="N140" s="524"/>
      <c r="O140" s="523"/>
      <c r="P140" s="523"/>
      <c r="Q140" s="533"/>
      <c r="S140" s="598"/>
    </row>
    <row r="141" spans="1:19" ht="15" customHeight="1" thickBot="1">
      <c r="A141" s="55">
        <v>9700</v>
      </c>
      <c r="B141" s="290" t="s">
        <v>728</v>
      </c>
      <c r="C141" s="194" t="s">
        <v>182</v>
      </c>
      <c r="D141" s="194" t="s">
        <v>181</v>
      </c>
      <c r="E141" s="194"/>
      <c r="F141" s="67"/>
      <c r="G141" s="67"/>
      <c r="H141" s="67"/>
      <c r="I141" s="194"/>
      <c r="J141" s="72"/>
      <c r="K141" s="67"/>
      <c r="L141" s="67"/>
      <c r="M141" s="194"/>
      <c r="N141" s="515">
        <f t="shared" si="17"/>
        <v>0</v>
      </c>
      <c r="O141" s="516"/>
      <c r="P141" s="531"/>
      <c r="Q141" s="518" t="s">
        <v>103</v>
      </c>
      <c r="S141" s="598"/>
    </row>
    <row r="142" spans="1:19" ht="15" customHeight="1" thickBot="1">
      <c r="A142" s="55">
        <v>9800</v>
      </c>
      <c r="B142" s="290" t="s">
        <v>728</v>
      </c>
      <c r="C142" s="194" t="s">
        <v>180</v>
      </c>
      <c r="D142" s="194" t="s">
        <v>179</v>
      </c>
      <c r="E142" s="194" t="s">
        <v>1172</v>
      </c>
      <c r="F142" s="67"/>
      <c r="G142" s="67"/>
      <c r="H142" s="67"/>
      <c r="I142" s="194"/>
      <c r="J142" s="72"/>
      <c r="K142" s="67"/>
      <c r="L142" s="67"/>
      <c r="M142" s="194"/>
      <c r="N142" s="515">
        <f t="shared" si="17"/>
        <v>0</v>
      </c>
      <c r="O142" s="516"/>
      <c r="P142" s="531"/>
      <c r="Q142" s="518" t="s">
        <v>103</v>
      </c>
      <c r="S142" s="598"/>
    </row>
    <row r="143" spans="1:19" ht="15" customHeight="1" thickTop="1" thickBot="1">
      <c r="A143" s="293">
        <v>9900</v>
      </c>
      <c r="B143" s="294" t="s">
        <v>743</v>
      </c>
      <c r="C143" s="172" t="s">
        <v>178</v>
      </c>
      <c r="D143" s="172" t="s">
        <v>177</v>
      </c>
      <c r="E143" s="172"/>
      <c r="F143" s="171"/>
      <c r="G143" s="171"/>
      <c r="H143" s="171"/>
      <c r="I143" s="171"/>
      <c r="J143" s="608" t="s">
        <v>2712</v>
      </c>
      <c r="K143" s="608"/>
      <c r="L143" s="608"/>
      <c r="M143" s="172" t="s">
        <v>117</v>
      </c>
      <c r="N143" s="513">
        <f>SUM(N144,N152,N161,N162,N165)</f>
        <v>0</v>
      </c>
      <c r="O143" s="520"/>
      <c r="P143" s="521" t="s">
        <v>103</v>
      </c>
      <c r="Q143" s="521"/>
      <c r="S143" s="172"/>
    </row>
    <row r="144" spans="1:19" ht="15" customHeight="1" thickTop="1" thickBot="1">
      <c r="A144" s="293">
        <v>10000</v>
      </c>
      <c r="B144" s="172" t="s">
        <v>743</v>
      </c>
      <c r="C144" s="172" t="s">
        <v>176</v>
      </c>
      <c r="D144" s="172" t="s">
        <v>175</v>
      </c>
      <c r="E144" s="172"/>
      <c r="F144" s="291">
        <f t="shared" si="18"/>
        <v>0</v>
      </c>
      <c r="G144" s="292">
        <f>VLOOKUP("AWF",Objektkenndaten,5,0)-VLOOKUP("GLASF",Objektkenndaten,5,0)-VLOOKUP("GLASFF",Objektkenndaten,5,0)</f>
        <v>0</v>
      </c>
      <c r="H144" s="168"/>
      <c r="I144" s="295" t="s">
        <v>92</v>
      </c>
      <c r="J144" s="171"/>
      <c r="K144" s="171"/>
      <c r="L144" s="171"/>
      <c r="M144" s="172" t="s">
        <v>117</v>
      </c>
      <c r="N144" s="513">
        <f>SUM(N145:N149)</f>
        <v>0</v>
      </c>
      <c r="O144" s="520"/>
      <c r="P144" s="521" t="s">
        <v>103</v>
      </c>
      <c r="Q144" s="521"/>
      <c r="S144" s="172"/>
    </row>
    <row r="145" spans="1:19" ht="15" customHeight="1" thickBot="1">
      <c r="A145" s="55"/>
      <c r="B145" s="290" t="s">
        <v>728</v>
      </c>
      <c r="C145" s="194" t="s">
        <v>2022</v>
      </c>
      <c r="D145" s="80" t="s">
        <v>1477</v>
      </c>
      <c r="E145" s="194"/>
      <c r="F145" s="291">
        <f>IF(H145="",G145,H145)</f>
        <v>0</v>
      </c>
      <c r="G145" s="303">
        <f>IF('Allgemeine Angaben'!G5="Mehrgeschoßiger Wohnbau",F144-F150-F151,0)</f>
        <v>0</v>
      </c>
      <c r="H145" s="304"/>
      <c r="I145" s="194" t="s">
        <v>92</v>
      </c>
      <c r="J145" s="49" t="str">
        <f>IF(L145="Bitte auswählen",K145,L145)</f>
        <v>keine Angabe</v>
      </c>
      <c r="K145" s="292" t="s">
        <v>1870</v>
      </c>
      <c r="L145" s="305" t="s">
        <v>2071</v>
      </c>
      <c r="M145" s="194"/>
      <c r="N145" s="515">
        <f>IF(P145="",O145,P145)</f>
        <v>0</v>
      </c>
      <c r="O145" s="516"/>
      <c r="P145" s="517"/>
      <c r="Q145" s="518" t="s">
        <v>103</v>
      </c>
      <c r="S145" s="598"/>
    </row>
    <row r="146" spans="1:19" ht="15" customHeight="1" thickBot="1">
      <c r="A146" s="55"/>
      <c r="B146" s="290" t="s">
        <v>728</v>
      </c>
      <c r="C146" s="194" t="s">
        <v>2019</v>
      </c>
      <c r="D146" s="75" t="s">
        <v>2023</v>
      </c>
      <c r="E146" s="194"/>
      <c r="F146" s="291">
        <f>IF(H146="",G146,H146)</f>
        <v>0</v>
      </c>
      <c r="G146" s="297">
        <v>0</v>
      </c>
      <c r="H146" s="310"/>
      <c r="I146" s="194" t="s">
        <v>1514</v>
      </c>
      <c r="J146" s="67"/>
      <c r="K146" s="67"/>
      <c r="L146" s="67"/>
      <c r="M146" s="194"/>
      <c r="N146" s="524"/>
      <c r="O146" s="523"/>
      <c r="P146" s="523"/>
      <c r="Q146" s="518"/>
      <c r="S146" s="598"/>
    </row>
    <row r="147" spans="1:19" ht="15" customHeight="1" thickBot="1">
      <c r="A147" s="55"/>
      <c r="B147" s="290" t="s">
        <v>728</v>
      </c>
      <c r="C147" s="194" t="s">
        <v>2018</v>
      </c>
      <c r="D147" s="80" t="s">
        <v>1612</v>
      </c>
      <c r="E147" s="194"/>
      <c r="F147" s="291">
        <f>F144-F150-F151-F145</f>
        <v>0</v>
      </c>
      <c r="G147" s="67"/>
      <c r="H147" s="67"/>
      <c r="I147" s="194" t="s">
        <v>92</v>
      </c>
      <c r="J147" s="72"/>
      <c r="K147" s="67"/>
      <c r="L147" s="67"/>
      <c r="M147" s="194" t="s">
        <v>174</v>
      </c>
      <c r="N147" s="515">
        <f t="shared" ref="N147" si="22">IF(P147="",O147,P147)</f>
        <v>0</v>
      </c>
      <c r="O147" s="516">
        <f>IF(Schätzfaktoren!$G$3="ja",VLOOKUP("AWF",Objektkenndaten,5,0)*VLOOKUP("F_AWFAUS",Schätzfaktoren,5,0)/100*VLOOKUP("K_AWF",Schätzfaktoren,5,0),0)</f>
        <v>0</v>
      </c>
      <c r="P147" s="519"/>
      <c r="Q147" s="518"/>
      <c r="S147" s="598"/>
    </row>
    <row r="148" spans="1:19" ht="15" customHeight="1" thickBot="1">
      <c r="A148" s="55"/>
      <c r="B148" s="290" t="s">
        <v>728</v>
      </c>
      <c r="C148" s="194" t="s">
        <v>2020</v>
      </c>
      <c r="D148" s="75" t="s">
        <v>1478</v>
      </c>
      <c r="E148" s="194"/>
      <c r="F148" s="67"/>
      <c r="G148" s="67"/>
      <c r="H148" s="67"/>
      <c r="I148" s="194"/>
      <c r="J148" s="49" t="str">
        <f>IF(L148="Bitte auswählen",K148,L148)</f>
        <v>keine Angabe</v>
      </c>
      <c r="K148" s="292" t="s">
        <v>1870</v>
      </c>
      <c r="L148" s="305" t="s">
        <v>2071</v>
      </c>
      <c r="M148" s="194"/>
      <c r="N148" s="534"/>
      <c r="O148" s="535"/>
      <c r="P148" s="535"/>
      <c r="Q148" s="535"/>
      <c r="S148" s="598"/>
    </row>
    <row r="149" spans="1:19" ht="15" customHeight="1" thickBot="1">
      <c r="A149" s="55"/>
      <c r="B149" s="290" t="s">
        <v>728</v>
      </c>
      <c r="C149" s="194" t="s">
        <v>2021</v>
      </c>
      <c r="D149" s="75" t="s">
        <v>1479</v>
      </c>
      <c r="E149" s="194"/>
      <c r="F149" s="291">
        <f t="shared" ref="F149:F154" si="23">IF(H149="",G149,H149)</f>
        <v>0</v>
      </c>
      <c r="G149" s="292"/>
      <c r="H149" s="305"/>
      <c r="I149" s="194" t="s">
        <v>1514</v>
      </c>
      <c r="J149" s="49" t="str">
        <f>IF(L149="Bitte auswählen",K149,L149)</f>
        <v>keine Angabe</v>
      </c>
      <c r="K149" s="292" t="s">
        <v>1870</v>
      </c>
      <c r="L149" s="305" t="s">
        <v>2071</v>
      </c>
      <c r="M149" s="194"/>
      <c r="N149" s="534"/>
      <c r="O149" s="535"/>
      <c r="P149" s="535"/>
      <c r="Q149" s="535"/>
      <c r="S149" s="598"/>
    </row>
    <row r="150" spans="1:19" ht="15" customHeight="1" thickBot="1">
      <c r="A150" s="55"/>
      <c r="B150" s="290" t="s">
        <v>728</v>
      </c>
      <c r="C150" s="194"/>
      <c r="D150" s="80" t="s">
        <v>2355</v>
      </c>
      <c r="E150" s="194" t="s">
        <v>2584</v>
      </c>
      <c r="F150" s="291" t="str">
        <f t="shared" si="23"/>
        <v>0,00</v>
      </c>
      <c r="G150" s="292" t="str">
        <f>VLOOKUP("PVFASS",Objektkenndaten,5,0)</f>
        <v>0,00</v>
      </c>
      <c r="H150" s="306"/>
      <c r="I150" s="194" t="s">
        <v>92</v>
      </c>
      <c r="J150" s="72"/>
      <c r="K150" s="67"/>
      <c r="L150" s="67"/>
      <c r="M150" s="194"/>
      <c r="N150" s="532"/>
      <c r="O150" s="518"/>
      <c r="P150" s="518"/>
      <c r="Q150" s="518"/>
      <c r="S150" s="598"/>
    </row>
    <row r="151" spans="1:19" ht="15" customHeight="1" thickBot="1">
      <c r="A151" s="55"/>
      <c r="B151" s="290" t="s">
        <v>728</v>
      </c>
      <c r="C151" s="194"/>
      <c r="D151" s="80" t="s">
        <v>2356</v>
      </c>
      <c r="E151" s="194" t="s">
        <v>2585</v>
      </c>
      <c r="F151" s="291" t="str">
        <f t="shared" si="23"/>
        <v>0,00</v>
      </c>
      <c r="G151" s="292" t="str">
        <f>VLOOKUP("SOLARF",Objektkenndaten,5,0)</f>
        <v>0,00</v>
      </c>
      <c r="H151" s="306"/>
      <c r="I151" s="194" t="s">
        <v>92</v>
      </c>
      <c r="J151" s="72"/>
      <c r="K151" s="67"/>
      <c r="L151" s="67"/>
      <c r="M151" s="194"/>
      <c r="N151" s="532"/>
      <c r="O151" s="518"/>
      <c r="P151" s="518"/>
      <c r="Q151" s="518"/>
      <c r="S151" s="598"/>
    </row>
    <row r="152" spans="1:19" ht="15" customHeight="1" thickBot="1">
      <c r="A152" s="293">
        <v>10100</v>
      </c>
      <c r="B152" s="294" t="s">
        <v>743</v>
      </c>
      <c r="C152" s="172" t="s">
        <v>173</v>
      </c>
      <c r="D152" s="172" t="s">
        <v>172</v>
      </c>
      <c r="E152" s="172"/>
      <c r="F152" s="171"/>
      <c r="G152" s="171"/>
      <c r="H152" s="171"/>
      <c r="I152" s="172"/>
      <c r="J152" s="172"/>
      <c r="K152" s="172"/>
      <c r="L152" s="172"/>
      <c r="M152" s="172" t="s">
        <v>117</v>
      </c>
      <c r="N152" s="513">
        <f>SUM(N153:N160)</f>
        <v>0</v>
      </c>
      <c r="O152" s="520"/>
      <c r="P152" s="521" t="s">
        <v>103</v>
      </c>
      <c r="Q152" s="521"/>
      <c r="S152" s="172"/>
    </row>
    <row r="153" spans="1:19" ht="15" customHeight="1" thickBot="1">
      <c r="A153" s="55"/>
      <c r="B153" s="290"/>
      <c r="C153" s="194" t="s">
        <v>1965</v>
      </c>
      <c r="D153" s="194" t="s">
        <v>1613</v>
      </c>
      <c r="E153" s="194"/>
      <c r="F153" s="291" t="str">
        <f t="shared" si="23"/>
        <v>0,00</v>
      </c>
      <c r="G153" s="292" t="str">
        <f>VLOOKUP("GLASF",Objektkenndaten,5,0)</f>
        <v>0,00</v>
      </c>
      <c r="H153" s="305"/>
      <c r="I153" s="194" t="s">
        <v>92</v>
      </c>
      <c r="J153" s="72"/>
      <c r="K153" s="67"/>
      <c r="L153" s="67"/>
      <c r="M153" s="194"/>
      <c r="N153" s="515">
        <f t="shared" ref="N153" si="24">IF(P153="",O153,P153)</f>
        <v>0</v>
      </c>
      <c r="O153" s="516"/>
      <c r="P153" s="531"/>
      <c r="Q153" s="518" t="s">
        <v>103</v>
      </c>
      <c r="S153" s="598"/>
    </row>
    <row r="154" spans="1:19" ht="15" customHeight="1" thickBot="1">
      <c r="A154" s="55"/>
      <c r="B154" s="290"/>
      <c r="C154" s="194" t="s">
        <v>1967</v>
      </c>
      <c r="D154" s="75" t="s">
        <v>1962</v>
      </c>
      <c r="E154" s="194"/>
      <c r="F154" s="307">
        <f t="shared" si="23"/>
        <v>0.7</v>
      </c>
      <c r="G154" s="308">
        <v>0.7</v>
      </c>
      <c r="H154" s="309"/>
      <c r="I154" s="194" t="s">
        <v>98</v>
      </c>
      <c r="J154" s="49" t="str">
        <f>IF(L154="Bitte auswählen",K154,L154)</f>
        <v>keine Angabe</v>
      </c>
      <c r="K154" s="292" t="s">
        <v>1870</v>
      </c>
      <c r="L154" s="305" t="s">
        <v>2071</v>
      </c>
      <c r="M154" s="194"/>
      <c r="N154" s="524"/>
      <c r="O154" s="523"/>
      <c r="P154" s="536"/>
      <c r="Q154" s="533"/>
      <c r="S154" s="598"/>
    </row>
    <row r="155" spans="1:19" ht="15" customHeight="1" thickBot="1">
      <c r="A155" s="55"/>
      <c r="B155" s="290"/>
      <c r="C155" s="194" t="s">
        <v>1968</v>
      </c>
      <c r="D155" s="75" t="s">
        <v>1961</v>
      </c>
      <c r="E155" s="194"/>
      <c r="F155" s="307">
        <f>100%-F154</f>
        <v>0.30000000000000004</v>
      </c>
      <c r="G155" s="82"/>
      <c r="H155" s="82"/>
      <c r="I155" s="194" t="s">
        <v>98</v>
      </c>
      <c r="J155" s="49" t="str">
        <f>IF(L155="Bitte auswählen",K155,L155)</f>
        <v>keine Angabe</v>
      </c>
      <c r="K155" s="292" t="s">
        <v>1870</v>
      </c>
      <c r="L155" s="305" t="s">
        <v>2071</v>
      </c>
      <c r="M155" s="194"/>
      <c r="N155" s="524"/>
      <c r="O155" s="523"/>
      <c r="P155" s="536"/>
      <c r="Q155" s="533"/>
      <c r="S155" s="598"/>
    </row>
    <row r="156" spans="1:19" ht="15" customHeight="1" thickBot="1">
      <c r="A156" s="55"/>
      <c r="B156" s="290"/>
      <c r="C156" s="194" t="s">
        <v>1966</v>
      </c>
      <c r="D156" s="194" t="s">
        <v>1614</v>
      </c>
      <c r="E156" s="194"/>
      <c r="F156" s="291">
        <f t="shared" ref="F156" si="25">IF(H156="",G156,H156)</f>
        <v>0</v>
      </c>
      <c r="G156" s="292"/>
      <c r="H156" s="305"/>
      <c r="I156" s="194" t="s">
        <v>92</v>
      </c>
      <c r="J156" s="49" t="str">
        <f>IF(L156="Bitte auswählen",K156,L156)</f>
        <v>keine Angabe</v>
      </c>
      <c r="K156" s="292" t="s">
        <v>1870</v>
      </c>
      <c r="L156" s="305" t="s">
        <v>2071</v>
      </c>
      <c r="M156" s="194"/>
      <c r="N156" s="515">
        <f t="shared" ref="N156:N157" si="26">IF(P156="",O156,P156)</f>
        <v>0</v>
      </c>
      <c r="O156" s="516"/>
      <c r="P156" s="531"/>
      <c r="Q156" s="518" t="s">
        <v>103</v>
      </c>
      <c r="S156" s="598"/>
    </row>
    <row r="157" spans="1:19" ht="15" customHeight="1" thickBot="1">
      <c r="A157" s="55"/>
      <c r="B157" s="290"/>
      <c r="C157" s="194" t="s">
        <v>2143</v>
      </c>
      <c r="D157" s="194" t="s">
        <v>2146</v>
      </c>
      <c r="E157" s="194"/>
      <c r="F157" s="291" t="str">
        <f t="shared" ref="F157:F158" si="27">IF(H157="",G157,H157)</f>
        <v>0,00</v>
      </c>
      <c r="G157" s="292" t="str">
        <f>VLOOKUP("GLASFF",Objektkenndaten,5,0)</f>
        <v>0,00</v>
      </c>
      <c r="H157" s="305"/>
      <c r="I157" s="194" t="s">
        <v>92</v>
      </c>
      <c r="J157" s="72"/>
      <c r="K157" s="67"/>
      <c r="L157" s="67"/>
      <c r="M157" s="194"/>
      <c r="N157" s="515">
        <f t="shared" si="26"/>
        <v>0</v>
      </c>
      <c r="O157" s="516"/>
      <c r="P157" s="531"/>
      <c r="Q157" s="518" t="s">
        <v>103</v>
      </c>
      <c r="S157" s="598"/>
    </row>
    <row r="158" spans="1:19" ht="15" customHeight="1" thickBot="1">
      <c r="A158" s="55"/>
      <c r="B158" s="290"/>
      <c r="C158" s="194" t="s">
        <v>2144</v>
      </c>
      <c r="D158" s="75" t="s">
        <v>1962</v>
      </c>
      <c r="E158" s="194"/>
      <c r="F158" s="307">
        <f t="shared" si="27"/>
        <v>0.7</v>
      </c>
      <c r="G158" s="308">
        <v>0.7</v>
      </c>
      <c r="H158" s="309"/>
      <c r="I158" s="194" t="s">
        <v>98</v>
      </c>
      <c r="J158" s="49" t="str">
        <f>IF(L158="Bitte auswählen",K158,L158)</f>
        <v>keine Angabe</v>
      </c>
      <c r="K158" s="292" t="s">
        <v>1870</v>
      </c>
      <c r="L158" s="305" t="s">
        <v>2071</v>
      </c>
      <c r="M158" s="194"/>
      <c r="N158" s="524"/>
      <c r="O158" s="523"/>
      <c r="P158" s="536"/>
      <c r="Q158" s="533"/>
      <c r="S158" s="598"/>
    </row>
    <row r="159" spans="1:19" ht="15" customHeight="1" thickBot="1">
      <c r="A159" s="55"/>
      <c r="B159" s="290"/>
      <c r="C159" s="194" t="s">
        <v>2145</v>
      </c>
      <c r="D159" s="75" t="s">
        <v>1961</v>
      </c>
      <c r="E159" s="194"/>
      <c r="F159" s="307">
        <f>100%-F158</f>
        <v>0.30000000000000004</v>
      </c>
      <c r="G159" s="82"/>
      <c r="H159" s="82"/>
      <c r="I159" s="194" t="s">
        <v>98</v>
      </c>
      <c r="J159" s="49" t="str">
        <f>IF(L159="Bitte auswählen",K159,L159)</f>
        <v>keine Angabe</v>
      </c>
      <c r="K159" s="292" t="s">
        <v>1870</v>
      </c>
      <c r="L159" s="305" t="s">
        <v>2071</v>
      </c>
      <c r="M159" s="194"/>
      <c r="N159" s="524"/>
      <c r="O159" s="523"/>
      <c r="P159" s="536"/>
      <c r="Q159" s="533"/>
      <c r="S159" s="598"/>
    </row>
    <row r="160" spans="1:19" ht="15" customHeight="1" thickBot="1">
      <c r="A160" s="55"/>
      <c r="B160" s="290"/>
      <c r="C160" s="194" t="s">
        <v>2263</v>
      </c>
      <c r="D160" s="194" t="s">
        <v>2264</v>
      </c>
      <c r="E160" s="194" t="s">
        <v>1172</v>
      </c>
      <c r="F160" s="82"/>
      <c r="G160" s="82"/>
      <c r="H160" s="82"/>
      <c r="I160" s="194"/>
      <c r="J160" s="67"/>
      <c r="K160" s="67"/>
      <c r="L160" s="194"/>
      <c r="M160" s="194"/>
      <c r="N160" s="515">
        <f t="shared" ref="N160:N162" si="28">IF(P160="",O160,P160)</f>
        <v>0</v>
      </c>
      <c r="O160" s="516"/>
      <c r="P160" s="519"/>
      <c r="Q160" s="533" t="s">
        <v>103</v>
      </c>
      <c r="S160" s="598"/>
    </row>
    <row r="161" spans="1:19" ht="15" customHeight="1" thickBot="1">
      <c r="A161" s="55">
        <v>10200</v>
      </c>
      <c r="B161" s="290" t="s">
        <v>728</v>
      </c>
      <c r="C161" s="194" t="s">
        <v>171</v>
      </c>
      <c r="D161" s="194" t="s">
        <v>170</v>
      </c>
      <c r="E161" s="194"/>
      <c r="F161" s="67"/>
      <c r="G161" s="67"/>
      <c r="H161" s="67"/>
      <c r="I161" s="194"/>
      <c r="J161" s="72"/>
      <c r="K161" s="67"/>
      <c r="L161" s="67"/>
      <c r="M161" s="194"/>
      <c r="N161" s="515">
        <f t="shared" si="28"/>
        <v>0</v>
      </c>
      <c r="O161" s="516"/>
      <c r="P161" s="531"/>
      <c r="Q161" s="518" t="s">
        <v>103</v>
      </c>
      <c r="S161" s="598"/>
    </row>
    <row r="162" spans="1:19" s="66" customFormat="1" ht="15" customHeight="1" thickBot="1">
      <c r="A162" s="55">
        <v>10250</v>
      </c>
      <c r="B162" s="290" t="s">
        <v>728</v>
      </c>
      <c r="C162" s="194" t="s">
        <v>1486</v>
      </c>
      <c r="D162" s="194" t="s">
        <v>1176</v>
      </c>
      <c r="E162" s="194"/>
      <c r="F162" s="291">
        <f t="shared" ref="F162:F164" si="29">IF(H162="",G162,H162)</f>
        <v>0</v>
      </c>
      <c r="G162" s="292">
        <v>0</v>
      </c>
      <c r="H162" s="168"/>
      <c r="I162" s="194" t="s">
        <v>92</v>
      </c>
      <c r="J162" s="72"/>
      <c r="K162" s="67"/>
      <c r="L162" s="67"/>
      <c r="M162" s="194"/>
      <c r="N162" s="515">
        <f t="shared" si="28"/>
        <v>0</v>
      </c>
      <c r="O162" s="516"/>
      <c r="P162" s="531"/>
      <c r="Q162" s="518" t="s">
        <v>103</v>
      </c>
      <c r="S162" s="598"/>
    </row>
    <row r="163" spans="1:19" s="66" customFormat="1" ht="15" customHeight="1" thickBot="1">
      <c r="A163" s="55"/>
      <c r="B163" s="290"/>
      <c r="C163" s="80" t="s">
        <v>1876</v>
      </c>
      <c r="D163" s="80" t="s">
        <v>1482</v>
      </c>
      <c r="E163" s="194"/>
      <c r="F163" s="291">
        <f t="shared" si="29"/>
        <v>0</v>
      </c>
      <c r="G163" s="313"/>
      <c r="H163" s="314"/>
      <c r="I163" s="194" t="s">
        <v>1514</v>
      </c>
      <c r="J163" s="49" t="str">
        <f>IF(L163="Bitte auswählen",K163,L163)</f>
        <v>keine Angabe</v>
      </c>
      <c r="K163" s="292" t="s">
        <v>1870</v>
      </c>
      <c r="L163" s="305" t="s">
        <v>2071</v>
      </c>
      <c r="M163" s="194"/>
      <c r="N163" s="524"/>
      <c r="O163" s="523"/>
      <c r="P163" s="536"/>
      <c r="Q163" s="518"/>
      <c r="S163" s="598"/>
    </row>
    <row r="164" spans="1:19" s="66" customFormat="1" ht="15" customHeight="1" thickBot="1">
      <c r="A164" s="55"/>
      <c r="B164" s="290"/>
      <c r="C164" s="80" t="s">
        <v>1877</v>
      </c>
      <c r="D164" s="80" t="s">
        <v>1483</v>
      </c>
      <c r="E164" s="194"/>
      <c r="F164" s="291">
        <f t="shared" si="29"/>
        <v>0</v>
      </c>
      <c r="G164" s="313"/>
      <c r="H164" s="314"/>
      <c r="I164" s="194" t="s">
        <v>1514</v>
      </c>
      <c r="J164" s="49" t="str">
        <f>IF(L164="Bitte auswählen",K164,L164)</f>
        <v>keine Angabe</v>
      </c>
      <c r="K164" s="292" t="s">
        <v>1870</v>
      </c>
      <c r="L164" s="305" t="s">
        <v>2071</v>
      </c>
      <c r="M164" s="194"/>
      <c r="N164" s="524"/>
      <c r="O164" s="523"/>
      <c r="P164" s="536"/>
      <c r="Q164" s="518"/>
      <c r="S164" s="598"/>
    </row>
    <row r="165" spans="1:19" ht="15" customHeight="1" thickBot="1">
      <c r="A165" s="55">
        <v>10300</v>
      </c>
      <c r="B165" s="290" t="s">
        <v>728</v>
      </c>
      <c r="C165" s="194" t="s">
        <v>169</v>
      </c>
      <c r="D165" s="194" t="s">
        <v>168</v>
      </c>
      <c r="E165" s="194" t="s">
        <v>1172</v>
      </c>
      <c r="F165" s="67"/>
      <c r="G165" s="67"/>
      <c r="H165" s="67"/>
      <c r="I165" s="194"/>
      <c r="J165" s="72"/>
      <c r="K165" s="67"/>
      <c r="L165" s="67"/>
      <c r="M165" s="194"/>
      <c r="N165" s="515">
        <f t="shared" ref="N165" si="30">IF(P165="",O165,P165)</f>
        <v>0</v>
      </c>
      <c r="O165" s="516"/>
      <c r="P165" s="519"/>
      <c r="Q165" s="518" t="s">
        <v>103</v>
      </c>
      <c r="S165" s="598"/>
    </row>
    <row r="166" spans="1:19" ht="15" customHeight="1" thickTop="1" thickBot="1">
      <c r="A166" s="293">
        <v>10400</v>
      </c>
      <c r="B166" s="294" t="s">
        <v>743</v>
      </c>
      <c r="C166" s="172" t="s">
        <v>167</v>
      </c>
      <c r="D166" s="172" t="s">
        <v>166</v>
      </c>
      <c r="E166" s="172"/>
      <c r="F166" s="171"/>
      <c r="G166" s="172"/>
      <c r="H166" s="171"/>
      <c r="I166" s="172"/>
      <c r="J166" s="608" t="s">
        <v>2712</v>
      </c>
      <c r="K166" s="608"/>
      <c r="L166" s="608"/>
      <c r="M166" s="172" t="s">
        <v>117</v>
      </c>
      <c r="N166" s="513">
        <f>SUM(N167:N182)</f>
        <v>0</v>
      </c>
      <c r="O166" s="520"/>
      <c r="P166" s="521" t="s">
        <v>103</v>
      </c>
      <c r="Q166" s="521"/>
      <c r="S166" s="172"/>
    </row>
    <row r="167" spans="1:19" ht="15" customHeight="1" thickTop="1" thickBot="1">
      <c r="A167" s="55">
        <v>10500</v>
      </c>
      <c r="B167" s="290" t="s">
        <v>728</v>
      </c>
      <c r="C167" s="194" t="s">
        <v>165</v>
      </c>
      <c r="D167" s="194" t="s">
        <v>164</v>
      </c>
      <c r="E167" s="194"/>
      <c r="F167" s="291">
        <f t="shared" ref="F167:F169" si="31">IF(H167="",G167,H167)</f>
        <v>0</v>
      </c>
      <c r="G167" s="292">
        <f>VLOOKUP("NGF",Objektkenndaten,5,0)</f>
        <v>0</v>
      </c>
      <c r="H167" s="168"/>
      <c r="I167" s="194" t="s">
        <v>92</v>
      </c>
      <c r="J167" s="72"/>
      <c r="K167" s="67"/>
      <c r="L167" s="67"/>
      <c r="M167" s="194" t="s">
        <v>158</v>
      </c>
      <c r="N167" s="515">
        <f t="shared" si="17"/>
        <v>0</v>
      </c>
      <c r="O167" s="516">
        <f>IF(Schätzfaktoren!$G$3="ja",VLOOKUP("DECKF",Objektkenndaten,5,0)*VLOOKUP("F_DECKFAUS",Schätzfaktoren,5,0)/100*VLOOKUP("K_DECKF",Schätzfaktoren,5,0),0)</f>
        <v>0</v>
      </c>
      <c r="P167" s="519"/>
      <c r="Q167" s="518" t="s">
        <v>103</v>
      </c>
      <c r="S167" s="598"/>
    </row>
    <row r="168" spans="1:19" ht="15" customHeight="1" thickBot="1">
      <c r="A168" s="55"/>
      <c r="B168" s="290"/>
      <c r="C168" s="80" t="s">
        <v>1802</v>
      </c>
      <c r="D168" s="75" t="s">
        <v>1809</v>
      </c>
      <c r="E168" s="194"/>
      <c r="F168" s="291">
        <f t="shared" si="31"/>
        <v>0</v>
      </c>
      <c r="G168" s="303">
        <f>F167</f>
        <v>0</v>
      </c>
      <c r="H168" s="315"/>
      <c r="I168" s="194" t="s">
        <v>92</v>
      </c>
      <c r="J168" s="49" t="str">
        <f>IF(L168="Bitte auswählen",K168,L168)</f>
        <v>keine Angabe</v>
      </c>
      <c r="K168" s="292" t="s">
        <v>1870</v>
      </c>
      <c r="L168" s="305" t="s">
        <v>2071</v>
      </c>
      <c r="M168" s="194"/>
      <c r="N168" s="532"/>
      <c r="O168" s="518"/>
      <c r="P168" s="518"/>
      <c r="Q168" s="518"/>
      <c r="S168" s="598"/>
    </row>
    <row r="169" spans="1:19" ht="15" customHeight="1" thickBot="1">
      <c r="A169" s="55"/>
      <c r="B169" s="290"/>
      <c r="C169" s="80" t="s">
        <v>1803</v>
      </c>
      <c r="D169" s="75" t="s">
        <v>1810</v>
      </c>
      <c r="E169" s="194"/>
      <c r="F169" s="291">
        <f t="shared" si="31"/>
        <v>0</v>
      </c>
      <c r="G169" s="303">
        <f>F167-F168</f>
        <v>0</v>
      </c>
      <c r="H169" s="315"/>
      <c r="I169" s="194" t="s">
        <v>92</v>
      </c>
      <c r="J169" s="49" t="str">
        <f>IF(L169="Bitte auswählen",K169,L169)</f>
        <v>keine Angabe</v>
      </c>
      <c r="K169" s="292" t="s">
        <v>1870</v>
      </c>
      <c r="L169" s="168" t="s">
        <v>2071</v>
      </c>
      <c r="M169" s="194"/>
      <c r="N169" s="532"/>
      <c r="O169" s="518"/>
      <c r="P169" s="518"/>
      <c r="Q169" s="518"/>
      <c r="S169" s="598"/>
    </row>
    <row r="170" spans="1:19" ht="15" customHeight="1" thickBot="1">
      <c r="A170" s="55"/>
      <c r="B170" s="290"/>
      <c r="C170" s="80" t="s">
        <v>1804</v>
      </c>
      <c r="D170" s="75" t="s">
        <v>1811</v>
      </c>
      <c r="E170" s="194"/>
      <c r="F170" s="291">
        <f>F167-F168-F169</f>
        <v>0</v>
      </c>
      <c r="G170" s="82"/>
      <c r="H170" s="67"/>
      <c r="I170" s="194"/>
      <c r="J170" s="49" t="str">
        <f>IF(L170="Bitte auswählen",K170,L170)</f>
        <v>keine Angabe</v>
      </c>
      <c r="K170" s="292" t="s">
        <v>1870</v>
      </c>
      <c r="L170" s="168" t="s">
        <v>2071</v>
      </c>
      <c r="M170" s="194"/>
      <c r="N170" s="532"/>
      <c r="O170" s="518"/>
      <c r="P170" s="518"/>
      <c r="Q170" s="518"/>
      <c r="S170" s="598"/>
    </row>
    <row r="171" spans="1:19" ht="15" customHeight="1" thickBot="1">
      <c r="A171" s="55">
        <v>10600</v>
      </c>
      <c r="B171" s="290" t="s">
        <v>728</v>
      </c>
      <c r="C171" s="194" t="s">
        <v>163</v>
      </c>
      <c r="D171" s="194" t="s">
        <v>162</v>
      </c>
      <c r="E171" s="194"/>
      <c r="F171" s="67"/>
      <c r="G171" s="67"/>
      <c r="H171" s="67"/>
      <c r="I171" s="67"/>
      <c r="J171" s="72"/>
      <c r="K171" s="67"/>
      <c r="L171" s="67"/>
      <c r="M171" s="194" t="s">
        <v>161</v>
      </c>
      <c r="N171" s="515">
        <f t="shared" si="17"/>
        <v>0</v>
      </c>
      <c r="O171" s="516">
        <f>IF(Schätzfaktoren!$G$3="ja",VLOOKUP("INWF",Objektkenndaten,5,0)*VLOOKUP("F_INWFAUS",Schätzfaktoren,5,0)/100*VLOOKUP("K_INWF",Schätzfaktoren,5,0),0)</f>
        <v>0</v>
      </c>
      <c r="P171" s="519"/>
      <c r="Q171" s="518" t="s">
        <v>103</v>
      </c>
      <c r="S171" s="598"/>
    </row>
    <row r="172" spans="1:19" ht="15" customHeight="1" thickBot="1">
      <c r="A172" s="55"/>
      <c r="B172" s="290"/>
      <c r="C172" s="80" t="s">
        <v>1807</v>
      </c>
      <c r="D172" s="75" t="s">
        <v>1805</v>
      </c>
      <c r="E172" s="194"/>
      <c r="F172" s="291">
        <f t="shared" ref="F172:F173" si="32">IF(H172="",G172,H172)</f>
        <v>0</v>
      </c>
      <c r="G172" s="292"/>
      <c r="H172" s="305"/>
      <c r="I172" s="194" t="s">
        <v>92</v>
      </c>
      <c r="J172" s="49" t="str">
        <f>IF(L172="Bitte auswählen",K172,L172)</f>
        <v>keine Angabe</v>
      </c>
      <c r="K172" s="292" t="s">
        <v>1870</v>
      </c>
      <c r="L172" s="168" t="s">
        <v>2071</v>
      </c>
      <c r="M172" s="194"/>
      <c r="N172" s="524"/>
      <c r="O172" s="523"/>
      <c r="P172" s="536"/>
      <c r="Q172" s="518"/>
      <c r="S172" s="598"/>
    </row>
    <row r="173" spans="1:19" ht="15" customHeight="1" thickBot="1">
      <c r="A173" s="55"/>
      <c r="B173" s="290"/>
      <c r="C173" s="80" t="s">
        <v>1808</v>
      </c>
      <c r="D173" s="75" t="s">
        <v>1806</v>
      </c>
      <c r="E173" s="194"/>
      <c r="F173" s="291">
        <f t="shared" si="32"/>
        <v>0</v>
      </c>
      <c r="G173" s="292"/>
      <c r="H173" s="168"/>
      <c r="I173" s="194" t="s">
        <v>92</v>
      </c>
      <c r="J173" s="49" t="str">
        <f>IF(L173="Bitte auswählen",K173,L173)</f>
        <v>keine Angabe</v>
      </c>
      <c r="K173" s="292" t="s">
        <v>1870</v>
      </c>
      <c r="L173" s="168" t="s">
        <v>2071</v>
      </c>
      <c r="M173" s="194"/>
      <c r="N173" s="524"/>
      <c r="O173" s="523"/>
      <c r="P173" s="536"/>
      <c r="Q173" s="518"/>
      <c r="S173" s="598"/>
    </row>
    <row r="174" spans="1:19" ht="15" customHeight="1" thickBot="1">
      <c r="A174" s="55">
        <v>10700</v>
      </c>
      <c r="B174" s="290" t="s">
        <v>728</v>
      </c>
      <c r="C174" s="194" t="s">
        <v>160</v>
      </c>
      <c r="D174" s="194" t="s">
        <v>159</v>
      </c>
      <c r="E174" s="194"/>
      <c r="F174" s="67"/>
      <c r="G174" s="67"/>
      <c r="H174" s="67"/>
      <c r="I174" s="194"/>
      <c r="J174" s="72"/>
      <c r="K174" s="67"/>
      <c r="L174" s="67"/>
      <c r="M174" s="194" t="s">
        <v>158</v>
      </c>
      <c r="N174" s="515">
        <f t="shared" si="17"/>
        <v>0</v>
      </c>
      <c r="O174" s="516">
        <f>IF(Schätzfaktoren!$G$3="ja",VLOOKUP("DECKF",Objektkenndaten,5,0)*VLOOKUP("F_DECKFAUS",Schätzfaktoren,5,0)/100*VLOOKUP("K_DECKF",Schätzfaktoren,5,0),0)</f>
        <v>0</v>
      </c>
      <c r="P174" s="519"/>
      <c r="Q174" s="518" t="s">
        <v>103</v>
      </c>
      <c r="S174" s="598"/>
    </row>
    <row r="175" spans="1:19" ht="15" customHeight="1" thickBot="1">
      <c r="A175" s="55"/>
      <c r="B175" s="290"/>
      <c r="C175" s="80" t="s">
        <v>1878</v>
      </c>
      <c r="D175" s="75" t="s">
        <v>1615</v>
      </c>
      <c r="E175" s="194"/>
      <c r="F175" s="291">
        <f t="shared" ref="F175:F177" si="33">IF(H175="",G175,H175)</f>
        <v>0</v>
      </c>
      <c r="G175" s="292"/>
      <c r="H175" s="305"/>
      <c r="I175" s="194" t="s">
        <v>92</v>
      </c>
      <c r="J175" s="49" t="str">
        <f>IF(L175="Bitte auswählen",K175,L175)</f>
        <v>keine Angabe</v>
      </c>
      <c r="K175" s="292" t="s">
        <v>1870</v>
      </c>
      <c r="L175" s="305" t="s">
        <v>2071</v>
      </c>
      <c r="M175" s="194"/>
      <c r="N175" s="524"/>
      <c r="O175" s="523"/>
      <c r="P175" s="536"/>
      <c r="Q175" s="533"/>
      <c r="S175" s="598"/>
    </row>
    <row r="176" spans="1:19" ht="15" customHeight="1" thickBot="1">
      <c r="A176" s="55"/>
      <c r="B176" s="290"/>
      <c r="C176" s="80" t="s">
        <v>1879</v>
      </c>
      <c r="D176" s="75" t="s">
        <v>1616</v>
      </c>
      <c r="E176" s="194"/>
      <c r="F176" s="291">
        <f t="shared" si="33"/>
        <v>0</v>
      </c>
      <c r="G176" s="292"/>
      <c r="H176" s="305"/>
      <c r="I176" s="194" t="s">
        <v>92</v>
      </c>
      <c r="J176" s="49" t="str">
        <f>IF(L176="Bitte auswählen",K176,L176)</f>
        <v>keine Angabe</v>
      </c>
      <c r="K176" s="292" t="s">
        <v>1870</v>
      </c>
      <c r="L176" s="305" t="s">
        <v>2071</v>
      </c>
      <c r="M176" s="194"/>
      <c r="N176" s="524"/>
      <c r="O176" s="523"/>
      <c r="P176" s="536"/>
      <c r="Q176" s="533"/>
      <c r="S176" s="598"/>
    </row>
    <row r="177" spans="1:19" ht="15" customHeight="1" thickBot="1">
      <c r="A177" s="55"/>
      <c r="B177" s="290"/>
      <c r="C177" s="80" t="s">
        <v>1880</v>
      </c>
      <c r="D177" s="75" t="s">
        <v>1617</v>
      </c>
      <c r="E177" s="194"/>
      <c r="F177" s="291">
        <f t="shared" si="33"/>
        <v>0</v>
      </c>
      <c r="G177" s="292"/>
      <c r="H177" s="305"/>
      <c r="I177" s="194" t="s">
        <v>92</v>
      </c>
      <c r="J177" s="49" t="str">
        <f>IF(L177="Bitte auswählen",K177,L177)</f>
        <v>keine Angabe</v>
      </c>
      <c r="K177" s="292" t="s">
        <v>1870</v>
      </c>
      <c r="L177" s="305" t="s">
        <v>2071</v>
      </c>
      <c r="M177" s="194"/>
      <c r="N177" s="524"/>
      <c r="O177" s="523"/>
      <c r="P177" s="536"/>
      <c r="Q177" s="533"/>
      <c r="S177" s="598"/>
    </row>
    <row r="178" spans="1:19" ht="15" customHeight="1" thickBot="1">
      <c r="A178" s="55">
        <v>10800</v>
      </c>
      <c r="B178" s="290" t="s">
        <v>728</v>
      </c>
      <c r="C178" s="194" t="s">
        <v>157</v>
      </c>
      <c r="D178" s="194" t="s">
        <v>156</v>
      </c>
      <c r="E178" s="194"/>
      <c r="F178" s="194"/>
      <c r="G178" s="194"/>
      <c r="H178" s="194"/>
      <c r="I178" s="194"/>
      <c r="J178" s="194"/>
      <c r="K178" s="67"/>
      <c r="L178" s="67"/>
      <c r="M178" s="194"/>
      <c r="N178" s="515">
        <f t="shared" si="17"/>
        <v>0</v>
      </c>
      <c r="O178" s="516"/>
      <c r="P178" s="531"/>
      <c r="Q178" s="518" t="s">
        <v>103</v>
      </c>
      <c r="S178" s="598"/>
    </row>
    <row r="179" spans="1:19" ht="15" customHeight="1" thickBot="1">
      <c r="A179" s="55"/>
      <c r="B179" s="290"/>
      <c r="C179" s="589" t="s">
        <v>2719</v>
      </c>
      <c r="D179" s="75" t="s">
        <v>2721</v>
      </c>
      <c r="E179" s="194"/>
      <c r="F179" s="291">
        <f t="shared" ref="F179:F180" si="34">IF(H179="",G179,H179)</f>
        <v>0</v>
      </c>
      <c r="G179" s="292"/>
      <c r="H179" s="305"/>
      <c r="I179" s="194" t="s">
        <v>92</v>
      </c>
      <c r="J179" s="49" t="str">
        <f t="shared" ref="J179:J180" si="35">IF(L179="Bitte auswählen",K179,L179)</f>
        <v>keine Angabe</v>
      </c>
      <c r="K179" s="292" t="s">
        <v>1870</v>
      </c>
      <c r="L179" s="305" t="s">
        <v>2071</v>
      </c>
      <c r="M179" s="194"/>
      <c r="N179" s="524"/>
      <c r="O179" s="523"/>
      <c r="P179" s="536"/>
      <c r="Q179" s="533"/>
      <c r="S179" s="598"/>
    </row>
    <row r="180" spans="1:19" ht="15" customHeight="1" thickBot="1">
      <c r="A180" s="55"/>
      <c r="B180" s="290"/>
      <c r="C180" s="589" t="s">
        <v>2720</v>
      </c>
      <c r="D180" s="75" t="s">
        <v>2722</v>
      </c>
      <c r="E180" s="194"/>
      <c r="F180" s="291">
        <f t="shared" si="34"/>
        <v>0</v>
      </c>
      <c r="G180" s="292"/>
      <c r="H180" s="305"/>
      <c r="I180" s="194" t="s">
        <v>92</v>
      </c>
      <c r="J180" s="49" t="str">
        <f t="shared" si="35"/>
        <v>keine Angabe</v>
      </c>
      <c r="K180" s="292" t="s">
        <v>1870</v>
      </c>
      <c r="L180" s="305" t="s">
        <v>2071</v>
      </c>
      <c r="M180" s="194"/>
      <c r="N180" s="524"/>
      <c r="O180" s="523"/>
      <c r="P180" s="536"/>
      <c r="Q180" s="533"/>
      <c r="S180" s="598"/>
    </row>
    <row r="181" spans="1:19" ht="15" customHeight="1" thickBot="1">
      <c r="A181" s="55">
        <v>10900</v>
      </c>
      <c r="B181" s="290" t="s">
        <v>728</v>
      </c>
      <c r="C181" s="194" t="s">
        <v>155</v>
      </c>
      <c r="D181" s="194" t="s">
        <v>154</v>
      </c>
      <c r="E181" s="194"/>
      <c r="F181" s="291">
        <f t="shared" ref="F181" si="36">IF(H181="",G181,H181)</f>
        <v>0</v>
      </c>
      <c r="G181" s="292"/>
      <c r="H181" s="305"/>
      <c r="I181" s="194" t="s">
        <v>92</v>
      </c>
      <c r="J181" s="49" t="str">
        <f>IF(L181="Bitte auswählen",K181,L181)</f>
        <v>keine Angabe</v>
      </c>
      <c r="K181" s="292" t="s">
        <v>1870</v>
      </c>
      <c r="L181" s="168" t="s">
        <v>2071</v>
      </c>
      <c r="M181" s="194"/>
      <c r="N181" s="515">
        <f t="shared" si="17"/>
        <v>0</v>
      </c>
      <c r="O181" s="516"/>
      <c r="P181" s="531"/>
      <c r="Q181" s="518" t="s">
        <v>103</v>
      </c>
      <c r="S181" s="598"/>
    </row>
    <row r="182" spans="1:19" ht="15" customHeight="1" thickBot="1">
      <c r="A182" s="55">
        <v>11000</v>
      </c>
      <c r="B182" s="290" t="s">
        <v>728</v>
      </c>
      <c r="C182" s="194" t="s">
        <v>153</v>
      </c>
      <c r="D182" s="194" t="s">
        <v>152</v>
      </c>
      <c r="E182" s="194" t="s">
        <v>1172</v>
      </c>
      <c r="F182" s="67"/>
      <c r="G182" s="67"/>
      <c r="H182" s="67"/>
      <c r="I182" s="194"/>
      <c r="J182" s="72"/>
      <c r="K182" s="67"/>
      <c r="L182" s="67"/>
      <c r="M182" s="194"/>
      <c r="N182" s="515">
        <f t="shared" si="17"/>
        <v>0</v>
      </c>
      <c r="O182" s="516"/>
      <c r="P182" s="531"/>
      <c r="Q182" s="518" t="s">
        <v>103</v>
      </c>
      <c r="S182" s="598"/>
    </row>
    <row r="183" spans="1:19" ht="15" customHeight="1" thickBot="1">
      <c r="A183" s="293">
        <v>11200</v>
      </c>
      <c r="B183" s="294" t="s">
        <v>724</v>
      </c>
      <c r="C183" s="172" t="s">
        <v>151</v>
      </c>
      <c r="D183" s="172" t="s">
        <v>150</v>
      </c>
      <c r="E183" s="172"/>
      <c r="F183" s="171"/>
      <c r="G183" s="172"/>
      <c r="H183" s="171"/>
      <c r="I183" s="172"/>
      <c r="J183" s="171"/>
      <c r="K183" s="171"/>
      <c r="L183" s="171"/>
      <c r="M183" s="172" t="s">
        <v>117</v>
      </c>
      <c r="N183" s="513">
        <f>SUM(N184:N187)</f>
        <v>0</v>
      </c>
      <c r="O183" s="520"/>
      <c r="P183" s="521" t="s">
        <v>103</v>
      </c>
      <c r="Q183" s="521"/>
      <c r="S183" s="172"/>
    </row>
    <row r="184" spans="1:19" ht="15" customHeight="1" thickBot="1">
      <c r="A184" s="55">
        <v>11300</v>
      </c>
      <c r="B184" s="290" t="s">
        <v>728</v>
      </c>
      <c r="C184" s="194" t="s">
        <v>149</v>
      </c>
      <c r="D184" s="194" t="s">
        <v>0</v>
      </c>
      <c r="E184" s="194"/>
      <c r="F184" s="67"/>
      <c r="G184" s="67"/>
      <c r="H184" s="67"/>
      <c r="I184" s="194"/>
      <c r="J184" s="72"/>
      <c r="K184" s="67"/>
      <c r="L184" s="67"/>
      <c r="M184" s="194"/>
      <c r="N184" s="515">
        <f t="shared" si="17"/>
        <v>0</v>
      </c>
      <c r="O184" s="516"/>
      <c r="P184" s="531"/>
      <c r="Q184" s="518" t="s">
        <v>103</v>
      </c>
      <c r="S184" s="598"/>
    </row>
    <row r="185" spans="1:19" ht="15" customHeight="1" thickBot="1">
      <c r="A185" s="55">
        <v>11400</v>
      </c>
      <c r="B185" s="290" t="s">
        <v>728</v>
      </c>
      <c r="C185" s="194" t="s">
        <v>148</v>
      </c>
      <c r="D185" s="194" t="s">
        <v>147</v>
      </c>
      <c r="E185" s="194"/>
      <c r="F185" s="67"/>
      <c r="G185" s="67"/>
      <c r="H185" s="67"/>
      <c r="I185" s="194"/>
      <c r="J185" s="72"/>
      <c r="K185" s="67"/>
      <c r="L185" s="67"/>
      <c r="M185" s="194"/>
      <c r="N185" s="515">
        <f t="shared" si="17"/>
        <v>0</v>
      </c>
      <c r="O185" s="516"/>
      <c r="P185" s="531"/>
      <c r="Q185" s="518" t="s">
        <v>103</v>
      </c>
      <c r="S185" s="598"/>
    </row>
    <row r="186" spans="1:19" ht="15" customHeight="1" thickBot="1">
      <c r="A186" s="55">
        <v>11500</v>
      </c>
      <c r="B186" s="290" t="s">
        <v>728</v>
      </c>
      <c r="C186" s="194" t="s">
        <v>146</v>
      </c>
      <c r="D186" s="194" t="s">
        <v>145</v>
      </c>
      <c r="E186" s="194"/>
      <c r="F186" s="67"/>
      <c r="G186" s="67"/>
      <c r="H186" s="67"/>
      <c r="I186" s="194"/>
      <c r="J186" s="72"/>
      <c r="K186" s="67"/>
      <c r="L186" s="67"/>
      <c r="M186" s="194"/>
      <c r="N186" s="515">
        <f t="shared" si="17"/>
        <v>0</v>
      </c>
      <c r="O186" s="516"/>
      <c r="P186" s="531"/>
      <c r="Q186" s="518" t="s">
        <v>103</v>
      </c>
      <c r="S186" s="598"/>
    </row>
    <row r="187" spans="1:19" ht="15" customHeight="1" thickBot="1">
      <c r="A187" s="55">
        <v>11600</v>
      </c>
      <c r="B187" s="290" t="s">
        <v>728</v>
      </c>
      <c r="C187" s="194" t="s">
        <v>144</v>
      </c>
      <c r="D187" s="194" t="s">
        <v>143</v>
      </c>
      <c r="E187" s="194" t="s">
        <v>1172</v>
      </c>
      <c r="F187" s="67"/>
      <c r="G187" s="67"/>
      <c r="H187" s="67"/>
      <c r="I187" s="194"/>
      <c r="J187" s="72"/>
      <c r="K187" s="67"/>
      <c r="L187" s="67"/>
      <c r="M187" s="194" t="s">
        <v>2248</v>
      </c>
      <c r="N187" s="515">
        <f t="shared" si="17"/>
        <v>0</v>
      </c>
      <c r="O187" s="516">
        <f>IF(Schätzfaktoren!$G$3="ja",VLOOKUP("BWK",Errichtungskosten,12,0)*VLOOKUP("F_EINR",Schätzfaktoren,5,0)/100,0)</f>
        <v>0</v>
      </c>
      <c r="P187" s="519"/>
      <c r="Q187" s="518" t="s">
        <v>103</v>
      </c>
      <c r="S187" s="598"/>
    </row>
    <row r="188" spans="1:19" ht="15" customHeight="1" thickBot="1">
      <c r="A188" s="293">
        <v>11800</v>
      </c>
      <c r="B188" s="294" t="s">
        <v>724</v>
      </c>
      <c r="C188" s="172" t="s">
        <v>142</v>
      </c>
      <c r="D188" s="172" t="s">
        <v>141</v>
      </c>
      <c r="E188" s="172"/>
      <c r="F188" s="171"/>
      <c r="G188" s="172"/>
      <c r="H188" s="171"/>
      <c r="I188" s="172"/>
      <c r="J188" s="311"/>
      <c r="K188" s="171"/>
      <c r="L188" s="171"/>
      <c r="M188" s="172" t="s">
        <v>117</v>
      </c>
      <c r="N188" s="513">
        <f>SUM(N189:N193)</f>
        <v>0</v>
      </c>
      <c r="O188" s="520"/>
      <c r="P188" s="521" t="s">
        <v>103</v>
      </c>
      <c r="Q188" s="521"/>
      <c r="S188" s="172"/>
    </row>
    <row r="189" spans="1:19" ht="15" customHeight="1" thickBot="1">
      <c r="A189" s="55">
        <v>11900</v>
      </c>
      <c r="B189" s="290" t="s">
        <v>728</v>
      </c>
      <c r="C189" s="194" t="s">
        <v>140</v>
      </c>
      <c r="D189" s="194" t="s">
        <v>0</v>
      </c>
      <c r="E189" s="194"/>
      <c r="F189" s="67"/>
      <c r="G189" s="67"/>
      <c r="H189" s="67"/>
      <c r="I189" s="194"/>
      <c r="J189" s="72"/>
      <c r="K189" s="67"/>
      <c r="L189" s="67"/>
      <c r="M189" s="194"/>
      <c r="N189" s="515">
        <f t="shared" si="17"/>
        <v>0</v>
      </c>
      <c r="O189" s="516"/>
      <c r="P189" s="531"/>
      <c r="Q189" s="518" t="s">
        <v>103</v>
      </c>
      <c r="S189" s="598"/>
    </row>
    <row r="190" spans="1:19" ht="15" customHeight="1" thickBot="1">
      <c r="A190" s="55">
        <v>12000</v>
      </c>
      <c r="B190" s="290" t="s">
        <v>728</v>
      </c>
      <c r="C190" s="194" t="s">
        <v>139</v>
      </c>
      <c r="D190" s="194" t="s">
        <v>138</v>
      </c>
      <c r="E190" s="194"/>
      <c r="F190" s="67"/>
      <c r="G190" s="67"/>
      <c r="H190" s="67"/>
      <c r="I190" s="194"/>
      <c r="J190" s="72"/>
      <c r="K190" s="67"/>
      <c r="L190" s="67"/>
      <c r="M190" s="194"/>
      <c r="N190" s="515">
        <f t="shared" si="17"/>
        <v>0</v>
      </c>
      <c r="O190" s="516"/>
      <c r="P190" s="531"/>
      <c r="Q190" s="518" t="s">
        <v>103</v>
      </c>
      <c r="S190" s="598"/>
    </row>
    <row r="191" spans="1:19" ht="15" customHeight="1" thickBot="1">
      <c r="A191" s="55">
        <v>12100</v>
      </c>
      <c r="B191" s="290" t="s">
        <v>728</v>
      </c>
      <c r="C191" s="194" t="s">
        <v>137</v>
      </c>
      <c r="D191" s="194" t="s">
        <v>136</v>
      </c>
      <c r="E191" s="194"/>
      <c r="F191" s="67"/>
      <c r="G191" s="67"/>
      <c r="H191" s="67"/>
      <c r="I191" s="194"/>
      <c r="J191" s="72"/>
      <c r="K191" s="67"/>
      <c r="L191" s="67"/>
      <c r="M191" s="194"/>
      <c r="N191" s="515">
        <f t="shared" si="17"/>
        <v>0</v>
      </c>
      <c r="O191" s="516"/>
      <c r="P191" s="531"/>
      <c r="Q191" s="518" t="s">
        <v>103</v>
      </c>
      <c r="S191" s="598"/>
    </row>
    <row r="192" spans="1:19" ht="15" customHeight="1" thickBot="1">
      <c r="A192" s="55">
        <v>12200</v>
      </c>
      <c r="B192" s="290" t="s">
        <v>728</v>
      </c>
      <c r="C192" s="194" t="s">
        <v>135</v>
      </c>
      <c r="D192" s="194" t="s">
        <v>134</v>
      </c>
      <c r="E192" s="194"/>
      <c r="F192" s="67"/>
      <c r="G192" s="67"/>
      <c r="H192" s="67"/>
      <c r="I192" s="194"/>
      <c r="J192" s="72"/>
      <c r="K192" s="67"/>
      <c r="L192" s="67"/>
      <c r="M192" s="194"/>
      <c r="N192" s="515">
        <f t="shared" si="17"/>
        <v>0</v>
      </c>
      <c r="O192" s="516"/>
      <c r="P192" s="531"/>
      <c r="Q192" s="518" t="s">
        <v>103</v>
      </c>
      <c r="S192" s="598"/>
    </row>
    <row r="193" spans="1:19" ht="15" customHeight="1" thickBot="1">
      <c r="A193" s="55">
        <v>12300</v>
      </c>
      <c r="B193" s="290" t="s">
        <v>728</v>
      </c>
      <c r="C193" s="194" t="s">
        <v>133</v>
      </c>
      <c r="D193" s="194" t="s">
        <v>132</v>
      </c>
      <c r="E193" s="194" t="s">
        <v>1172</v>
      </c>
      <c r="F193" s="67"/>
      <c r="G193" s="67"/>
      <c r="H193" s="67"/>
      <c r="I193" s="194"/>
      <c r="J193" s="72"/>
      <c r="K193" s="67"/>
      <c r="L193" s="67"/>
      <c r="M193" s="194" t="s">
        <v>2249</v>
      </c>
      <c r="N193" s="515">
        <f t="shared" si="17"/>
        <v>0</v>
      </c>
      <c r="O193" s="516">
        <f>IF(Schätzfaktoren!$G$3="ja",VLOOKUP("BWK",Errichtungskosten,12,0)*VLOOKUP("F_AUSSENAN",Schätzfaktoren,5,0)/100,0)</f>
        <v>0</v>
      </c>
      <c r="P193" s="519"/>
      <c r="Q193" s="518" t="s">
        <v>103</v>
      </c>
      <c r="S193" s="598"/>
    </row>
    <row r="194" spans="1:19" ht="15" customHeight="1" thickBot="1">
      <c r="A194" s="293">
        <v>12500</v>
      </c>
      <c r="B194" s="294" t="s">
        <v>724</v>
      </c>
      <c r="C194" s="172" t="s">
        <v>131</v>
      </c>
      <c r="D194" s="172" t="s">
        <v>130</v>
      </c>
      <c r="E194" s="172"/>
      <c r="F194" s="171"/>
      <c r="G194" s="172"/>
      <c r="H194" s="171"/>
      <c r="I194" s="172"/>
      <c r="J194" s="311"/>
      <c r="K194" s="171"/>
      <c r="L194" s="171"/>
      <c r="M194" s="172" t="s">
        <v>117</v>
      </c>
      <c r="N194" s="513">
        <f>SUM(N195:N196)</f>
        <v>0</v>
      </c>
      <c r="O194" s="520"/>
      <c r="P194" s="521" t="s">
        <v>103</v>
      </c>
      <c r="Q194" s="521"/>
      <c r="S194" s="172"/>
    </row>
    <row r="195" spans="1:19" ht="15" customHeight="1" thickBot="1">
      <c r="A195" s="55">
        <v>12600</v>
      </c>
      <c r="B195" s="290" t="s">
        <v>728</v>
      </c>
      <c r="C195" s="194" t="s">
        <v>129</v>
      </c>
      <c r="D195" s="194" t="s">
        <v>128</v>
      </c>
      <c r="E195" s="194"/>
      <c r="F195" s="67"/>
      <c r="G195" s="67"/>
      <c r="H195" s="67"/>
      <c r="I195" s="194"/>
      <c r="J195" s="72"/>
      <c r="K195" s="67"/>
      <c r="L195" s="67"/>
      <c r="M195" s="194"/>
      <c r="N195" s="515">
        <f t="shared" si="17"/>
        <v>0</v>
      </c>
      <c r="O195" s="516"/>
      <c r="P195" s="531"/>
      <c r="Q195" s="518" t="s">
        <v>103</v>
      </c>
      <c r="S195" s="598"/>
    </row>
    <row r="196" spans="1:19" ht="15" customHeight="1" thickBot="1">
      <c r="A196" s="55">
        <v>12700</v>
      </c>
      <c r="B196" s="290" t="s">
        <v>728</v>
      </c>
      <c r="C196" s="194" t="s">
        <v>127</v>
      </c>
      <c r="D196" s="194" t="s">
        <v>126</v>
      </c>
      <c r="E196" s="194" t="s">
        <v>1172</v>
      </c>
      <c r="F196" s="67"/>
      <c r="G196" s="67"/>
      <c r="H196" s="67"/>
      <c r="I196" s="194"/>
      <c r="J196" s="72"/>
      <c r="K196" s="67"/>
      <c r="L196" s="67"/>
      <c r="M196" s="194" t="s">
        <v>2250</v>
      </c>
      <c r="N196" s="515">
        <f t="shared" ref="N196:N203" si="37">IF(P196="",O196,P196)</f>
        <v>0</v>
      </c>
      <c r="O196" s="516">
        <f>IF(Schätzfaktoren!$G$3="ja",VLOOKUP("BWK",Errichtungskosten,12,0)*VLOOKUP("F_PLAN",Schätzfaktoren,5,0)/100,0)</f>
        <v>0</v>
      </c>
      <c r="P196" s="519"/>
      <c r="Q196" s="518" t="s">
        <v>103</v>
      </c>
      <c r="S196" s="598"/>
    </row>
    <row r="197" spans="1:19" ht="15" customHeight="1" thickBot="1">
      <c r="A197" s="293">
        <v>12900</v>
      </c>
      <c r="B197" s="294" t="s">
        <v>724</v>
      </c>
      <c r="C197" s="172" t="s">
        <v>125</v>
      </c>
      <c r="D197" s="172" t="s">
        <v>124</v>
      </c>
      <c r="E197" s="172"/>
      <c r="F197" s="171"/>
      <c r="G197" s="172"/>
      <c r="H197" s="171"/>
      <c r="I197" s="172"/>
      <c r="J197" s="311"/>
      <c r="K197" s="171"/>
      <c r="L197" s="171"/>
      <c r="M197" s="172" t="s">
        <v>117</v>
      </c>
      <c r="N197" s="513">
        <f>SUM(N198:N199)</f>
        <v>0</v>
      </c>
      <c r="O197" s="520"/>
      <c r="P197" s="521" t="s">
        <v>103</v>
      </c>
      <c r="Q197" s="521"/>
      <c r="S197" s="172"/>
    </row>
    <row r="198" spans="1:19" ht="15" customHeight="1" thickBot="1">
      <c r="A198" s="55">
        <v>13000</v>
      </c>
      <c r="B198" s="290" t="s">
        <v>728</v>
      </c>
      <c r="C198" s="194" t="s">
        <v>123</v>
      </c>
      <c r="D198" s="194" t="s">
        <v>122</v>
      </c>
      <c r="E198" s="194"/>
      <c r="F198" s="67"/>
      <c r="G198" s="67"/>
      <c r="H198" s="67"/>
      <c r="I198" s="194"/>
      <c r="J198" s="72"/>
      <c r="K198" s="67"/>
      <c r="L198" s="67"/>
      <c r="M198" s="194"/>
      <c r="N198" s="515">
        <f t="shared" si="37"/>
        <v>0</v>
      </c>
      <c r="O198" s="516"/>
      <c r="P198" s="531"/>
      <c r="Q198" s="518" t="s">
        <v>103</v>
      </c>
      <c r="S198" s="598"/>
    </row>
    <row r="199" spans="1:19" ht="15" customHeight="1" thickBot="1">
      <c r="A199" s="55">
        <v>13100</v>
      </c>
      <c r="B199" s="290" t="s">
        <v>728</v>
      </c>
      <c r="C199" s="194" t="s">
        <v>121</v>
      </c>
      <c r="D199" s="194" t="s">
        <v>120</v>
      </c>
      <c r="E199" s="194" t="s">
        <v>1172</v>
      </c>
      <c r="F199" s="67"/>
      <c r="G199" s="67"/>
      <c r="H199" s="67"/>
      <c r="I199" s="194"/>
      <c r="J199" s="72"/>
      <c r="K199" s="67"/>
      <c r="L199" s="67"/>
      <c r="M199" s="194" t="s">
        <v>2251</v>
      </c>
      <c r="N199" s="515">
        <f t="shared" si="37"/>
        <v>0</v>
      </c>
      <c r="O199" s="516">
        <f>IF(Schätzfaktoren!$G$3="ja",VLOOKUP("BWK",Errichtungskosten,12,0)*VLOOKUP("F_NEBEN",Schätzfaktoren,5,0)/100,0)</f>
        <v>0</v>
      </c>
      <c r="P199" s="519"/>
      <c r="Q199" s="518" t="s">
        <v>103</v>
      </c>
      <c r="S199" s="598"/>
    </row>
    <row r="200" spans="1:19" ht="15" customHeight="1" thickBot="1">
      <c r="A200" s="293">
        <v>13300</v>
      </c>
      <c r="B200" s="294" t="s">
        <v>724</v>
      </c>
      <c r="C200" s="172" t="s">
        <v>119</v>
      </c>
      <c r="D200" s="172" t="s">
        <v>118</v>
      </c>
      <c r="E200" s="172"/>
      <c r="F200" s="171"/>
      <c r="G200" s="172"/>
      <c r="H200" s="171"/>
      <c r="I200" s="172"/>
      <c r="J200" s="311"/>
      <c r="K200" s="171"/>
      <c r="L200" s="171"/>
      <c r="M200" s="172" t="s">
        <v>117</v>
      </c>
      <c r="N200" s="513">
        <f>SUM(N201:N203)</f>
        <v>0</v>
      </c>
      <c r="O200" s="520"/>
      <c r="P200" s="521" t="s">
        <v>103</v>
      </c>
      <c r="Q200" s="521"/>
      <c r="S200" s="172"/>
    </row>
    <row r="201" spans="1:19" ht="15" customHeight="1" thickBot="1">
      <c r="A201" s="55">
        <v>13400</v>
      </c>
      <c r="B201" s="290" t="s">
        <v>728</v>
      </c>
      <c r="C201" s="194" t="s">
        <v>116</v>
      </c>
      <c r="D201" s="194" t="s">
        <v>0</v>
      </c>
      <c r="E201" s="194"/>
      <c r="F201" s="67"/>
      <c r="G201" s="67"/>
      <c r="H201" s="67"/>
      <c r="I201" s="194"/>
      <c r="J201" s="72"/>
      <c r="K201" s="67"/>
      <c r="L201" s="67"/>
      <c r="M201" s="194"/>
      <c r="N201" s="515">
        <f t="shared" si="37"/>
        <v>0</v>
      </c>
      <c r="O201" s="516"/>
      <c r="P201" s="531"/>
      <c r="Q201" s="518" t="s">
        <v>103</v>
      </c>
      <c r="S201" s="598"/>
    </row>
    <row r="202" spans="1:19" ht="15" customHeight="1" thickBot="1">
      <c r="A202" s="55">
        <v>13500</v>
      </c>
      <c r="B202" s="290" t="s">
        <v>728</v>
      </c>
      <c r="C202" s="194" t="s">
        <v>115</v>
      </c>
      <c r="D202" s="194" t="s">
        <v>114</v>
      </c>
      <c r="E202" s="194"/>
      <c r="F202" s="67"/>
      <c r="G202" s="67"/>
      <c r="H202" s="67"/>
      <c r="I202" s="194"/>
      <c r="J202" s="72"/>
      <c r="K202" s="67"/>
      <c r="L202" s="67"/>
      <c r="M202" s="194"/>
      <c r="N202" s="515">
        <f t="shared" si="37"/>
        <v>0</v>
      </c>
      <c r="O202" s="516"/>
      <c r="P202" s="531"/>
      <c r="Q202" s="518" t="s">
        <v>103</v>
      </c>
      <c r="S202" s="598"/>
    </row>
    <row r="203" spans="1:19" ht="15" customHeight="1" thickBot="1">
      <c r="A203" s="55">
        <v>13600</v>
      </c>
      <c r="B203" s="290" t="s">
        <v>728</v>
      </c>
      <c r="C203" s="194" t="s">
        <v>113</v>
      </c>
      <c r="D203" s="194" t="s">
        <v>112</v>
      </c>
      <c r="E203" s="194" t="s">
        <v>1172</v>
      </c>
      <c r="F203" s="67"/>
      <c r="G203" s="67"/>
      <c r="H203" s="67"/>
      <c r="I203" s="194"/>
      <c r="J203" s="72"/>
      <c r="K203" s="67"/>
      <c r="L203" s="67"/>
      <c r="M203" s="194" t="s">
        <v>2252</v>
      </c>
      <c r="N203" s="515">
        <f t="shared" si="37"/>
        <v>0</v>
      </c>
      <c r="O203" s="516">
        <f>IF(Schätzfaktoren!$G$3="ja",VLOOKUP("BWK",Errichtungskosten,12,0)*VLOOKUP("F_RESERVE",Schätzfaktoren,5,0)/100,0)</f>
        <v>0</v>
      </c>
      <c r="P203" s="519"/>
      <c r="Q203" s="518" t="s">
        <v>103</v>
      </c>
      <c r="S203" s="598"/>
    </row>
    <row r="204" spans="1:19" ht="15" customHeight="1" thickBot="1">
      <c r="A204" s="293">
        <v>13700</v>
      </c>
      <c r="B204" s="294" t="s">
        <v>721</v>
      </c>
      <c r="C204" s="172"/>
      <c r="D204" s="172" t="s">
        <v>485</v>
      </c>
      <c r="E204" s="172"/>
      <c r="F204" s="295"/>
      <c r="G204" s="172"/>
      <c r="H204" s="295"/>
      <c r="I204" s="172"/>
      <c r="J204" s="171"/>
      <c r="K204" s="171"/>
      <c r="L204" s="171"/>
      <c r="M204" s="172"/>
      <c r="N204" s="537"/>
      <c r="O204" s="520"/>
      <c r="P204" s="520"/>
      <c r="Q204" s="521"/>
      <c r="S204" s="172"/>
    </row>
    <row r="205" spans="1:19" ht="15" customHeight="1" thickBot="1">
      <c r="A205" s="293">
        <v>13800</v>
      </c>
      <c r="B205" s="294" t="s">
        <v>966</v>
      </c>
      <c r="C205" s="172" t="s">
        <v>111</v>
      </c>
      <c r="D205" s="172" t="s">
        <v>110</v>
      </c>
      <c r="E205" s="172"/>
      <c r="F205" s="295"/>
      <c r="G205" s="172"/>
      <c r="H205" s="171"/>
      <c r="I205" s="172"/>
      <c r="J205" s="171"/>
      <c r="K205" s="171"/>
      <c r="L205" s="171"/>
      <c r="M205" s="172" t="s">
        <v>1038</v>
      </c>
      <c r="N205" s="513">
        <f>VLOOKUP("E2",Errichtungskosten,12,0)+VLOOKUP("E3",Errichtungskosten,12,0)+VLOOKUP("E4",Errichtungskosten,12,0)</f>
        <v>0</v>
      </c>
      <c r="O205" s="520"/>
      <c r="P205" s="521" t="s">
        <v>103</v>
      </c>
      <c r="Q205" s="521"/>
      <c r="S205" s="598"/>
    </row>
    <row r="206" spans="1:19" ht="15" customHeight="1" thickBot="1">
      <c r="A206" s="293">
        <v>13900</v>
      </c>
      <c r="B206" s="294" t="s">
        <v>966</v>
      </c>
      <c r="C206" s="172" t="s">
        <v>109</v>
      </c>
      <c r="D206" s="172" t="s">
        <v>108</v>
      </c>
      <c r="E206" s="172"/>
      <c r="F206" s="295"/>
      <c r="G206" s="172"/>
      <c r="H206" s="171"/>
      <c r="I206" s="172"/>
      <c r="J206" s="171"/>
      <c r="K206" s="171"/>
      <c r="L206" s="171"/>
      <c r="M206" s="172" t="s">
        <v>1039</v>
      </c>
      <c r="N206" s="513">
        <f>VLOOKUP("E1",Errichtungskosten,12,0)+VLOOKUP("BWK",Errichtungskosten,12,0)+VLOOKUP("E5",Errichtungskosten,12,0)+VLOOKUP("E6",Errichtungskosten,12,0)</f>
        <v>0</v>
      </c>
      <c r="O206" s="520"/>
      <c r="P206" s="521" t="s">
        <v>103</v>
      </c>
      <c r="Q206" s="521"/>
      <c r="S206" s="598"/>
    </row>
    <row r="207" spans="1:19" ht="15" customHeight="1" thickBot="1">
      <c r="A207" s="293">
        <v>14000</v>
      </c>
      <c r="B207" s="294" t="s">
        <v>966</v>
      </c>
      <c r="C207" s="172" t="s">
        <v>107</v>
      </c>
      <c r="D207" s="172" t="s">
        <v>106</v>
      </c>
      <c r="E207" s="172"/>
      <c r="F207" s="295"/>
      <c r="G207" s="172"/>
      <c r="H207" s="171"/>
      <c r="I207" s="172"/>
      <c r="J207" s="171"/>
      <c r="K207" s="171"/>
      <c r="L207" s="171"/>
      <c r="M207" s="172" t="s">
        <v>1040</v>
      </c>
      <c r="N207" s="513">
        <f>VLOOKUP("BK",Errichtungskosten,12,0)+VLOOKUP("E7",Errichtungskosten,12,0)+VLOOKUP("E8",Errichtungskosten,12,0)+VLOOKUP("E9",Errichtungskosten,12,0)</f>
        <v>0</v>
      </c>
      <c r="O207" s="520"/>
      <c r="P207" s="521" t="s">
        <v>103</v>
      </c>
      <c r="Q207" s="521"/>
      <c r="S207" s="598"/>
    </row>
    <row r="208" spans="1:19" ht="15" customHeight="1" thickBot="1">
      <c r="A208" s="293">
        <v>14100</v>
      </c>
      <c r="B208" s="294" t="s">
        <v>966</v>
      </c>
      <c r="C208" s="172" t="s">
        <v>105</v>
      </c>
      <c r="D208" s="172" t="s">
        <v>104</v>
      </c>
      <c r="E208" s="172"/>
      <c r="F208" s="295"/>
      <c r="G208" s="172"/>
      <c r="H208" s="171"/>
      <c r="I208" s="172"/>
      <c r="J208" s="171"/>
      <c r="K208" s="171"/>
      <c r="L208" s="171"/>
      <c r="M208" s="172" t="s">
        <v>1041</v>
      </c>
      <c r="N208" s="513">
        <f>VLOOKUP("E0",Errichtungskosten,12,0)+VLOOKUP("EK",Errichtungskosten,12,0)</f>
        <v>0</v>
      </c>
      <c r="O208" s="520"/>
      <c r="P208" s="521" t="s">
        <v>103</v>
      </c>
      <c r="Q208" s="521"/>
      <c r="S208" s="598"/>
    </row>
  </sheetData>
  <sheetProtection password="FDAF" sheet="1" objects="1" scenarios="1" selectLockedCells="1"/>
  <mergeCells count="10">
    <mergeCell ref="J1:L1"/>
    <mergeCell ref="F1:I1"/>
    <mergeCell ref="N3:Q3"/>
    <mergeCell ref="J21:L21"/>
    <mergeCell ref="J143:L143"/>
    <mergeCell ref="J166:L166"/>
    <mergeCell ref="J62:L62"/>
    <mergeCell ref="J37:L37"/>
    <mergeCell ref="J78:L78"/>
    <mergeCell ref="J132:L132"/>
  </mergeCells>
  <dataValidations count="39">
    <dataValidation type="list" allowBlank="1" showInputMessage="1" showErrorMessage="1" sqref="L105">
      <formula1>E3F02b</formula1>
    </dataValidation>
    <dataValidation type="list" allowBlank="1" showInputMessage="1" showErrorMessage="1" sqref="L84">
      <formula1>E3C01b</formula1>
    </dataValidation>
    <dataValidation type="list" allowBlank="1" showInputMessage="1" showErrorMessage="1" sqref="L140 L159 L155">
      <formula1>E4B02b</formula1>
    </dataValidation>
    <dataValidation type="list" allowBlank="1" showInputMessage="1" showErrorMessage="1" sqref="L104">
      <formula1>E3F02a</formula1>
    </dataValidation>
    <dataValidation type="list" allowBlank="1" showInputMessage="1" showErrorMessage="1" sqref="L83">
      <formula1>E3C01a</formula1>
    </dataValidation>
    <dataValidation type="list" allowBlank="1" showInputMessage="1" showErrorMessage="1" sqref="L134:L135">
      <formula1>E4B01</formula1>
    </dataValidation>
    <dataValidation type="list" allowBlank="1" showInputMessage="1" showErrorMessage="1" sqref="L49">
      <formula1>$A$55:$A$60</formula1>
    </dataValidation>
    <dataValidation type="list" allowBlank="1" showInputMessage="1" showErrorMessage="1" sqref="L24 L28">
      <formula1>E2C03a</formula1>
    </dataValidation>
    <dataValidation type="list" allowBlank="1" showInputMessage="1" showErrorMessage="1" sqref="L25 L29">
      <formula1>E2C03b</formula1>
    </dataValidation>
    <dataValidation type="list" allowBlank="1" showInputMessage="1" showErrorMessage="1" sqref="L26 L30">
      <formula1>E2C03c</formula1>
    </dataValidation>
    <dataValidation type="list" allowBlank="1" showInputMessage="1" showErrorMessage="1" sqref="L31">
      <formula1>E2C05</formula1>
    </dataValidation>
    <dataValidation type="list" allowBlank="1" showInputMessage="1" showErrorMessage="1" sqref="L40">
      <formula1>E2D01KDaemm</formula1>
    </dataValidation>
    <dataValidation type="list" allowBlank="1" showInputMessage="1" showErrorMessage="1" sqref="L46">
      <formula1>E2D01ADaemm</formula1>
    </dataValidation>
    <dataValidation type="list" allowBlank="1" showInputMessage="1" showErrorMessage="1" sqref="L50">
      <formula1>E2D02</formula1>
    </dataValidation>
    <dataValidation type="list" allowBlank="1" showInputMessage="1" showErrorMessage="1" sqref="L39 L43 L45">
      <formula1>E2D01Decke</formula1>
    </dataValidation>
    <dataValidation type="list" allowBlank="1" showInputMessage="1" showErrorMessage="1" sqref="L42 L44 L48">
      <formula1>E2D01Estrich</formula1>
    </dataValidation>
    <dataValidation type="list" allowBlank="1" showInputMessage="1" showErrorMessage="1" sqref="L68">
      <formula1>E2E01f</formula1>
    </dataValidation>
    <dataValidation type="list" allowBlank="1" showInputMessage="1" showErrorMessage="1" sqref="L64:L65">
      <formula1>E2E01a</formula1>
    </dataValidation>
    <dataValidation type="list" allowBlank="1" showInputMessage="1" showErrorMessage="1" sqref="L67">
      <formula1>E2E01ds</formula1>
    </dataValidation>
    <dataValidation type="list" allowBlank="1" showInputMessage="1" showErrorMessage="1" sqref="L66">
      <formula1>E2E01d</formula1>
    </dataValidation>
    <dataValidation type="list" allowBlank="1" showInputMessage="1" showErrorMessage="1" sqref="L52 L56">
      <formula1>E2D03a</formula1>
    </dataValidation>
    <dataValidation type="list" allowBlank="1" showInputMessage="1" showErrorMessage="1" sqref="L53 L57">
      <formula1>E2D03a1</formula1>
    </dataValidation>
    <dataValidation type="list" allowBlank="1" showInputMessage="1" showErrorMessage="1" sqref="L54 L58">
      <formula1>E2D03a2</formula1>
    </dataValidation>
    <dataValidation type="list" allowBlank="1" showInputMessage="1" showErrorMessage="1" sqref="L55 L59">
      <formula1>E2D03a3</formula1>
    </dataValidation>
    <dataValidation type="list" allowBlank="1" showInputMessage="1" showErrorMessage="1" sqref="L70:L72">
      <formula1>E2E02</formula1>
    </dataValidation>
    <dataValidation type="list" allowBlank="1" showInputMessage="1" showErrorMessage="1" sqref="L73">
      <formula1>E2E03</formula1>
    </dataValidation>
    <dataValidation type="list" allowBlank="1" showInputMessage="1" showErrorMessage="1" sqref="L149">
      <formula1>E4C01b2</formula1>
    </dataValidation>
    <dataValidation type="list" allowBlank="1" showInputMessage="1" showErrorMessage="1" sqref="L163">
      <formula1>E4C04a</formula1>
    </dataValidation>
    <dataValidation type="list" allowBlank="1" showInputMessage="1" showErrorMessage="1" sqref="L164">
      <formula1>E4C04b</formula1>
    </dataValidation>
    <dataValidation type="list" allowBlank="1" showInputMessage="1" showErrorMessage="1" sqref="L145">
      <formula1>E4C01a</formula1>
    </dataValidation>
    <dataValidation type="list" allowBlank="1" showInputMessage="1" showErrorMessage="1" sqref="L148">
      <formula1>E4C01b1</formula1>
    </dataValidation>
    <dataValidation type="list" allowBlank="1" showInputMessage="1" showErrorMessage="1" sqref="L168:L170">
      <formula1>E4D01</formula1>
    </dataValidation>
    <dataValidation type="list" allowBlank="1" showInputMessage="1" showErrorMessage="1" sqref="L172:L173">
      <formula1>E4D02</formula1>
    </dataValidation>
    <dataValidation type="list" allowBlank="1" showInputMessage="1" showErrorMessage="1" sqref="L175:L177">
      <formula1>E4D03</formula1>
    </dataValidation>
    <dataValidation type="list" allowBlank="1" showInputMessage="1" showErrorMessage="1" sqref="L181">
      <formula1>E4D05</formula1>
    </dataValidation>
    <dataValidation type="list" allowBlank="1" showInputMessage="1" showErrorMessage="1" sqref="L139 L154 L158">
      <formula1>E4B02a</formula1>
    </dataValidation>
    <dataValidation type="list" allowBlank="1" showInputMessage="1" showErrorMessage="1" sqref="L156">
      <formula1>E4C02b</formula1>
    </dataValidation>
    <dataValidation type="list" allowBlank="1" showInputMessage="1" showErrorMessage="1" sqref="L179">
      <formula1>E4D04a</formula1>
    </dataValidation>
    <dataValidation type="list" allowBlank="1" showInputMessage="1" showErrorMessage="1" sqref="L180">
      <formula1>E4D04b</formula1>
    </dataValidation>
  </dataValidations>
  <hyperlinks>
    <hyperlink ref="N3" location="Schätzfaktoren!D3" display="Berechnung mit Schätzfaktoren"/>
    <hyperlink ref="J21:L21" location="'Ökodaten Konstruktionen'!G16" display="zu den &quot;Ökodaten Konstrutionen&quot;"/>
    <hyperlink ref="J62:L62" location="'Ökodaten Konstruktionen'!G110" display="zu den &quot;Ökodaten Konstrutionen&quot;"/>
    <hyperlink ref="J37:L37" location="'Ökodaten Konstruktionen'!G47" display="zu den &quot;Ökodaten Konstrutionen&quot;"/>
    <hyperlink ref="J78:L78" location="'Ökodaten Konstruktionen'!N161" display="zu den &quot;Ökodaten Konstrutionen&quot;"/>
    <hyperlink ref="J132:L132" location="'Ökodaten Konstruktionen'!G179" display="zu den &quot;Ökodaten Konstrutionen&quot;"/>
    <hyperlink ref="J166:L166" location="'Ökodaten Konstruktionen'!G242" display="zu den &quot;Ökodaten Konstrutionen&quot;"/>
    <hyperlink ref="J143:L143" location="'Ökodaten Konstruktionen'!G190" display="zu den &quot;Ökodaten Konstrutionen&quot;"/>
  </hyperlinks>
  <pageMargins left="0.78740157480314965" right="0.78740157480314965" top="0.98425196850393704" bottom="0.98425196850393704" header="0.51181102362204722" footer="0.51181102362204722"/>
  <pageSetup paperSize="8" fitToHeight="0" orientation="landscape" horizontalDpi="300" verticalDpi="300" r:id="rId1"/>
  <headerFooter>
    <oddFooter>&amp;L&amp;F&amp;C&amp;A&amp;R&amp;P von &amp;N</oddFooter>
  </headerFooter>
  <legacyDrawing r:id="rId2"/>
</worksheet>
</file>

<file path=xl/worksheets/sheet6.xml><?xml version="1.0" encoding="utf-8"?>
<worksheet xmlns="http://schemas.openxmlformats.org/spreadsheetml/2006/main" xmlns:r="http://schemas.openxmlformats.org/officeDocument/2006/relationships">
  <sheetPr codeName="Tabelle1">
    <tabColor theme="9" tint="0.39997558519241921"/>
    <pageSetUpPr fitToPage="1"/>
  </sheetPr>
  <dimension ref="A1:O102"/>
  <sheetViews>
    <sheetView zoomScaleNormal="100" workbookViewId="0">
      <pane xSplit="6" ySplit="1" topLeftCell="G2" activePane="bottomRight" state="frozenSplit"/>
      <selection activeCell="P5" sqref="P5"/>
      <selection pane="topRight" activeCell="P5" sqref="P5"/>
      <selection pane="bottomLeft" activeCell="P5" sqref="P5"/>
      <selection pane="bottomRight" activeCell="L4" sqref="L4"/>
    </sheetView>
  </sheetViews>
  <sheetFormatPr baseColWidth="10" defaultRowHeight="15" customHeight="1" outlineLevelCol="1"/>
  <cols>
    <col min="1" max="1" width="4.5" style="37" hidden="1" customWidth="1" outlineLevel="1"/>
    <col min="2" max="2" width="7" style="37" hidden="1" customWidth="1" outlineLevel="1"/>
    <col min="3" max="3" width="12" style="37" hidden="1" customWidth="1" outlineLevel="1"/>
    <col min="4" max="4" width="53.6640625" style="37" customWidth="1" collapsed="1"/>
    <col min="5" max="5" width="29" style="37" hidden="1" customWidth="1" outlineLevel="1"/>
    <col min="6" max="6" width="60.33203125" style="37" hidden="1" customWidth="1" outlineLevel="1"/>
    <col min="7" max="7" width="12" style="37" collapsed="1"/>
    <col min="8" max="8" width="12" style="37" hidden="1" customWidth="1" outlineLevel="1"/>
    <col min="9" max="9" width="12.83203125" style="37" customWidth="1" collapsed="1"/>
    <col min="10" max="10" width="33.33203125" style="37" customWidth="1"/>
    <col min="11" max="11" width="34.33203125" style="37" hidden="1" customWidth="1" outlineLevel="1"/>
    <col min="12" max="12" width="33.5" style="37" customWidth="1" collapsed="1"/>
    <col min="13" max="13" width="18.6640625" style="37" customWidth="1"/>
    <col min="14" max="14" width="2.83203125" style="37" customWidth="1"/>
    <col min="15" max="15" width="35.83203125" style="37" customWidth="1"/>
    <col min="16" max="16384" width="12" style="37"/>
  </cols>
  <sheetData>
    <row r="1" spans="1:15" ht="15" customHeight="1" thickBot="1">
      <c r="A1" s="288" t="s">
        <v>1</v>
      </c>
      <c r="B1" s="288"/>
      <c r="C1" s="288" t="s">
        <v>2</v>
      </c>
      <c r="D1" s="288" t="s">
        <v>66</v>
      </c>
      <c r="E1" s="288" t="s">
        <v>89</v>
      </c>
      <c r="F1" s="288" t="s">
        <v>90</v>
      </c>
      <c r="G1" s="288" t="s">
        <v>1255</v>
      </c>
      <c r="H1" s="288" t="s">
        <v>1256</v>
      </c>
      <c r="I1" s="288" t="s">
        <v>1257</v>
      </c>
      <c r="J1" s="316" t="s">
        <v>1207</v>
      </c>
      <c r="K1" s="288" t="s">
        <v>1208</v>
      </c>
      <c r="L1" s="288" t="s">
        <v>1206</v>
      </c>
      <c r="M1" s="288" t="s">
        <v>1484</v>
      </c>
      <c r="O1" s="510" t="s">
        <v>2770</v>
      </c>
    </row>
    <row r="2" spans="1:15" ht="15" customHeight="1" thickTop="1" thickBot="1">
      <c r="A2" s="208"/>
      <c r="B2" s="208"/>
      <c r="C2" s="208"/>
      <c r="D2" s="208" t="s">
        <v>1650</v>
      </c>
      <c r="E2" s="208"/>
      <c r="F2" s="208"/>
      <c r="G2" s="208"/>
      <c r="H2" s="208"/>
      <c r="I2" s="208"/>
      <c r="J2" s="209"/>
      <c r="K2" s="209"/>
      <c r="L2" s="547" t="s">
        <v>2686</v>
      </c>
      <c r="M2" s="193"/>
      <c r="O2" s="193"/>
    </row>
    <row r="3" spans="1:15" ht="15" customHeight="1" thickTop="1" thickBot="1">
      <c r="A3" s="172"/>
      <c r="B3" s="172"/>
      <c r="C3" s="172"/>
      <c r="D3" s="172" t="s">
        <v>2265</v>
      </c>
      <c r="E3" s="172"/>
      <c r="F3" s="172"/>
      <c r="G3" s="317"/>
      <c r="H3" s="317"/>
      <c r="I3" s="317"/>
      <c r="J3" s="318"/>
      <c r="K3" s="318"/>
      <c r="L3" s="318"/>
      <c r="M3" s="293"/>
      <c r="O3" s="293"/>
    </row>
    <row r="4" spans="1:15" ht="15" customHeight="1" thickBot="1">
      <c r="A4" s="55"/>
      <c r="B4" s="55"/>
      <c r="C4" s="194"/>
      <c r="D4" s="194" t="s">
        <v>1984</v>
      </c>
      <c r="E4" s="254"/>
      <c r="F4" s="254"/>
      <c r="G4" s="254"/>
      <c r="H4" s="254"/>
      <c r="I4" s="254"/>
      <c r="J4" s="319" t="str">
        <f>IF(L4="Bitte auswählen",K4,L4)</f>
        <v/>
      </c>
      <c r="K4" s="320" t="str">
        <f>VLOOKUP("ENBEDARF",Allgemeine_Angaben,5,0)</f>
        <v/>
      </c>
      <c r="L4" s="321" t="s">
        <v>2071</v>
      </c>
      <c r="M4" s="194"/>
      <c r="O4" s="598"/>
    </row>
    <row r="5" spans="1:15" ht="15" customHeight="1" thickBot="1">
      <c r="A5" s="194"/>
      <c r="B5" s="194"/>
      <c r="C5" s="194" t="s">
        <v>2014</v>
      </c>
      <c r="D5" s="194" t="s">
        <v>1858</v>
      </c>
      <c r="E5" s="194"/>
      <c r="F5" s="194"/>
      <c r="G5" s="194"/>
      <c r="H5" s="194"/>
      <c r="I5" s="194"/>
      <c r="J5" s="302" t="e">
        <f t="shared" ref="J5:J6" si="0">IF(L5="",K5,L5)</f>
        <v>#N/A</v>
      </c>
      <c r="K5" s="322" t="e">
        <f>INDEX('Hilfsblatt Energie'!B68:E70,MATCH('Allgemeine Angaben'!$G$5,'Hilfsblatt Energie'!A68:A70,0),MATCH(Energie!J4,'Hilfsblatt Energie'!B58:E58,0))</f>
        <v>#N/A</v>
      </c>
      <c r="L5" s="296"/>
      <c r="M5" s="194" t="s">
        <v>1637</v>
      </c>
      <c r="O5" s="598"/>
    </row>
    <row r="6" spans="1:15" ht="15" customHeight="1" thickBot="1">
      <c r="A6" s="194"/>
      <c r="B6" s="194"/>
      <c r="C6" s="194"/>
      <c r="D6" s="194" t="s">
        <v>2185</v>
      </c>
      <c r="E6" s="194"/>
      <c r="F6" s="194"/>
      <c r="G6" s="194"/>
      <c r="H6" s="194"/>
      <c r="I6" s="194"/>
      <c r="J6" s="302">
        <f t="shared" si="0"/>
        <v>1.1100000000000001</v>
      </c>
      <c r="K6" s="322">
        <v>1.1100000000000001</v>
      </c>
      <c r="L6" s="296"/>
      <c r="M6" s="194"/>
      <c r="O6" s="598"/>
    </row>
    <row r="7" spans="1:15" ht="15" customHeight="1" thickBot="1">
      <c r="A7" s="194"/>
      <c r="B7" s="194"/>
      <c r="C7" s="194"/>
      <c r="D7" s="194" t="s">
        <v>2180</v>
      </c>
      <c r="E7" s="194"/>
      <c r="F7" s="194"/>
      <c r="G7" s="194"/>
      <c r="H7" s="194"/>
      <c r="I7" s="194"/>
      <c r="J7" s="319" t="e">
        <f>J5*J6</f>
        <v>#N/A</v>
      </c>
      <c r="K7" s="194"/>
      <c r="L7" s="86"/>
      <c r="M7" s="194" t="s">
        <v>1637</v>
      </c>
      <c r="O7" s="598"/>
    </row>
    <row r="8" spans="1:15" ht="15" customHeight="1" thickBot="1">
      <c r="A8" s="172"/>
      <c r="B8" s="172"/>
      <c r="C8" s="172"/>
      <c r="D8" s="172" t="s">
        <v>1252</v>
      </c>
      <c r="E8" s="172"/>
      <c r="F8" s="172"/>
      <c r="G8" s="172"/>
      <c r="H8" s="172"/>
      <c r="I8" s="172"/>
      <c r="J8" s="172"/>
      <c r="K8" s="293"/>
      <c r="L8" s="172"/>
      <c r="M8" s="172"/>
      <c r="O8" s="172"/>
    </row>
    <row r="9" spans="1:15" ht="15" customHeight="1" thickBot="1">
      <c r="A9" s="194"/>
      <c r="B9" s="194"/>
      <c r="C9" s="194"/>
      <c r="D9" s="194" t="s">
        <v>2174</v>
      </c>
      <c r="E9" s="194" t="s">
        <v>2175</v>
      </c>
      <c r="F9" s="194"/>
      <c r="G9" s="194"/>
      <c r="H9" s="194"/>
      <c r="I9" s="194"/>
      <c r="J9" s="302" t="e">
        <f t="shared" ref="J9:J10" si="1">IF(L9="",K9,L9)</f>
        <v>#N/A</v>
      </c>
      <c r="K9" s="303" t="e">
        <f>(VLOOKUP("SOLARD",Objektkenndaten,5,0)+VLOOKUP("SOLARF",Objektkenndaten,5,0))*VLOOKUP(VLOOKUP("ENPRODSOLAR",Allgemeine_Angaben,5,0),EnergieproduktionkWh,2,0)</f>
        <v>#N/A</v>
      </c>
      <c r="L9" s="323"/>
      <c r="M9" s="194" t="s">
        <v>2097</v>
      </c>
      <c r="O9" s="598"/>
    </row>
    <row r="10" spans="1:15" ht="15" customHeight="1" thickBot="1">
      <c r="A10" s="194"/>
      <c r="B10" s="194"/>
      <c r="C10" s="194"/>
      <c r="D10" s="194" t="s">
        <v>2176</v>
      </c>
      <c r="E10" s="194"/>
      <c r="F10" s="194"/>
      <c r="G10" s="194"/>
      <c r="H10" s="194"/>
      <c r="I10" s="194"/>
      <c r="J10" s="302" t="e">
        <f t="shared" si="1"/>
        <v>#N/A</v>
      </c>
      <c r="K10" s="303" t="e">
        <f>J9</f>
        <v>#N/A</v>
      </c>
      <c r="L10" s="323"/>
      <c r="M10" s="194" t="s">
        <v>2097</v>
      </c>
      <c r="O10" s="598"/>
    </row>
    <row r="11" spans="1:15" ht="15" customHeight="1" thickBot="1">
      <c r="A11" s="194"/>
      <c r="B11" s="194"/>
      <c r="C11" s="194"/>
      <c r="D11" s="194" t="s">
        <v>2177</v>
      </c>
      <c r="E11" s="194"/>
      <c r="F11" s="194"/>
      <c r="G11" s="194"/>
      <c r="H11" s="194"/>
      <c r="I11" s="194"/>
      <c r="J11" s="302" t="e">
        <f>J9-J10</f>
        <v>#N/A</v>
      </c>
      <c r="K11" s="55"/>
      <c r="L11" s="194"/>
      <c r="M11" s="194" t="s">
        <v>2097</v>
      </c>
      <c r="O11" s="598"/>
    </row>
    <row r="12" spans="1:15" ht="15" customHeight="1" thickBot="1">
      <c r="A12" s="194"/>
      <c r="B12" s="194"/>
      <c r="C12" s="194" t="s">
        <v>2182</v>
      </c>
      <c r="D12" s="194" t="s">
        <v>2178</v>
      </c>
      <c r="E12" s="194"/>
      <c r="F12" s="194"/>
      <c r="G12" s="194"/>
      <c r="H12" s="194"/>
      <c r="I12" s="194"/>
      <c r="J12" s="324" t="e">
        <f>J10/(J35*VLOOKUP("BGFbeheizt",Objektkenndaten,5,0))</f>
        <v>#N/A</v>
      </c>
      <c r="K12" s="55"/>
      <c r="L12" s="194"/>
      <c r="M12" s="194" t="s">
        <v>98</v>
      </c>
      <c r="O12" s="598"/>
    </row>
    <row r="13" spans="1:15" ht="15" customHeight="1" thickBot="1">
      <c r="A13" s="194"/>
      <c r="B13" s="194"/>
      <c r="C13" s="194" t="s">
        <v>2181</v>
      </c>
      <c r="D13" s="194" t="s">
        <v>2179</v>
      </c>
      <c r="E13" s="194"/>
      <c r="F13" s="194"/>
      <c r="G13" s="194"/>
      <c r="H13" s="194"/>
      <c r="I13" s="194"/>
      <c r="J13" s="324" t="e">
        <f>J11/(J7*VLOOKUP("BGFbeheizt",Objektkenndaten,5,0))</f>
        <v>#N/A</v>
      </c>
      <c r="K13" s="55"/>
      <c r="L13" s="194"/>
      <c r="M13" s="194" t="s">
        <v>98</v>
      </c>
      <c r="O13" s="598"/>
    </row>
    <row r="14" spans="1:15" ht="15" customHeight="1" thickBot="1">
      <c r="A14" s="172"/>
      <c r="B14" s="172"/>
      <c r="C14" s="172"/>
      <c r="D14" s="172" t="s">
        <v>1244</v>
      </c>
      <c r="E14" s="172" t="s">
        <v>1260</v>
      </c>
      <c r="F14" s="172"/>
      <c r="G14" s="317"/>
      <c r="H14" s="317"/>
      <c r="I14" s="317"/>
      <c r="J14" s="172"/>
      <c r="K14" s="172"/>
      <c r="L14" s="172"/>
      <c r="M14" s="293"/>
      <c r="O14" s="293"/>
    </row>
    <row r="15" spans="1:15" ht="15" customHeight="1" thickBot="1">
      <c r="A15" s="194"/>
      <c r="B15" s="194"/>
      <c r="C15" s="194" t="s">
        <v>1557</v>
      </c>
      <c r="D15" s="194" t="s">
        <v>1254</v>
      </c>
      <c r="E15" s="194"/>
      <c r="F15" s="194"/>
      <c r="G15" s="307" t="e">
        <f>IF(I15="",H15,I15)</f>
        <v>#N/A</v>
      </c>
      <c r="H15" s="308" t="e">
        <f>IF(VLOOKUP("SOLDGHW",Energie,8,0)&gt;0,VLOOKUP("SOLDGHW",Energie,8,0),100%)</f>
        <v>#N/A</v>
      </c>
      <c r="I15" s="309"/>
      <c r="J15" s="325" t="e">
        <f>IF(L15="Bitte auswählen",K15,L15)</f>
        <v>#N/A</v>
      </c>
      <c r="K15" s="320" t="e">
        <f>IF(VLOOKUP("SOLDGHW",Energie,8,0)&gt;0,"Solarthermie",IF('Allgemeine Angaben'!H19="sehr niedrig",'Hilfsblatt Energie'!B16,IF('Allgemeine Angaben'!G5="Schule/Kindergarten",'Hilfsblatt Energie'!B16,'Hilfsblatt Energie'!B26)))</f>
        <v>#N/A</v>
      </c>
      <c r="L15" s="420" t="s">
        <v>2071</v>
      </c>
      <c r="M15" s="194"/>
      <c r="O15" s="598"/>
    </row>
    <row r="16" spans="1:15" ht="15" customHeight="1" thickBot="1">
      <c r="A16" s="194"/>
      <c r="B16" s="194"/>
      <c r="C16" s="194" t="s">
        <v>1558</v>
      </c>
      <c r="D16" s="194" t="s">
        <v>1258</v>
      </c>
      <c r="E16" s="194"/>
      <c r="F16" s="194"/>
      <c r="G16" s="307" t="e">
        <f>IF(I16="",H16,I16)</f>
        <v>#N/A</v>
      </c>
      <c r="H16" s="308" t="e">
        <f>IF(I15="",1-(H15),1-I15)</f>
        <v>#N/A</v>
      </c>
      <c r="I16" s="309"/>
      <c r="J16" s="325" t="e">
        <f t="shared" ref="J16:J17" si="2">IF(L16="",K16,L16)</f>
        <v>#N/A</v>
      </c>
      <c r="K16" s="320" t="e">
        <f>IF(G16&gt;0,IF(J15="Solarthermie",'Hilfsblatt Energie'!B23,"keine Angabe"),"keine Angabe")</f>
        <v>#N/A</v>
      </c>
      <c r="L16" s="321"/>
      <c r="M16" s="194"/>
      <c r="O16" s="598"/>
    </row>
    <row r="17" spans="1:15" ht="15" customHeight="1" thickBot="1">
      <c r="A17" s="194"/>
      <c r="B17" s="194"/>
      <c r="C17" s="194" t="s">
        <v>1559</v>
      </c>
      <c r="D17" s="194" t="s">
        <v>1259</v>
      </c>
      <c r="E17" s="194"/>
      <c r="F17" s="194"/>
      <c r="G17" s="307" t="e">
        <f>1-(G15+G16)</f>
        <v>#N/A</v>
      </c>
      <c r="H17" s="82"/>
      <c r="I17" s="89"/>
      <c r="J17" s="325" t="str">
        <f t="shared" si="2"/>
        <v>keine Angabe</v>
      </c>
      <c r="K17" s="327" t="s">
        <v>1870</v>
      </c>
      <c r="L17" s="321"/>
      <c r="M17" s="194"/>
      <c r="O17" s="598"/>
    </row>
    <row r="18" spans="1:15" ht="15" customHeight="1" thickBot="1">
      <c r="A18" s="293"/>
      <c r="B18" s="293"/>
      <c r="C18" s="172"/>
      <c r="D18" s="172" t="s">
        <v>2266</v>
      </c>
      <c r="E18" s="172"/>
      <c r="F18" s="172"/>
      <c r="G18" s="172"/>
      <c r="H18" s="172"/>
      <c r="I18" s="172"/>
      <c r="J18" s="172"/>
      <c r="K18" s="172"/>
      <c r="L18" s="172"/>
      <c r="M18" s="172"/>
      <c r="O18" s="172"/>
    </row>
    <row r="19" spans="1:15" ht="15" customHeight="1" thickBot="1">
      <c r="A19" s="254"/>
      <c r="B19" s="254"/>
      <c r="C19" s="254"/>
      <c r="D19" s="194" t="s">
        <v>2186</v>
      </c>
      <c r="E19" s="194"/>
      <c r="F19" s="194"/>
      <c r="G19" s="194"/>
      <c r="H19" s="194"/>
      <c r="I19" s="194"/>
      <c r="J19" s="319" t="str">
        <f>IF(L19="Bitte auswählen",K19,L19)</f>
        <v/>
      </c>
      <c r="K19" s="320" t="str">
        <f>VLOOKUP("ENBEDARF",Allgemeine_Angaben,5,0)</f>
        <v/>
      </c>
      <c r="L19" s="419" t="s">
        <v>2071</v>
      </c>
      <c r="M19" s="194"/>
      <c r="O19" s="598"/>
    </row>
    <row r="20" spans="1:15" ht="15" customHeight="1" thickBot="1">
      <c r="A20" s="55">
        <v>940</v>
      </c>
      <c r="B20" s="55"/>
      <c r="C20" s="194" t="s">
        <v>2011</v>
      </c>
      <c r="D20" s="194" t="s">
        <v>2183</v>
      </c>
      <c r="E20" s="194"/>
      <c r="F20" s="194" t="s">
        <v>2063</v>
      </c>
      <c r="G20" s="89"/>
      <c r="H20" s="89"/>
      <c r="I20" s="89"/>
      <c r="J20" s="328" t="e">
        <f>J7*(G15*VLOOKUP(J15,Energietraeger,3,0)+G16*VLOOKUP(J16,Energietraeger,3,0)+G17*VLOOKUP(J17,Energietraeger,3,0))</f>
        <v>#N/A</v>
      </c>
      <c r="K20" s="194"/>
      <c r="L20" s="194"/>
      <c r="M20" s="194" t="s">
        <v>1637</v>
      </c>
      <c r="O20" s="598"/>
    </row>
    <row r="21" spans="1:15" ht="15" customHeight="1" thickBot="1">
      <c r="A21" s="55">
        <v>940</v>
      </c>
      <c r="B21" s="55"/>
      <c r="C21" s="194"/>
      <c r="D21" s="194" t="s">
        <v>2184</v>
      </c>
      <c r="E21" s="194"/>
      <c r="F21" s="194" t="s">
        <v>2063</v>
      </c>
      <c r="G21" s="89"/>
      <c r="H21" s="89"/>
      <c r="I21" s="89"/>
      <c r="J21" s="328" t="e">
        <f>J7*(G15*VLOOKUP(J15,Energietraeger,4,0)+G16*VLOOKUP(J16,Energietraeger,4,0)+G17*VLOOKUP(J17,Energietraeger,4,0))</f>
        <v>#N/A</v>
      </c>
      <c r="K21" s="194"/>
      <c r="L21" s="194"/>
      <c r="M21" s="194" t="s">
        <v>1637</v>
      </c>
      <c r="O21" s="598"/>
    </row>
    <row r="22" spans="1:15" ht="15" customHeight="1" thickBot="1">
      <c r="A22" s="55"/>
      <c r="B22" s="55"/>
      <c r="C22" s="194" t="s">
        <v>2012</v>
      </c>
      <c r="D22" s="194" t="s">
        <v>2010</v>
      </c>
      <c r="E22" s="194"/>
      <c r="F22" s="194"/>
      <c r="G22" s="89"/>
      <c r="H22" s="89"/>
      <c r="I22" s="89"/>
      <c r="J22" s="328" t="e">
        <f>J20*G15*(VLOOKUP(J15,Energietraeger,6,0)+INDEX(Hilfsstrom,MATCH(J15,'Hilfsblatt Energie'!B16:B32,0),MATCH(J19,'Hilfsblatt Energie'!H9:K9,0)))+J20*G16*(VLOOKUP(J16,Energietraeger,6,0)+INDEX(Hilfsstrom,MATCH(J16,'Hilfsblatt Energie'!B16:B32,0),MATCH(J19,'Hilfsblatt Energie'!H9:K9,0)))+J20*G17*(VLOOKUP(J17,Energietraeger,6,0)+INDEX(Hilfsstrom,MATCH(J17,'Hilfsblatt Energie'!B16:B32,0),MATCH(J19,'Hilfsblatt Energie'!H9:K9,0)))</f>
        <v>#N/A</v>
      </c>
      <c r="K22" s="194"/>
      <c r="L22" s="194"/>
      <c r="M22" s="194" t="s">
        <v>1637</v>
      </c>
      <c r="O22" s="598"/>
    </row>
    <row r="23" spans="1:15" ht="15" customHeight="1" thickBot="1">
      <c r="A23" s="55">
        <v>940</v>
      </c>
      <c r="B23" s="55"/>
      <c r="C23" s="194" t="s">
        <v>491</v>
      </c>
      <c r="D23" s="194" t="s">
        <v>2002</v>
      </c>
      <c r="E23" s="194"/>
      <c r="F23" s="194"/>
      <c r="G23" s="89"/>
      <c r="H23" s="89"/>
      <c r="I23" s="89"/>
      <c r="J23" s="328" t="e">
        <f>J20-J22</f>
        <v>#N/A</v>
      </c>
      <c r="K23" s="194"/>
      <c r="L23" s="194"/>
      <c r="M23" s="194" t="s">
        <v>1637</v>
      </c>
      <c r="O23" s="598"/>
    </row>
    <row r="24" spans="1:15" ht="15" customHeight="1" thickTop="1" thickBot="1">
      <c r="A24" s="293"/>
      <c r="B24" s="293"/>
      <c r="C24" s="172"/>
      <c r="D24" s="172" t="s">
        <v>2267</v>
      </c>
      <c r="E24" s="172"/>
      <c r="F24" s="172"/>
      <c r="G24" s="317"/>
      <c r="H24" s="317"/>
      <c r="I24" s="317"/>
      <c r="J24" s="618" t="s">
        <v>2687</v>
      </c>
      <c r="K24" s="618"/>
      <c r="L24" s="618"/>
      <c r="M24" s="618"/>
    </row>
    <row r="25" spans="1:15" ht="15" customHeight="1" thickTop="1" thickBot="1">
      <c r="A25" s="55"/>
      <c r="B25" s="55"/>
      <c r="C25" s="194" t="s">
        <v>1621</v>
      </c>
      <c r="D25" s="194" t="s">
        <v>1624</v>
      </c>
      <c r="E25" s="194"/>
      <c r="F25" s="194" t="s">
        <v>1631</v>
      </c>
      <c r="G25" s="194"/>
      <c r="H25" s="194"/>
      <c r="I25" s="194"/>
      <c r="J25" s="329" t="e">
        <f>(G16*VLOOKUP(J16,Energietraeger,11,0)+G15*VLOOKUP(J15,Energietraeger,11,0)+G17*VLOOKUP(J17,Energietraeger,11,0))</f>
        <v>#N/A</v>
      </c>
      <c r="K25" s="55"/>
      <c r="L25" s="330"/>
      <c r="M25" s="194" t="s">
        <v>487</v>
      </c>
      <c r="O25" s="598"/>
    </row>
    <row r="26" spans="1:15" ht="15" customHeight="1" thickBot="1">
      <c r="A26" s="194"/>
      <c r="B26" s="194"/>
      <c r="C26" s="194" t="s">
        <v>1887</v>
      </c>
      <c r="D26" s="194" t="s">
        <v>1829</v>
      </c>
      <c r="E26" s="194"/>
      <c r="F26" s="194" t="s">
        <v>1873</v>
      </c>
      <c r="G26" s="89"/>
      <c r="H26" s="89"/>
      <c r="I26" s="89"/>
      <c r="J26" s="328" t="e">
        <f>(G15*VLOOKUP(J15,Ökodaten_Energie,5,0)+G16*VLOOKUP(J16,Ökodaten_Energie,5,0)+G17*VLOOKUP(J17,Ökodaten_Energie,5,0))*3.6</f>
        <v>#N/A</v>
      </c>
      <c r="K26" s="194"/>
      <c r="L26" s="194"/>
      <c r="M26" s="194" t="s">
        <v>1871</v>
      </c>
      <c r="O26" s="598"/>
    </row>
    <row r="27" spans="1:15" ht="15" customHeight="1" thickBot="1">
      <c r="A27" s="194"/>
      <c r="B27" s="194"/>
      <c r="C27" s="194" t="s">
        <v>1888</v>
      </c>
      <c r="D27" s="194" t="s">
        <v>1859</v>
      </c>
      <c r="E27" s="194"/>
      <c r="F27" s="194"/>
      <c r="G27" s="89"/>
      <c r="H27" s="89"/>
      <c r="I27" s="89"/>
      <c r="J27" s="328" t="e">
        <f>(G15*VLOOKUP(J15,Ökodaten_Energie,7,0)+G16*VLOOKUP(J16,Ökodaten_Energie,7,0)+G17*VLOOKUP(J17,Ökodaten_Energie,7,0))*3.6</f>
        <v>#N/A</v>
      </c>
      <c r="K27" s="194"/>
      <c r="L27" s="194"/>
      <c r="M27" s="194" t="s">
        <v>1872</v>
      </c>
      <c r="O27" s="598"/>
    </row>
    <row r="28" spans="1:15" s="193" customFormat="1" ht="15" customHeight="1"/>
    <row r="29" spans="1:15" ht="15" customHeight="1">
      <c r="A29" s="208"/>
      <c r="B29" s="208"/>
      <c r="C29" s="208"/>
      <c r="D29" s="208" t="s">
        <v>1194</v>
      </c>
      <c r="E29" s="208"/>
      <c r="F29" s="208"/>
      <c r="G29" s="208"/>
      <c r="H29" s="208"/>
      <c r="I29" s="208"/>
      <c r="J29" s="209"/>
      <c r="K29" s="209"/>
      <c r="L29" s="209"/>
      <c r="M29" s="209"/>
      <c r="O29" s="209"/>
    </row>
    <row r="30" spans="1:15" ht="15" customHeight="1" thickBot="1">
      <c r="A30" s="172"/>
      <c r="B30" s="172"/>
      <c r="C30" s="172"/>
      <c r="D30" s="172" t="s">
        <v>2268</v>
      </c>
      <c r="E30" s="172"/>
      <c r="F30" s="172"/>
      <c r="G30" s="317"/>
      <c r="H30" s="317"/>
      <c r="I30" s="317"/>
      <c r="J30" s="318"/>
      <c r="K30" s="318"/>
      <c r="L30" s="318"/>
      <c r="M30" s="293"/>
      <c r="O30" s="293"/>
    </row>
    <row r="31" spans="1:15" ht="15" customHeight="1" thickBot="1">
      <c r="A31" s="254"/>
      <c r="B31" s="254"/>
      <c r="C31" s="254"/>
      <c r="D31" s="194" t="s">
        <v>1983</v>
      </c>
      <c r="E31" s="254"/>
      <c r="F31" s="254"/>
      <c r="G31" s="254"/>
      <c r="H31" s="254"/>
      <c r="I31" s="254"/>
      <c r="J31" s="319" t="str">
        <f>IF(L31="Bitte auswählen",K31,L31)</f>
        <v/>
      </c>
      <c r="K31" s="320" t="str">
        <f>VLOOKUP("ENBEDARF",Allgemeine_Angaben,5,0)</f>
        <v/>
      </c>
      <c r="L31" s="321" t="s">
        <v>2071</v>
      </c>
      <c r="M31" s="55"/>
      <c r="O31" s="598"/>
    </row>
    <row r="32" spans="1:15" ht="15" customHeight="1" thickBot="1">
      <c r="A32" s="254"/>
      <c r="B32" s="254"/>
      <c r="C32" s="194" t="s">
        <v>2013</v>
      </c>
      <c r="D32" s="194" t="s">
        <v>1985</v>
      </c>
      <c r="E32" s="254"/>
      <c r="F32" s="254"/>
      <c r="G32" s="254"/>
      <c r="H32" s="254"/>
      <c r="I32" s="254"/>
      <c r="J32" s="331" t="e">
        <f>IF(L32="",K32,L32)</f>
        <v>#N/A</v>
      </c>
      <c r="K32" s="322" t="e">
        <f>INDEX('Hilfsblatt Energie'!B72:E74,MATCH('Allgemeine Angaben'!$G$5,'Hilfsblatt Energie'!A72:A74,0),MATCH(Energie!J31,'Hilfsblatt Energie'!B58:E58,0))</f>
        <v>#N/A</v>
      </c>
      <c r="L32" s="323"/>
      <c r="M32" s="194" t="s">
        <v>1637</v>
      </c>
      <c r="O32" s="598"/>
    </row>
    <row r="33" spans="1:15" ht="15" customHeight="1" thickBot="1">
      <c r="A33" s="194"/>
      <c r="B33" s="194"/>
      <c r="C33" s="194"/>
      <c r="D33" s="194" t="s">
        <v>1864</v>
      </c>
      <c r="E33" s="194"/>
      <c r="F33" s="194"/>
      <c r="G33" s="89"/>
      <c r="H33" s="89"/>
      <c r="I33" s="89"/>
      <c r="J33" s="325" t="str">
        <f>IF(L33="Bitte auswählen",K33,L33)</f>
        <v>ohne Zirkulation</v>
      </c>
      <c r="K33" s="332" t="str">
        <f>'Hilfsblatt Energie'!H3</f>
        <v>ohne Zirkulation</v>
      </c>
      <c r="L33" s="321" t="s">
        <v>2071</v>
      </c>
      <c r="M33" s="55"/>
      <c r="O33" s="598"/>
    </row>
    <row r="34" spans="1:15" ht="15" customHeight="1" thickBot="1">
      <c r="A34" s="194"/>
      <c r="B34" s="194"/>
      <c r="C34" s="194"/>
      <c r="D34" s="111" t="s">
        <v>2767</v>
      </c>
      <c r="E34" s="194" t="s">
        <v>2401</v>
      </c>
      <c r="F34" s="194"/>
      <c r="G34" s="89"/>
      <c r="H34" s="89"/>
      <c r="I34" s="89"/>
      <c r="J34" s="302">
        <f t="shared" ref="J34" si="3">IF(L34="",K34,L34)</f>
        <v>1.25</v>
      </c>
      <c r="K34" s="322">
        <f>IF(J33="ohne Zirkulation",1.25,1.5)</f>
        <v>1.25</v>
      </c>
      <c r="L34" s="323"/>
      <c r="M34" s="55"/>
      <c r="O34" s="598"/>
    </row>
    <row r="35" spans="1:15" ht="15" customHeight="1" thickBot="1">
      <c r="A35" s="194"/>
      <c r="B35" s="194"/>
      <c r="C35" s="194"/>
      <c r="D35" s="111" t="s">
        <v>2768</v>
      </c>
      <c r="E35" s="194"/>
      <c r="F35" s="194"/>
      <c r="G35" s="89"/>
      <c r="H35" s="89"/>
      <c r="I35" s="89"/>
      <c r="J35" s="302" t="e">
        <f>J32*J34</f>
        <v>#N/A</v>
      </c>
      <c r="K35" s="93"/>
      <c r="L35" s="55"/>
      <c r="M35" s="194" t="s">
        <v>1637</v>
      </c>
      <c r="O35" s="598"/>
    </row>
    <row r="36" spans="1:15" ht="15" customHeight="1" thickBot="1">
      <c r="A36" s="172"/>
      <c r="B36" s="172"/>
      <c r="C36" s="172"/>
      <c r="D36" s="172" t="s">
        <v>1245</v>
      </c>
      <c r="E36" s="172" t="s">
        <v>1260</v>
      </c>
      <c r="F36" s="172"/>
      <c r="G36" s="317"/>
      <c r="H36" s="317"/>
      <c r="I36" s="317"/>
      <c r="J36" s="318"/>
      <c r="K36" s="172"/>
      <c r="L36" s="172"/>
      <c r="M36" s="293"/>
      <c r="O36" s="293"/>
    </row>
    <row r="37" spans="1:15" s="337" customFormat="1" ht="15" customHeight="1" thickBot="1">
      <c r="A37" s="91"/>
      <c r="B37" s="91"/>
      <c r="C37" s="91" t="s">
        <v>1560</v>
      </c>
      <c r="D37" s="91" t="s">
        <v>1254</v>
      </c>
      <c r="E37" s="91"/>
      <c r="F37" s="91"/>
      <c r="G37" s="333" t="e">
        <f>IF(I37="",H37,I37)</f>
        <v>#N/A</v>
      </c>
      <c r="H37" s="334" t="e">
        <f>IF(VLOOKUP("SOLDGWW",Energie,8,0)&gt;0,VLOOKUP("SOLDGWW",Energie,8,0),100%)</f>
        <v>#N/A</v>
      </c>
      <c r="I37" s="309"/>
      <c r="J37" s="335" t="e">
        <f>IF(L37="Bitte auswählen",K37,L37)</f>
        <v>#N/A</v>
      </c>
      <c r="K37" s="336" t="e">
        <f>IF(VLOOKUP("SOLDGWW",Energie,8,0)&gt;0,"Solarthermie",IF('Allgemeine Angaben'!G5="Bürogebäude",'Hilfsblatt Energie'!B37,'Hilfsblatt Energie'!B34))</f>
        <v>#N/A</v>
      </c>
      <c r="L37" s="420" t="s">
        <v>2071</v>
      </c>
      <c r="M37" s="55"/>
      <c r="O37" s="598"/>
    </row>
    <row r="38" spans="1:15" ht="15" customHeight="1" thickBot="1">
      <c r="A38" s="194"/>
      <c r="B38" s="194"/>
      <c r="C38" s="194" t="s">
        <v>1561</v>
      </c>
      <c r="D38" s="194" t="s">
        <v>1258</v>
      </c>
      <c r="E38" s="194"/>
      <c r="F38" s="194"/>
      <c r="G38" s="333" t="e">
        <f>IF(I38="",H38,I38)</f>
        <v>#N/A</v>
      </c>
      <c r="H38" s="334" t="e">
        <f>IF(I37="",1-(H37),1-I37)</f>
        <v>#N/A</v>
      </c>
      <c r="I38" s="309"/>
      <c r="J38" s="319" t="e">
        <f t="shared" ref="J38:J39" si="4">IF(L38="",K38,L38)</f>
        <v>#N/A</v>
      </c>
      <c r="K38" s="336" t="e">
        <f>IF(G38&gt;0,IF('Allgemeine Angaben'!G5="Bürogebäude",'Hilfsblatt Energie'!B37,'Hilfsblatt Energie'!B34),"keine Angabe")</f>
        <v>#N/A</v>
      </c>
      <c r="L38" s="326"/>
      <c r="M38" s="55"/>
      <c r="O38" s="598"/>
    </row>
    <row r="39" spans="1:15" ht="15" customHeight="1" thickBot="1">
      <c r="A39" s="194"/>
      <c r="B39" s="194"/>
      <c r="C39" s="194" t="s">
        <v>1562</v>
      </c>
      <c r="D39" s="194" t="s">
        <v>1259</v>
      </c>
      <c r="E39" s="194"/>
      <c r="F39" s="194"/>
      <c r="G39" s="333" t="e">
        <f>1-(G37+G38)</f>
        <v>#N/A</v>
      </c>
      <c r="H39" s="89"/>
      <c r="I39" s="89"/>
      <c r="J39" s="319" t="str">
        <f t="shared" si="4"/>
        <v>keine Angabe</v>
      </c>
      <c r="K39" s="320" t="s">
        <v>1870</v>
      </c>
      <c r="L39" s="326"/>
      <c r="M39" s="55"/>
      <c r="O39" s="598"/>
    </row>
    <row r="40" spans="1:15" ht="15" customHeight="1" thickBot="1">
      <c r="A40" s="293"/>
      <c r="B40" s="293"/>
      <c r="C40" s="172"/>
      <c r="D40" s="172" t="s">
        <v>2269</v>
      </c>
      <c r="E40" s="289"/>
      <c r="F40" s="289"/>
      <c r="G40" s="289"/>
      <c r="H40" s="289"/>
      <c r="I40" s="289"/>
      <c r="J40" s="172"/>
      <c r="K40" s="172"/>
      <c r="L40" s="172"/>
      <c r="M40" s="172"/>
      <c r="O40" s="172"/>
    </row>
    <row r="41" spans="1:15" ht="15" customHeight="1" thickBot="1">
      <c r="A41" s="254"/>
      <c r="B41" s="254"/>
      <c r="C41" s="254"/>
      <c r="D41" s="194" t="s">
        <v>2187</v>
      </c>
      <c r="E41" s="194"/>
      <c r="F41" s="194"/>
      <c r="G41" s="194"/>
      <c r="H41" s="194"/>
      <c r="I41" s="194"/>
      <c r="J41" s="319" t="str">
        <f>IF(L41="Bitte auswählen",K41,L41)</f>
        <v/>
      </c>
      <c r="K41" s="320" t="str">
        <f>VLOOKUP("ENBEDARF",Allgemeine_Angaben,5,0)</f>
        <v/>
      </c>
      <c r="L41" s="321" t="s">
        <v>2071</v>
      </c>
      <c r="M41" s="55"/>
      <c r="O41" s="598"/>
    </row>
    <row r="42" spans="1:15" ht="15" customHeight="1" thickBot="1">
      <c r="A42" s="55">
        <v>930</v>
      </c>
      <c r="B42" s="55"/>
      <c r="C42" s="194" t="s">
        <v>2015</v>
      </c>
      <c r="D42" s="194" t="s">
        <v>2188</v>
      </c>
      <c r="E42" s="194"/>
      <c r="F42" s="194"/>
      <c r="G42" s="194"/>
      <c r="H42" s="194"/>
      <c r="I42" s="194"/>
      <c r="J42" s="328" t="e">
        <f>J35*(G37*VLOOKUP(J37,Energietraeger,3,0)+G38*VLOOKUP(J38,Energietraeger,3,0)+G39*VLOOKUP(J39,Energietraeger,3,0))</f>
        <v>#N/A</v>
      </c>
      <c r="K42" s="55"/>
      <c r="L42" s="55"/>
      <c r="M42" s="194" t="s">
        <v>1637</v>
      </c>
      <c r="O42" s="598"/>
    </row>
    <row r="43" spans="1:15" ht="15" customHeight="1" thickBot="1">
      <c r="A43" s="55">
        <v>930</v>
      </c>
      <c r="B43" s="55"/>
      <c r="C43" s="194"/>
      <c r="D43" s="194" t="s">
        <v>2189</v>
      </c>
      <c r="E43" s="194"/>
      <c r="F43" s="194"/>
      <c r="G43" s="194"/>
      <c r="H43" s="194"/>
      <c r="I43" s="194"/>
      <c r="J43" s="328" t="e">
        <f>J35*(G37*VLOOKUP(J37,Energietraeger,4,0)+G38*VLOOKUP(J38,Energietraeger,4,0)+G39*VLOOKUP(J39,Energietraeger,4,0))</f>
        <v>#N/A</v>
      </c>
      <c r="K43" s="55"/>
      <c r="L43" s="55"/>
      <c r="M43" s="194" t="s">
        <v>1637</v>
      </c>
      <c r="O43" s="598"/>
    </row>
    <row r="44" spans="1:15" ht="15" customHeight="1" thickBot="1">
      <c r="A44" s="55"/>
      <c r="B44" s="55"/>
      <c r="C44" s="194" t="s">
        <v>2016</v>
      </c>
      <c r="D44" s="194" t="s">
        <v>2010</v>
      </c>
      <c r="E44" s="194"/>
      <c r="F44" s="194"/>
      <c r="G44" s="194"/>
      <c r="H44" s="194"/>
      <c r="I44" s="194"/>
      <c r="J44" s="328" t="e">
        <f>J42*G37*(VLOOKUP(J37,Energietraeger,6,0)+INDEX(Hilfsstrom,MATCH(J37,'Hilfsblatt Energie'!B34:B39,0),MATCH(J41,'Hilfsblatt Energie'!H33:K33,0)))+J42*G38*(VLOOKUP(J38,Energietraeger,6,0)+INDEX(Hilfsstrom,MATCH(J38,'Hilfsblatt Energie'!B34:B39,0),MATCH(J41,'Hilfsblatt Energie'!H33:K33,0)))+J42*G39*(VLOOKUP(J39,Energietraeger,6,0)+INDEX(Hilfsstrom,MATCH(J39,'Hilfsblatt Energie'!B34:B39,0),MATCH(J41,'Hilfsblatt Energie'!H33:K33,0)))</f>
        <v>#N/A</v>
      </c>
      <c r="K44" s="55"/>
      <c r="L44" s="55"/>
      <c r="M44" s="194" t="s">
        <v>1637</v>
      </c>
      <c r="O44" s="598"/>
    </row>
    <row r="45" spans="1:15" ht="15" customHeight="1" thickBot="1">
      <c r="A45" s="55"/>
      <c r="B45" s="55"/>
      <c r="C45" s="194" t="s">
        <v>1563</v>
      </c>
      <c r="D45" s="194" t="s">
        <v>2017</v>
      </c>
      <c r="E45" s="194"/>
      <c r="F45" s="194"/>
      <c r="G45" s="194"/>
      <c r="H45" s="194"/>
      <c r="I45" s="194"/>
      <c r="J45" s="328" t="e">
        <f>J42-J44</f>
        <v>#N/A</v>
      </c>
      <c r="K45" s="55"/>
      <c r="L45" s="55"/>
      <c r="M45" s="194" t="s">
        <v>1637</v>
      </c>
      <c r="O45" s="598"/>
    </row>
    <row r="46" spans="1:15" ht="15" customHeight="1" thickTop="1" thickBot="1">
      <c r="A46" s="293"/>
      <c r="B46" s="293"/>
      <c r="C46" s="172"/>
      <c r="D46" s="172" t="s">
        <v>2270</v>
      </c>
      <c r="E46" s="172"/>
      <c r="F46" s="172"/>
      <c r="G46" s="317"/>
      <c r="H46" s="317"/>
      <c r="I46" s="317"/>
      <c r="J46" s="618" t="s">
        <v>2687</v>
      </c>
      <c r="K46" s="618"/>
      <c r="L46" s="618"/>
      <c r="M46" s="618"/>
    </row>
    <row r="47" spans="1:15" ht="15" customHeight="1" thickTop="1" thickBot="1">
      <c r="A47" s="55"/>
      <c r="B47" s="55"/>
      <c r="C47" s="194" t="s">
        <v>1622</v>
      </c>
      <c r="D47" s="194" t="s">
        <v>1626</v>
      </c>
      <c r="E47" s="194"/>
      <c r="F47" s="194" t="s">
        <v>1636</v>
      </c>
      <c r="G47" s="194"/>
      <c r="H47" s="194"/>
      <c r="I47" s="194"/>
      <c r="J47" s="329" t="e">
        <f>(G39*VLOOKUP(J39,Energietraeger,11,0)+G38*VLOOKUP(J38,Energietraeger,11,0)+G37*VLOOKUP(J37,Energietraeger,11,0))</f>
        <v>#N/A</v>
      </c>
      <c r="K47" s="55"/>
      <c r="L47" s="330"/>
      <c r="M47" s="194" t="s">
        <v>487</v>
      </c>
      <c r="O47" s="598"/>
    </row>
    <row r="48" spans="1:15" ht="15" customHeight="1" thickBot="1">
      <c r="A48" s="194"/>
      <c r="B48" s="194"/>
      <c r="C48" s="194" t="s">
        <v>1885</v>
      </c>
      <c r="D48" s="194" t="s">
        <v>1831</v>
      </c>
      <c r="E48" s="194"/>
      <c r="F48" s="194"/>
      <c r="G48" s="89"/>
      <c r="H48" s="89"/>
      <c r="I48" s="89"/>
      <c r="J48" s="328" t="e">
        <f>(G38*VLOOKUP(J38,Ökodaten_Energie,5,0)+G39*VLOOKUP(J39,Ökodaten_Energie,5,0)+G37*VLOOKUP(J37,Ökodaten_Energie,5,0))</f>
        <v>#N/A</v>
      </c>
      <c r="K48" s="194"/>
      <c r="L48" s="194"/>
      <c r="M48" s="194" t="s">
        <v>1871</v>
      </c>
      <c r="O48" s="598"/>
    </row>
    <row r="49" spans="1:15" ht="15" customHeight="1" thickBot="1">
      <c r="A49" s="194"/>
      <c r="B49" s="194"/>
      <c r="C49" s="194" t="s">
        <v>1886</v>
      </c>
      <c r="D49" s="194" t="s">
        <v>1830</v>
      </c>
      <c r="E49" s="194"/>
      <c r="F49" s="194"/>
      <c r="G49" s="89"/>
      <c r="H49" s="89"/>
      <c r="I49" s="89"/>
      <c r="J49" s="328" t="e">
        <f>(G38*VLOOKUP(J38,Ökodaten_Energie,7,0)+G39*VLOOKUP(J39,Ökodaten_Energie,7,0)+G37*VLOOKUP(J37,Ökodaten_Energie,7,0))</f>
        <v>#N/A</v>
      </c>
      <c r="K49" s="194"/>
      <c r="L49" s="194"/>
      <c r="M49" s="194" t="s">
        <v>1872</v>
      </c>
      <c r="O49" s="598"/>
    </row>
    <row r="50" spans="1:15" s="193" customFormat="1" ht="15" customHeight="1"/>
    <row r="51" spans="1:15" ht="15" customHeight="1">
      <c r="A51" s="208"/>
      <c r="B51" s="208"/>
      <c r="C51" s="208"/>
      <c r="D51" s="208" t="s">
        <v>1651</v>
      </c>
      <c r="E51" s="208"/>
      <c r="F51" s="208"/>
      <c r="G51" s="208"/>
      <c r="H51" s="208"/>
      <c r="I51" s="208"/>
      <c r="J51" s="209"/>
      <c r="K51" s="209"/>
      <c r="L51" s="209"/>
      <c r="M51" s="209"/>
      <c r="O51" s="209"/>
    </row>
    <row r="52" spans="1:15" ht="15" customHeight="1" thickBot="1">
      <c r="A52" s="172"/>
      <c r="B52" s="172"/>
      <c r="C52" s="172"/>
      <c r="D52" s="172" t="s">
        <v>1980</v>
      </c>
      <c r="E52" s="172"/>
      <c r="F52" s="172"/>
      <c r="G52" s="317"/>
      <c r="H52" s="317"/>
      <c r="I52" s="317"/>
      <c r="J52" s="318"/>
      <c r="K52" s="318"/>
      <c r="L52" s="318"/>
      <c r="M52" s="293"/>
      <c r="O52" s="293"/>
    </row>
    <row r="53" spans="1:15" ht="15" customHeight="1" thickBot="1">
      <c r="A53" s="194"/>
      <c r="B53" s="194"/>
      <c r="C53" s="194"/>
      <c r="D53" s="194" t="s">
        <v>1981</v>
      </c>
      <c r="E53" s="194"/>
      <c r="F53" s="194"/>
      <c r="G53" s="89"/>
      <c r="H53" s="89"/>
      <c r="I53" s="89"/>
      <c r="J53" s="319" t="str">
        <f>IF(L53="Bitte auswählen",K53,L53)</f>
        <v/>
      </c>
      <c r="K53" s="320" t="str">
        <f>VLOOKUP("ENBEDARF",Allgemeine_Angaben,5,0)</f>
        <v/>
      </c>
      <c r="L53" s="321" t="s">
        <v>2071</v>
      </c>
      <c r="M53" s="55"/>
      <c r="O53" s="598"/>
    </row>
    <row r="54" spans="1:15" s="66" customFormat="1" ht="15" customHeight="1" thickBot="1">
      <c r="A54" s="55"/>
      <c r="B54" s="55"/>
      <c r="C54" s="194"/>
      <c r="D54" s="194" t="s">
        <v>1980</v>
      </c>
      <c r="E54" s="194"/>
      <c r="F54" s="194"/>
      <c r="G54" s="194"/>
      <c r="H54" s="194"/>
      <c r="I54" s="194"/>
      <c r="J54" s="302" t="e">
        <f>IF(L54="",K54,L54)</f>
        <v>#N/A</v>
      </c>
      <c r="K54" s="322" t="e">
        <f>IF(VLOOKUP("KÜHL",Allgemeine_Angaben,5,0)="nein",0,INDEX('Hilfsblatt Energie'!B76:E78,MATCH('Allgemeine Angaben'!$G$5,'Hilfsblatt Energie'!A76:A78,0),MATCH(Energie!J53,'Hilfsblatt Energie'!$B$58:$E$58,0)))</f>
        <v>#N/A</v>
      </c>
      <c r="L54" s="323"/>
      <c r="M54" s="194" t="s">
        <v>1638</v>
      </c>
      <c r="O54" s="598"/>
    </row>
    <row r="55" spans="1:15" ht="15" customHeight="1" thickBot="1">
      <c r="A55" s="194"/>
      <c r="B55" s="194"/>
      <c r="C55" s="194"/>
      <c r="D55" s="194" t="s">
        <v>2408</v>
      </c>
      <c r="E55" s="194"/>
      <c r="F55" s="194"/>
      <c r="G55" s="194"/>
      <c r="H55" s="194"/>
      <c r="I55" s="194"/>
      <c r="J55" s="302">
        <f t="shared" ref="J55" si="5">IF(L55="",K55,L55)</f>
        <v>1.1111111111111112</v>
      </c>
      <c r="K55" s="322">
        <f>1/0.9</f>
        <v>1.1111111111111112</v>
      </c>
      <c r="L55" s="296"/>
      <c r="M55" s="194"/>
      <c r="O55" s="598"/>
    </row>
    <row r="56" spans="1:15" s="66" customFormat="1" ht="15" customHeight="1" thickBot="1">
      <c r="A56" s="55"/>
      <c r="B56" s="55"/>
      <c r="C56" s="194"/>
      <c r="D56" s="194" t="s">
        <v>2490</v>
      </c>
      <c r="E56" s="194"/>
      <c r="F56" s="194"/>
      <c r="G56" s="194"/>
      <c r="H56" s="194"/>
      <c r="I56" s="194"/>
      <c r="J56" s="302" t="e">
        <f>J54*J55</f>
        <v>#N/A</v>
      </c>
      <c r="K56" s="322"/>
      <c r="L56" s="323"/>
      <c r="M56" s="194"/>
      <c r="O56" s="598"/>
    </row>
    <row r="57" spans="1:15" ht="15" customHeight="1" thickBot="1">
      <c r="A57" s="172"/>
      <c r="B57" s="172"/>
      <c r="C57" s="172"/>
      <c r="D57" s="172" t="s">
        <v>1246</v>
      </c>
      <c r="E57" s="172" t="s">
        <v>1260</v>
      </c>
      <c r="F57" s="172"/>
      <c r="G57" s="317"/>
      <c r="H57" s="317"/>
      <c r="I57" s="317"/>
      <c r="J57" s="209"/>
      <c r="K57" s="172"/>
      <c r="L57" s="172"/>
      <c r="M57" s="293"/>
      <c r="O57" s="293"/>
    </row>
    <row r="58" spans="1:15" ht="15" customHeight="1" thickBot="1">
      <c r="A58" s="194"/>
      <c r="B58" s="194"/>
      <c r="C58" s="194" t="s">
        <v>1564</v>
      </c>
      <c r="D58" s="194" t="s">
        <v>1254</v>
      </c>
      <c r="E58" s="194"/>
      <c r="F58" s="194"/>
      <c r="G58" s="333">
        <f>IF(I58="",H58,I58)</f>
        <v>1</v>
      </c>
      <c r="H58" s="334">
        <v>1</v>
      </c>
      <c r="I58" s="309"/>
      <c r="J58" s="319" t="str">
        <f>IF(L58="Bitte auswählen",K58,L58)</f>
        <v>keine Kühlung vorgesehen</v>
      </c>
      <c r="K58" s="320" t="str">
        <f>IF('Allgemeine Angaben'!G5="Bürogebäude",'Hilfsblatt Energie'!B49,'Hilfsblatt Energie'!B51)</f>
        <v>keine Kühlung vorgesehen</v>
      </c>
      <c r="L58" s="420" t="s">
        <v>2071</v>
      </c>
      <c r="M58" s="55"/>
      <c r="O58" s="598"/>
    </row>
    <row r="59" spans="1:15" ht="15" customHeight="1" thickBot="1">
      <c r="A59" s="194"/>
      <c r="B59" s="194"/>
      <c r="C59" s="194" t="s">
        <v>1565</v>
      </c>
      <c r="D59" s="194" t="s">
        <v>1258</v>
      </c>
      <c r="E59" s="194"/>
      <c r="F59" s="194"/>
      <c r="G59" s="333">
        <f>IF(I59="",H59,I59)</f>
        <v>0</v>
      </c>
      <c r="H59" s="334">
        <f>IF(I58="",1-(H58),1-I58)</f>
        <v>0</v>
      </c>
      <c r="I59" s="309"/>
      <c r="J59" s="319" t="str">
        <f t="shared" ref="J59:J60" si="6">IF(L59="",K59,L59)</f>
        <v>keine Angabe</v>
      </c>
      <c r="K59" s="320" t="s">
        <v>1870</v>
      </c>
      <c r="L59" s="326"/>
      <c r="M59" s="55"/>
      <c r="O59" s="598"/>
    </row>
    <row r="60" spans="1:15" ht="15" customHeight="1" thickBot="1">
      <c r="A60" s="194"/>
      <c r="B60" s="194"/>
      <c r="C60" s="194" t="s">
        <v>1566</v>
      </c>
      <c r="D60" s="194" t="s">
        <v>1259</v>
      </c>
      <c r="E60" s="194"/>
      <c r="F60" s="194"/>
      <c r="G60" s="333">
        <f>1-(G58+G59)</f>
        <v>0</v>
      </c>
      <c r="H60" s="89"/>
      <c r="I60" s="89"/>
      <c r="J60" s="319" t="str">
        <f t="shared" si="6"/>
        <v>keine Angabe</v>
      </c>
      <c r="K60" s="320" t="s">
        <v>1870</v>
      </c>
      <c r="L60" s="326"/>
      <c r="M60" s="55"/>
      <c r="O60" s="598"/>
    </row>
    <row r="61" spans="1:15" s="66" customFormat="1" ht="15" customHeight="1" thickBot="1">
      <c r="A61" s="293"/>
      <c r="B61" s="293"/>
      <c r="C61" s="172"/>
      <c r="D61" s="172" t="s">
        <v>2311</v>
      </c>
      <c r="E61" s="172"/>
      <c r="F61" s="172"/>
      <c r="G61" s="172"/>
      <c r="H61" s="172"/>
      <c r="I61" s="172"/>
      <c r="J61" s="172"/>
      <c r="K61" s="172"/>
      <c r="L61" s="172"/>
      <c r="M61" s="172"/>
      <c r="O61" s="172"/>
    </row>
    <row r="62" spans="1:15" ht="15" customHeight="1" thickBot="1">
      <c r="A62" s="55">
        <v>920</v>
      </c>
      <c r="B62" s="55"/>
      <c r="C62" s="194"/>
      <c r="D62" s="194" t="s">
        <v>2073</v>
      </c>
      <c r="E62" s="194"/>
      <c r="F62" s="194"/>
      <c r="G62" s="89"/>
      <c r="H62" s="89"/>
      <c r="I62" s="89"/>
      <c r="J62" s="328" t="e">
        <f>J56*(G58*VLOOKUP(J58,Energietraeger,4,0)+G59*VLOOKUP(J59,Energietraeger,4,0)+G60*VLOOKUP(J60,Energietraeger,4,0))</f>
        <v>#N/A</v>
      </c>
      <c r="K62" s="254"/>
      <c r="L62" s="55"/>
      <c r="M62" s="194" t="s">
        <v>1638</v>
      </c>
      <c r="O62" s="598"/>
    </row>
    <row r="63" spans="1:15" ht="15" customHeight="1" thickBot="1">
      <c r="A63" s="55"/>
      <c r="B63" s="55"/>
      <c r="C63" s="194" t="s">
        <v>2075</v>
      </c>
      <c r="D63" s="194" t="s">
        <v>2010</v>
      </c>
      <c r="E63" s="194"/>
      <c r="F63" s="194"/>
      <c r="G63" s="89"/>
      <c r="H63" s="89"/>
      <c r="I63" s="89"/>
      <c r="J63" s="328" t="e">
        <f>J62*G60*(VLOOKUP(J60,Energietraeger,6,0)+J62*G59*(VLOOKUP(J59,Energietraeger,6,0)+J62*G58*(VLOOKUP(J58,Energietraeger,6,0))))</f>
        <v>#N/A</v>
      </c>
      <c r="K63" s="254"/>
      <c r="L63" s="55"/>
      <c r="M63" s="194" t="s">
        <v>1638</v>
      </c>
      <c r="O63" s="598"/>
    </row>
    <row r="64" spans="1:15" ht="15" customHeight="1" thickBot="1">
      <c r="A64" s="55"/>
      <c r="B64" s="55"/>
      <c r="C64" s="194"/>
      <c r="D64" s="194" t="s">
        <v>2487</v>
      </c>
      <c r="E64" s="194" t="s">
        <v>2488</v>
      </c>
      <c r="F64" s="194"/>
      <c r="G64" s="89"/>
      <c r="H64" s="89"/>
      <c r="I64" s="89"/>
      <c r="J64" s="324">
        <f>IF(L64="",K64,L64)</f>
        <v>0</v>
      </c>
      <c r="K64" s="338">
        <v>0</v>
      </c>
      <c r="L64" s="339"/>
      <c r="M64" s="194" t="s">
        <v>98</v>
      </c>
      <c r="O64" s="598"/>
    </row>
    <row r="65" spans="1:15" ht="15" customHeight="1" thickBot="1">
      <c r="A65" s="55"/>
      <c r="B65" s="55"/>
      <c r="C65" s="194"/>
      <c r="D65" s="194" t="s">
        <v>2404</v>
      </c>
      <c r="E65" s="194"/>
      <c r="F65" s="194"/>
      <c r="G65" s="89"/>
      <c r="H65" s="89"/>
      <c r="I65" s="89"/>
      <c r="J65" s="328" t="e">
        <f>J62*(100%-J64)</f>
        <v>#N/A</v>
      </c>
      <c r="K65" s="254"/>
      <c r="L65" s="55"/>
      <c r="M65" s="194"/>
      <c r="O65" s="598"/>
    </row>
    <row r="66" spans="1:15" ht="15" customHeight="1" thickBot="1">
      <c r="A66" s="55"/>
      <c r="B66" s="55"/>
      <c r="C66" s="194" t="s">
        <v>1540</v>
      </c>
      <c r="D66" s="194" t="s">
        <v>2074</v>
      </c>
      <c r="E66" s="194"/>
      <c r="F66" s="194"/>
      <c r="G66" s="89"/>
      <c r="H66" s="89"/>
      <c r="I66" s="89"/>
      <c r="J66" s="328" t="e">
        <f>J65-J63</f>
        <v>#N/A</v>
      </c>
      <c r="K66" s="254"/>
      <c r="L66" s="55"/>
      <c r="M66" s="194" t="s">
        <v>1638</v>
      </c>
      <c r="O66" s="598"/>
    </row>
    <row r="67" spans="1:15" ht="15" customHeight="1" thickTop="1" thickBot="1">
      <c r="A67" s="293"/>
      <c r="B67" s="293"/>
      <c r="C67" s="172"/>
      <c r="D67" s="172" t="s">
        <v>2271</v>
      </c>
      <c r="E67" s="172"/>
      <c r="F67" s="172"/>
      <c r="G67" s="317"/>
      <c r="H67" s="317"/>
      <c r="I67" s="317"/>
      <c r="J67" s="618" t="s">
        <v>2687</v>
      </c>
      <c r="K67" s="618"/>
      <c r="L67" s="618"/>
      <c r="M67" s="618"/>
    </row>
    <row r="68" spans="1:15" ht="15" customHeight="1" thickTop="1" thickBot="1">
      <c r="A68" s="55"/>
      <c r="B68" s="55"/>
      <c r="C68" s="194" t="s">
        <v>1623</v>
      </c>
      <c r="D68" s="194" t="s">
        <v>1625</v>
      </c>
      <c r="E68" s="194"/>
      <c r="F68" s="194" t="s">
        <v>1635</v>
      </c>
      <c r="G68" s="194"/>
      <c r="H68" s="194"/>
      <c r="I68" s="194"/>
      <c r="J68" s="329">
        <f>(G59*VLOOKUP(J59,Energietraeger,11,0)+G58*VLOOKUP(J58,Energietraeger,11,0)+G60*VLOOKUP(J60,Energietraeger,11,0))</f>
        <v>0</v>
      </c>
      <c r="K68" s="55"/>
      <c r="L68" s="330"/>
      <c r="M68" s="194" t="s">
        <v>487</v>
      </c>
      <c r="O68" s="598"/>
    </row>
    <row r="69" spans="1:15" ht="15" customHeight="1" thickBot="1">
      <c r="A69" s="194"/>
      <c r="B69" s="194"/>
      <c r="C69" s="194" t="s">
        <v>1883</v>
      </c>
      <c r="D69" s="194" t="s">
        <v>1832</v>
      </c>
      <c r="E69" s="194"/>
      <c r="F69" s="194"/>
      <c r="G69" s="89"/>
      <c r="H69" s="89"/>
      <c r="I69" s="89"/>
      <c r="J69" s="328">
        <f>(G58*VLOOKUP(J58,Ökodaten_Energie,5,0)+G59*VLOOKUP(J59,Ökodaten_Energie,5,0)+G60*VLOOKUP(J60,Ökodaten_Energie,5,0))</f>
        <v>0</v>
      </c>
      <c r="K69" s="194"/>
      <c r="L69" s="194"/>
      <c r="M69" s="194" t="s">
        <v>1871</v>
      </c>
      <c r="O69" s="598"/>
    </row>
    <row r="70" spans="1:15" ht="15" customHeight="1" thickBot="1">
      <c r="A70" s="194"/>
      <c r="B70" s="194"/>
      <c r="C70" s="194" t="s">
        <v>1884</v>
      </c>
      <c r="D70" s="194" t="s">
        <v>1833</v>
      </c>
      <c r="E70" s="194"/>
      <c r="F70" s="194"/>
      <c r="G70" s="89"/>
      <c r="H70" s="89"/>
      <c r="I70" s="89"/>
      <c r="J70" s="328">
        <f>(G58*VLOOKUP(J58,Ökodaten_Energie,7,0)+G59*VLOOKUP(J59,Ökodaten_Energie,7,0)+G60*VLOOKUP(J60,Ökodaten_Energie,7,0))</f>
        <v>0</v>
      </c>
      <c r="K70" s="194"/>
      <c r="L70" s="194"/>
      <c r="M70" s="194" t="s">
        <v>1872</v>
      </c>
      <c r="O70" s="598"/>
    </row>
    <row r="71" spans="1:15" s="193" customFormat="1" ht="15" customHeight="1"/>
    <row r="72" spans="1:15" ht="15" customHeight="1" thickBot="1">
      <c r="A72" s="208"/>
      <c r="B72" s="208"/>
      <c r="C72" s="208"/>
      <c r="D72" s="208" t="s">
        <v>1834</v>
      </c>
      <c r="E72" s="208"/>
      <c r="F72" s="208"/>
      <c r="G72" s="208"/>
      <c r="H72" s="208"/>
      <c r="I72" s="208"/>
      <c r="J72" s="209"/>
      <c r="K72" s="209"/>
      <c r="L72" s="209"/>
      <c r="M72" s="209"/>
      <c r="O72" s="209"/>
    </row>
    <row r="73" spans="1:15" s="337" customFormat="1" ht="15" customHeight="1" thickBot="1">
      <c r="A73" s="91"/>
      <c r="B73" s="91"/>
      <c r="C73" s="91"/>
      <c r="D73" s="91" t="s">
        <v>1265</v>
      </c>
      <c r="E73" s="91"/>
      <c r="F73" s="91"/>
      <c r="G73" s="92"/>
      <c r="H73" s="92"/>
      <c r="I73" s="92"/>
      <c r="J73" s="319" t="str">
        <f>IF(L73="Bitte auswählen",K73,L73)</f>
        <v>Fensterlüftung</v>
      </c>
      <c r="K73" s="320" t="str">
        <f>IF('Allgemeine Angaben'!G19="sehr niedrig",'Hilfsblatt Energie'!G3,IF('Allgemeine Angaben'!G5="Bürogebäude",'Hilfsblatt Energie'!G3,'Hilfsblatt Energie'!G5))</f>
        <v>Fensterlüftung</v>
      </c>
      <c r="L73" s="321" t="s">
        <v>2071</v>
      </c>
      <c r="M73" s="194"/>
      <c r="O73" s="598"/>
    </row>
    <row r="74" spans="1:15" ht="15" customHeight="1" thickBot="1">
      <c r="A74" s="172"/>
      <c r="B74" s="172"/>
      <c r="C74" s="172"/>
      <c r="D74" s="172" t="s">
        <v>1261</v>
      </c>
      <c r="E74" s="172"/>
      <c r="F74" s="172"/>
      <c r="G74" s="172"/>
      <c r="H74" s="172"/>
      <c r="I74" s="172"/>
      <c r="J74" s="172"/>
      <c r="K74" s="172"/>
      <c r="L74" s="172"/>
      <c r="M74" s="293"/>
      <c r="O74" s="293"/>
    </row>
    <row r="75" spans="1:15" ht="15" customHeight="1" thickBot="1">
      <c r="A75" s="68"/>
      <c r="B75" s="68"/>
      <c r="C75" s="68"/>
      <c r="D75" s="194" t="s">
        <v>1865</v>
      </c>
      <c r="E75" s="68"/>
      <c r="F75" s="68"/>
      <c r="G75" s="68"/>
      <c r="H75" s="68"/>
      <c r="I75" s="68"/>
      <c r="J75" s="319" t="str">
        <f>IF(L75="Bitte auswählen",K75,L75)</f>
        <v/>
      </c>
      <c r="K75" s="320" t="str">
        <f>VLOOKUP("ENBEDARF",Allgemeine_Angaben,5,0)</f>
        <v/>
      </c>
      <c r="L75" s="321" t="s">
        <v>2071</v>
      </c>
      <c r="M75" s="194"/>
      <c r="O75" s="598"/>
    </row>
    <row r="76" spans="1:15" ht="15" customHeight="1" thickBot="1">
      <c r="A76" s="55">
        <v>810</v>
      </c>
      <c r="B76" s="55"/>
      <c r="C76" s="194" t="s">
        <v>490</v>
      </c>
      <c r="D76" s="194" t="s">
        <v>1271</v>
      </c>
      <c r="E76" s="194"/>
      <c r="F76" s="194"/>
      <c r="G76" s="194"/>
      <c r="H76" s="194"/>
      <c r="I76" s="194"/>
      <c r="J76" s="291" t="e">
        <f t="shared" ref="J76:J80" si="7">IF(L76="",K76,L76)</f>
        <v>#N/A</v>
      </c>
      <c r="K76" s="322" t="e">
        <f>INDEX('Hilfsblatt Energie'!B80:E82,MATCH('Allgemeine Angaben'!$G$5,'Hilfsblatt Energie'!A80:A82,0),MATCH(Energie!$J$75,'Hilfsblatt Energie'!$B$58:$E$58,0))</f>
        <v>#N/A</v>
      </c>
      <c r="L76" s="326"/>
      <c r="M76" s="194" t="s">
        <v>1637</v>
      </c>
      <c r="O76" s="598"/>
    </row>
    <row r="77" spans="1:15" ht="15" customHeight="1" thickBot="1">
      <c r="A77" s="55">
        <v>820</v>
      </c>
      <c r="B77" s="55"/>
      <c r="C77" s="194" t="s">
        <v>1550</v>
      </c>
      <c r="D77" s="194" t="s">
        <v>1272</v>
      </c>
      <c r="E77" s="194"/>
      <c r="F77" s="194"/>
      <c r="G77" s="194"/>
      <c r="H77" s="194"/>
      <c r="I77" s="194"/>
      <c r="J77" s="291">
        <f t="shared" si="7"/>
        <v>0</v>
      </c>
      <c r="K77" s="322">
        <f>IF(VLOOKUP("AUFZSTA",Objektkenndaten,5,0)=0,0,INDEX('Hilfsblatt Energie'!B84:E86,MATCH('Allgemeine Angaben'!$G$5,'Hilfsblatt Energie'!A84:A86,0),MATCH(Energie!$J$75,'Hilfsblatt Energie'!$B$58:$E$58,0)))</f>
        <v>0</v>
      </c>
      <c r="L77" s="326"/>
      <c r="M77" s="194" t="s">
        <v>1637</v>
      </c>
      <c r="O77" s="598"/>
    </row>
    <row r="78" spans="1:15" ht="15" customHeight="1" thickBot="1">
      <c r="A78" s="55">
        <v>830</v>
      </c>
      <c r="B78" s="55"/>
      <c r="C78" s="194" t="s">
        <v>1551</v>
      </c>
      <c r="D78" s="194" t="s">
        <v>1866</v>
      </c>
      <c r="E78" s="194"/>
      <c r="F78" s="194"/>
      <c r="G78" s="194"/>
      <c r="H78" s="194"/>
      <c r="I78" s="194"/>
      <c r="J78" s="291" t="e">
        <f t="shared" si="7"/>
        <v>#N/A</v>
      </c>
      <c r="K78" s="322" t="e">
        <f>INDEX('Hilfsblatt Energie'!B88:E90,MATCH('Allgemeine Angaben'!$G$5,'Hilfsblatt Energie'!A88:A90,0),MATCH(Energie!$J$75,'Hilfsblatt Energie'!$B$58:$E$58,0))</f>
        <v>#N/A</v>
      </c>
      <c r="L78" s="326"/>
      <c r="M78" s="194" t="s">
        <v>1637</v>
      </c>
      <c r="O78" s="598"/>
    </row>
    <row r="79" spans="1:15" ht="15" customHeight="1" thickBot="1">
      <c r="A79" s="55">
        <v>840</v>
      </c>
      <c r="B79" s="55"/>
      <c r="C79" s="194" t="s">
        <v>1552</v>
      </c>
      <c r="D79" s="194" t="s">
        <v>1273</v>
      </c>
      <c r="E79" s="194"/>
      <c r="F79" s="194"/>
      <c r="G79" s="194"/>
      <c r="H79" s="194"/>
      <c r="I79" s="194"/>
      <c r="J79" s="291" t="e">
        <f t="shared" si="7"/>
        <v>#N/A</v>
      </c>
      <c r="K79" s="322" t="e">
        <f>INDEX('Hilfsblatt Energie'!B92:E94,MATCH('Allgemeine Angaben'!$G$5,'Hilfsblatt Energie'!A92:A94,0),MATCH(Energie!$J$75,'Hilfsblatt Energie'!$B$58:$E$58,0))</f>
        <v>#N/A</v>
      </c>
      <c r="L79" s="326"/>
      <c r="M79" s="194" t="s">
        <v>1637</v>
      </c>
      <c r="O79" s="598"/>
    </row>
    <row r="80" spans="1:15" s="66" customFormat="1" ht="15" customHeight="1" thickBot="1">
      <c r="A80" s="55">
        <v>850</v>
      </c>
      <c r="B80" s="55"/>
      <c r="C80" s="194" t="s">
        <v>1546</v>
      </c>
      <c r="D80" s="194" t="s">
        <v>1274</v>
      </c>
      <c r="E80" s="194"/>
      <c r="F80" s="194"/>
      <c r="G80" s="194"/>
      <c r="H80" s="194"/>
      <c r="I80" s="194"/>
      <c r="J80" s="291" t="e">
        <f t="shared" si="7"/>
        <v>#N/A</v>
      </c>
      <c r="K80" s="322" t="e">
        <f>INDEX('Hilfsblatt Energie'!B96:E98,MATCH('Allgemeine Angaben'!$G$5,'Hilfsblatt Energie'!A96:A98,0),MATCH(Energie!$J$75,'Hilfsblatt Energie'!$B$58:$E$58,0))</f>
        <v>#N/A</v>
      </c>
      <c r="L80" s="326"/>
      <c r="M80" s="194" t="s">
        <v>1637</v>
      </c>
      <c r="O80" s="598"/>
    </row>
    <row r="81" spans="1:15" ht="15" customHeight="1" thickBot="1">
      <c r="A81" s="55"/>
      <c r="B81" s="55"/>
      <c r="C81" s="194" t="s">
        <v>1553</v>
      </c>
      <c r="D81" s="194" t="s">
        <v>2064</v>
      </c>
      <c r="E81" s="194"/>
      <c r="F81" s="194"/>
      <c r="G81" s="194"/>
      <c r="H81" s="194"/>
      <c r="I81" s="194"/>
      <c r="J81" s="291">
        <f>IF(L81="",K81,L81)</f>
        <v>0</v>
      </c>
      <c r="K81" s="322">
        <f>IF(J73="Fensterlüftung",0,IF(J73="Abluftanlage (bedarfsorientiert)",INDEX('Hilfsblatt Energie'!B60:E62,MATCH('Allgemeine Angaben'!$G$5,'Hilfsblatt Energie'!A60:A62,0),MATCH(Energie!$J$75,'Hilfsblatt Energie'!$B$58:$E$58,0)),INDEX('Hilfsblatt Energie'!B64:E66,MATCH('Allgemeine Angaben'!$G$5,'Hilfsblatt Energie'!A64:A66,0),MATCH(Energie!$J$75,'Hilfsblatt Energie'!$B$58:$E$58,0))))</f>
        <v>0</v>
      </c>
      <c r="L81" s="326"/>
      <c r="M81" s="194" t="s">
        <v>1643</v>
      </c>
      <c r="O81" s="598"/>
    </row>
    <row r="82" spans="1:15" ht="15" customHeight="1" thickBot="1">
      <c r="A82" s="55"/>
      <c r="B82" s="55"/>
      <c r="C82" s="194" t="s">
        <v>2004</v>
      </c>
      <c r="D82" s="194" t="s">
        <v>1867</v>
      </c>
      <c r="E82" s="194"/>
      <c r="F82" s="194"/>
      <c r="G82" s="194"/>
      <c r="H82" s="194"/>
      <c r="I82" s="194"/>
      <c r="J82" s="291">
        <f t="shared" ref="J82:J84" si="8">IF(L82="",K82,L82)</f>
        <v>0</v>
      </c>
      <c r="K82" s="322">
        <f>IF(VLOOKUP("BEFEUCHT",Allgemeine_Angaben,5,0)="nein",0,INDEX('Hilfsblatt Energie'!B100:E102,MATCH('Allgemeine Angaben'!$G$5,'Hilfsblatt Energie'!A100:A102,0),MATCH(Energie!$J$75,'Hilfsblatt Energie'!$B$58:$E$58,0)))</f>
        <v>0</v>
      </c>
      <c r="L82" s="326"/>
      <c r="M82" s="194" t="s">
        <v>1643</v>
      </c>
      <c r="O82" s="598"/>
    </row>
    <row r="83" spans="1:15" ht="15" customHeight="1" thickBot="1">
      <c r="A83" s="55"/>
      <c r="B83" s="55"/>
      <c r="C83" s="194" t="s">
        <v>2005</v>
      </c>
      <c r="D83" s="194" t="s">
        <v>1868</v>
      </c>
      <c r="E83" s="194"/>
      <c r="F83" s="194"/>
      <c r="G83" s="194"/>
      <c r="H83" s="194"/>
      <c r="I83" s="194"/>
      <c r="J83" s="291">
        <f t="shared" si="8"/>
        <v>0</v>
      </c>
      <c r="K83" s="322">
        <f>IF(VLOOKUP("ENTFEUCHT",Allgemeine_Angaben,5,0)="nein",0,INDEX('Hilfsblatt Energie'!B104:E106,MATCH('Allgemeine Angaben'!$G$5,'Hilfsblatt Energie'!A104:A106,0),MATCH(Energie!$J$75,'Hilfsblatt Energie'!$B$58:$E$58,0)))</f>
        <v>0</v>
      </c>
      <c r="L83" s="326"/>
      <c r="M83" s="194" t="s">
        <v>1643</v>
      </c>
      <c r="O83" s="598"/>
    </row>
    <row r="84" spans="1:15" ht="15" customHeight="1" thickBot="1">
      <c r="A84" s="68"/>
      <c r="B84" s="68"/>
      <c r="C84" s="194" t="s">
        <v>2362</v>
      </c>
      <c r="D84" s="194" t="s">
        <v>1533</v>
      </c>
      <c r="E84" s="194" t="s">
        <v>2175</v>
      </c>
      <c r="F84" s="194"/>
      <c r="G84" s="68"/>
      <c r="H84" s="68"/>
      <c r="I84" s="68"/>
      <c r="J84" s="291" t="e">
        <f t="shared" si="8"/>
        <v>#N/A</v>
      </c>
      <c r="K84" s="322" t="e">
        <f>(VLOOKUP("PVDACH",Objektkenndaten,5,0)+VLOOKUP("PVFASS",Objektkenndaten,5,0))*VLOOKUP(VLOOKUP("ENPRODPV",Allgemeine_Angaben,5,0),EnergieproduktionkWh,3,0)</f>
        <v>#N/A</v>
      </c>
      <c r="L84" s="326"/>
      <c r="M84" s="194" t="s">
        <v>2097</v>
      </c>
      <c r="O84" s="598"/>
    </row>
    <row r="85" spans="1:15" ht="15" customHeight="1" thickBot="1">
      <c r="A85" s="68"/>
      <c r="B85" s="68"/>
      <c r="C85" s="194" t="s">
        <v>2069</v>
      </c>
      <c r="D85" s="194" t="s">
        <v>2312</v>
      </c>
      <c r="E85" s="194"/>
      <c r="F85" s="68"/>
      <c r="G85" s="68"/>
      <c r="H85" s="68"/>
      <c r="I85" s="68"/>
      <c r="J85" s="426" t="e">
        <f>VLOOKUP("HILFHEIZ",Energie,8,0)*VLOOKUP("BGFbeheizt",Objektkenndaten,5,0)+VLOOKUP("HILFWW",Energie,8,0)*VLOOKUP("BGFbeheizt",Objektkenndaten,5,0)+VLOOKUP("HILFKÜHL",Energie,8,0)*VLOOKUP("BGFgekühlt",Objektkenndaten,5,0)+SUM(J76:J80)*VLOOKUP("BGFbeheizt",Objektkenndaten,5,0)+SUM(J81:J83)*VLOOKUP("BGFbelüftet",Objektkenndaten,5,0)</f>
        <v>#N/A</v>
      </c>
      <c r="K85" s="55"/>
      <c r="L85" s="55"/>
      <c r="M85" s="194" t="s">
        <v>2097</v>
      </c>
      <c r="O85" s="598"/>
    </row>
    <row r="86" spans="1:15" ht="15" customHeight="1" thickBot="1">
      <c r="A86" s="68"/>
      <c r="B86" s="68"/>
      <c r="C86" s="194" t="s">
        <v>2368</v>
      </c>
      <c r="D86" s="194" t="s">
        <v>2313</v>
      </c>
      <c r="E86" s="194"/>
      <c r="F86" s="68"/>
      <c r="G86" s="68"/>
      <c r="H86" s="68"/>
      <c r="I86" s="68"/>
      <c r="J86" s="426" t="e">
        <f>VLOOKUP("HILFHEIZ",Energie,8,0)*VLOOKUP("BGFbeheizt",Objektkenndaten,5,0)+VLOOKUP("HILFWW",Energie,8,0)*VLOOKUP("BGFbeheizt",Objektkenndaten,5,0)+VLOOKUP("HILFKÜHL",Energie,8,0)*VLOOKUP("BGFgekühlt",Objektkenndaten,5,0)+SUM(J76:J77,J79)*VLOOKUP("BGFbeheizt",Objektkenndaten,5,0)+SUM(J81:J83)*VLOOKUP("BGFbelüftet",Objektkenndaten,5,0)</f>
        <v>#N/A</v>
      </c>
      <c r="K86" s="55"/>
      <c r="L86" s="55"/>
      <c r="M86" s="194"/>
      <c r="O86" s="598"/>
    </row>
    <row r="87" spans="1:15" ht="15" customHeight="1" thickBot="1">
      <c r="A87" s="68"/>
      <c r="B87" s="68"/>
      <c r="C87" s="194" t="s">
        <v>2363</v>
      </c>
      <c r="D87" s="194" t="s">
        <v>2149</v>
      </c>
      <c r="E87" s="194"/>
      <c r="F87" s="68"/>
      <c r="G87" s="68"/>
      <c r="H87" s="68"/>
      <c r="I87" s="68"/>
      <c r="J87" s="324">
        <f t="shared" ref="J87" si="9">IF(L87="",K87,L87)</f>
        <v>0.3</v>
      </c>
      <c r="K87" s="340">
        <v>0.3</v>
      </c>
      <c r="L87" s="339"/>
      <c r="M87" s="194" t="s">
        <v>98</v>
      </c>
      <c r="O87" s="598"/>
    </row>
    <row r="88" spans="1:15" ht="15" customHeight="1" thickBot="1">
      <c r="A88" s="68"/>
      <c r="B88" s="68"/>
      <c r="C88" s="194" t="s">
        <v>2364</v>
      </c>
      <c r="D88" s="194" t="s">
        <v>2365</v>
      </c>
      <c r="E88" s="194"/>
      <c r="F88" s="194" t="s">
        <v>2370</v>
      </c>
      <c r="G88" s="68"/>
      <c r="H88" s="68"/>
      <c r="I88" s="68"/>
      <c r="J88" s="174" t="e">
        <f>VLOOKUP("PVGEWINN",Energie,8,0)*(1-VLOOKUP("PVDIREKT",Energie,8,0))</f>
        <v>#N/A</v>
      </c>
      <c r="K88" s="194"/>
      <c r="L88" s="194"/>
      <c r="M88" s="194" t="s">
        <v>2097</v>
      </c>
      <c r="O88" s="598"/>
    </row>
    <row r="89" spans="1:15" ht="15" customHeight="1" thickBot="1">
      <c r="A89" s="68"/>
      <c r="B89" s="68"/>
      <c r="C89" s="194"/>
      <c r="D89" s="194" t="s">
        <v>2314</v>
      </c>
      <c r="E89" s="194" t="s">
        <v>2366</v>
      </c>
      <c r="F89" s="194" t="s">
        <v>2367</v>
      </c>
      <c r="G89" s="68"/>
      <c r="H89" s="68"/>
      <c r="I89" s="68"/>
      <c r="J89" s="173" t="e">
        <f>VLOOKUP("PVGEWINN",Energie,8,0)*VLOOKUP("PVDIREKT",Energie,8,0)/VLOOKUP("EIGENkWh",Energie,8,0)</f>
        <v>#N/A</v>
      </c>
      <c r="K89" s="55"/>
      <c r="L89" s="55"/>
      <c r="M89" s="194" t="s">
        <v>98</v>
      </c>
      <c r="O89" s="598"/>
    </row>
    <row r="90" spans="1:15" ht="15" customHeight="1" thickBot="1">
      <c r="A90" s="68"/>
      <c r="B90" s="68"/>
      <c r="C90" s="194"/>
      <c r="D90" s="194" t="s">
        <v>2315</v>
      </c>
      <c r="E90" s="194"/>
      <c r="F90" s="194" t="s">
        <v>2369</v>
      </c>
      <c r="G90" s="68"/>
      <c r="H90" s="68"/>
      <c r="I90" s="68"/>
      <c r="J90" s="173" t="e">
        <f>VLOOKUP("PVGEWINN",Energie,8,0)*VLOOKUP("PVDIREKT",Energie,8,0)/VLOOKUP("EIGENkWhex",Energie,8,0)</f>
        <v>#N/A</v>
      </c>
      <c r="K90" s="55"/>
      <c r="L90" s="55"/>
      <c r="M90" s="194" t="s">
        <v>98</v>
      </c>
      <c r="O90" s="598"/>
    </row>
    <row r="91" spans="1:15" ht="15" customHeight="1" thickBot="1">
      <c r="A91" s="172"/>
      <c r="B91" s="172"/>
      <c r="C91" s="172"/>
      <c r="D91" s="172" t="s">
        <v>1243</v>
      </c>
      <c r="E91" s="172" t="s">
        <v>1260</v>
      </c>
      <c r="F91" s="172"/>
      <c r="G91" s="317"/>
      <c r="H91" s="317"/>
      <c r="I91" s="172"/>
      <c r="J91" s="209"/>
      <c r="K91" s="172"/>
      <c r="L91" s="293"/>
      <c r="M91" s="293"/>
      <c r="O91" s="293"/>
    </row>
    <row r="92" spans="1:15" ht="15" customHeight="1" thickBot="1">
      <c r="A92" s="194"/>
      <c r="B92" s="194"/>
      <c r="C92" s="194" t="s">
        <v>1554</v>
      </c>
      <c r="D92" s="194" t="s">
        <v>1254</v>
      </c>
      <c r="E92" s="194"/>
      <c r="F92" s="194"/>
      <c r="G92" s="333" t="e">
        <f>IF(I92="",H92,I92)</f>
        <v>#N/A</v>
      </c>
      <c r="H92" s="334" t="e">
        <f>IF(J89&gt;0,MIN(J89,1),100%)</f>
        <v>#N/A</v>
      </c>
      <c r="I92" s="309"/>
      <c r="J92" s="77" t="e">
        <f>IF(L92="Bitte auswählen",K92,L92)</f>
        <v>#N/A</v>
      </c>
      <c r="K92" s="320" t="e">
        <f>IF(J89&gt;0,'Hilfsblatt Energie'!B9,'Hilfsblatt Energie'!B11)</f>
        <v>#N/A</v>
      </c>
      <c r="L92" s="420" t="s">
        <v>2071</v>
      </c>
      <c r="M92" s="194"/>
      <c r="O92" s="598"/>
    </row>
    <row r="93" spans="1:15" ht="15" customHeight="1" thickBot="1">
      <c r="A93" s="194"/>
      <c r="B93" s="194"/>
      <c r="C93" s="194" t="s">
        <v>1555</v>
      </c>
      <c r="D93" s="194" t="s">
        <v>1258</v>
      </c>
      <c r="E93" s="194"/>
      <c r="F93" s="194"/>
      <c r="G93" s="333" t="e">
        <f>IF(I93="",H93,I93)</f>
        <v>#N/A</v>
      </c>
      <c r="H93" s="334" t="e">
        <f>IF(I92="",1-(H92),1-I92)</f>
        <v>#N/A</v>
      </c>
      <c r="I93" s="309"/>
      <c r="J93" s="77" t="e">
        <f t="shared" ref="J93:J94" si="10">IF(L93="",K93,L93)</f>
        <v>#N/A</v>
      </c>
      <c r="K93" s="320" t="e">
        <f>IF(G93&gt;0,'Hilfsblatt Energie'!B11,"keine Angabe")</f>
        <v>#N/A</v>
      </c>
      <c r="L93" s="326"/>
      <c r="M93" s="194"/>
      <c r="O93" s="598"/>
    </row>
    <row r="94" spans="1:15" ht="15" customHeight="1" thickBot="1">
      <c r="A94" s="194"/>
      <c r="B94" s="194"/>
      <c r="C94" s="194" t="s">
        <v>1556</v>
      </c>
      <c r="D94" s="194" t="s">
        <v>1259</v>
      </c>
      <c r="E94" s="194"/>
      <c r="F94" s="194"/>
      <c r="G94" s="333" t="e">
        <f>1-(G92+G93)</f>
        <v>#N/A</v>
      </c>
      <c r="H94" s="89"/>
      <c r="I94" s="89"/>
      <c r="J94" s="77" t="str">
        <f t="shared" si="10"/>
        <v>keine Angabe</v>
      </c>
      <c r="K94" s="320" t="s">
        <v>1870</v>
      </c>
      <c r="L94" s="326"/>
      <c r="M94" s="194"/>
      <c r="O94" s="598"/>
    </row>
    <row r="95" spans="1:15" ht="15" customHeight="1" thickTop="1" thickBot="1">
      <c r="A95" s="293"/>
      <c r="B95" s="293"/>
      <c r="C95" s="172"/>
      <c r="D95" s="172" t="s">
        <v>2272</v>
      </c>
      <c r="E95" s="172"/>
      <c r="F95" s="172"/>
      <c r="G95" s="317"/>
      <c r="H95" s="317"/>
      <c r="I95" s="317"/>
      <c r="J95" s="618" t="s">
        <v>2687</v>
      </c>
      <c r="K95" s="618"/>
      <c r="L95" s="618"/>
      <c r="M95" s="618"/>
    </row>
    <row r="96" spans="1:15" ht="15" customHeight="1" thickTop="1" thickBot="1">
      <c r="A96" s="55"/>
      <c r="B96" s="55"/>
      <c r="C96" s="194" t="s">
        <v>1633</v>
      </c>
      <c r="D96" s="194" t="s">
        <v>1632</v>
      </c>
      <c r="E96" s="194"/>
      <c r="F96" s="194" t="s">
        <v>1634</v>
      </c>
      <c r="G96" s="194"/>
      <c r="H96" s="194"/>
      <c r="I96" s="194"/>
      <c r="J96" s="329" t="e">
        <f>(G92*VLOOKUP(J92,Energietraeger,11,0)+G93*VLOOKUP(J93,Energietraeger,11,0)+G94*VLOOKUP(J94,Energietraeger,11,0))</f>
        <v>#N/A</v>
      </c>
      <c r="K96" s="55"/>
      <c r="L96" s="330"/>
      <c r="M96" s="194" t="s">
        <v>487</v>
      </c>
      <c r="O96" s="598"/>
    </row>
    <row r="97" spans="1:15" ht="15" customHeight="1" thickBot="1">
      <c r="A97" s="194"/>
      <c r="B97" s="194"/>
      <c r="C97" s="194" t="s">
        <v>1881</v>
      </c>
      <c r="D97" s="194" t="s">
        <v>1835</v>
      </c>
      <c r="E97" s="194"/>
      <c r="F97" s="194"/>
      <c r="G97" s="89"/>
      <c r="H97" s="89"/>
      <c r="I97" s="89"/>
      <c r="J97" s="328" t="e">
        <f>(G92*VLOOKUP(J92,Ökodaten_Energie,5,0)+G93*VLOOKUP(J93,Ökodaten_Energie,5,0)+G94*VLOOKUP(J94,Ökodaten_Energie,5,0))*3.6</f>
        <v>#N/A</v>
      </c>
      <c r="K97" s="194"/>
      <c r="L97" s="194"/>
      <c r="M97" s="194" t="s">
        <v>1871</v>
      </c>
      <c r="O97" s="598"/>
    </row>
    <row r="98" spans="1:15" ht="15" customHeight="1" thickBot="1">
      <c r="A98" s="194"/>
      <c r="B98" s="194"/>
      <c r="C98" s="194" t="s">
        <v>1882</v>
      </c>
      <c r="D98" s="194" t="s">
        <v>1836</v>
      </c>
      <c r="E98" s="194"/>
      <c r="F98" s="194"/>
      <c r="G98" s="89"/>
      <c r="H98" s="89"/>
      <c r="I98" s="89"/>
      <c r="J98" s="328" t="e">
        <f>(G93*VLOOKUP(J93,Ökodaten_Energie,7,0)+G94*VLOOKUP(J94,Ökodaten_Energie,7,0)+G92*VLOOKUP(J92,Ökodaten_Energie,7,0))*3.6</f>
        <v>#N/A</v>
      </c>
      <c r="K98" s="194"/>
      <c r="L98" s="194"/>
      <c r="M98" s="194" t="s">
        <v>1872</v>
      </c>
      <c r="O98" s="598"/>
    </row>
    <row r="102" spans="1:15" ht="15" customHeight="1">
      <c r="D102" s="341"/>
    </row>
  </sheetData>
  <sheetProtection password="FDAF" sheet="1" objects="1" scenarios="1" selectLockedCells="1"/>
  <dataConsolidate>
    <dataRefs count="1">
      <dataRef ref="B5:B9" sheet="Hilfsblatt Energie"/>
    </dataRefs>
  </dataConsolidate>
  <mergeCells count="4">
    <mergeCell ref="J95:M95"/>
    <mergeCell ref="J24:M24"/>
    <mergeCell ref="J46:M46"/>
    <mergeCell ref="J67:M67"/>
  </mergeCells>
  <dataValidations count="9">
    <dataValidation type="decimal" allowBlank="1" showInputMessage="1" showErrorMessage="1" sqref="I93 I16 I59 I38">
      <formula1>0.01</formula1>
      <formula2>1-I15</formula2>
    </dataValidation>
    <dataValidation type="decimal" allowBlank="1" showInputMessage="1" showErrorMessage="1" sqref="I73 I94:I95 I97:I98 I92 I14:I15 I69:I71 I26:I28 I48:I50 I46 I17 I57:I58 I3 I20:I24 I39 I33:I37 I30 I52:I53 I60 I62:I67">
      <formula1>0.01</formula1>
      <formula2>1</formula2>
    </dataValidation>
    <dataValidation type="list" allowBlank="1" showInputMessage="1" showErrorMessage="1" sqref="L73">
      <formula1>Lueftung</formula1>
    </dataValidation>
    <dataValidation type="list" allowBlank="1" showInputMessage="1" showErrorMessage="1" sqref="L75 L4 L31 L41 L53 L19">
      <formula1>Energieniveau</formula1>
    </dataValidation>
    <dataValidation type="list" allowBlank="1" showInputMessage="1" showErrorMessage="1" sqref="L92:L94">
      <formula1>Strom</formula1>
    </dataValidation>
    <dataValidation type="list" allowBlank="1" showInputMessage="1" showErrorMessage="1" sqref="L37:L39">
      <formula1>Warmwasser</formula1>
    </dataValidation>
    <dataValidation type="list" allowBlank="1" showInputMessage="1" showErrorMessage="1" sqref="L58:L60">
      <formula1>Kuehlung</formula1>
    </dataValidation>
    <dataValidation type="list" allowBlank="1" showInputMessage="1" showErrorMessage="1" sqref="L33">
      <formula1>Zirkulation</formula1>
    </dataValidation>
    <dataValidation type="list" allowBlank="1" showInputMessage="1" showErrorMessage="1" sqref="L15:L17">
      <formula1>Heizung</formula1>
    </dataValidation>
  </dataValidations>
  <hyperlinks>
    <hyperlink ref="J67" location="'Ver- &amp; Entsorgung'!D3" display="Zu den Tarifen"/>
    <hyperlink ref="J24" location="'Ver- &amp; Entsorgung'!D3" display="Zu den Tarifen"/>
    <hyperlink ref="J24:M24" location="'Ver- &amp; Entsorgung'!I4" display="Zu den Tarifen (Tabellenblatt &quot;Ver- und Entsorgung&quot;)"/>
    <hyperlink ref="J46" location="'Ver- &amp; Entsorgung'!D3" display="Zu den Tarifen"/>
    <hyperlink ref="J46:M46" location="'Ver- &amp; Entsorgung'!I4" display="Zu den Tarifen (Tabellenblatt &quot;Ver- und Entsorgung&quot;)"/>
    <hyperlink ref="J95" location="'Ver- &amp; Entsorgung'!D3" display="Zu den Tarifen"/>
    <hyperlink ref="J95:M95" location="'Ver- &amp; Entsorgung'!I4" display="Zu den Tarifen (Tabellenblatt &quot;Ver- und Entsorgung&quot;)"/>
    <hyperlink ref="J67:M67" location="'Ver- &amp; Entsorgung'!I4" display="Zu den Tarifen (Tabellenblatt &quot;Ver- und Entsorgung&quot;)"/>
    <hyperlink ref="L2" location="'Ökodaten Energie'!F8" display="zu den &quot;Ökodaten Energie&quot;"/>
  </hyperlinks>
  <pageMargins left="0.70866141732283472" right="0.70866141732283472" top="0.78740157480314965" bottom="0.78740157480314965" header="0.31496062992125984" footer="0.31496062992125984"/>
  <pageSetup paperSize="9" scale="82" fitToHeight="0" orientation="landscape" r:id="rId1"/>
  <headerFooter>
    <oddFooter>&amp;L&amp;F&amp;C&amp;A&amp;R&amp;P von &amp;N</oddFooter>
  </headerFooter>
  <rowBreaks count="3" manualBreakCount="3">
    <brk id="28" max="16383" man="1"/>
    <brk id="50" max="16383" man="1"/>
    <brk id="71" max="16383" man="1"/>
  </rowBreaks>
  <legacyDrawing r:id="rId2"/>
</worksheet>
</file>

<file path=xl/worksheets/sheet7.xml><?xml version="1.0" encoding="utf-8"?>
<worksheet xmlns="http://schemas.openxmlformats.org/spreadsheetml/2006/main" xmlns:r="http://schemas.openxmlformats.org/officeDocument/2006/relationships">
  <sheetPr codeName="Tabelle5">
    <tabColor theme="9" tint="0.39997558519241921"/>
    <pageSetUpPr fitToPage="1"/>
  </sheetPr>
  <dimension ref="A1:G31"/>
  <sheetViews>
    <sheetView zoomScaleNormal="100" workbookViewId="0">
      <pane ySplit="1" topLeftCell="A2" activePane="bottomLeft" state="frozen"/>
      <selection activeCell="P5" sqref="P5"/>
      <selection pane="bottomLeft" activeCell="E7" sqref="E7:F7"/>
    </sheetView>
  </sheetViews>
  <sheetFormatPr baseColWidth="10" defaultRowHeight="15" customHeight="1"/>
  <cols>
    <col min="1" max="1" width="6.83203125" style="193" hidden="1" customWidth="1"/>
    <col min="2" max="2" width="7.83203125" style="193" hidden="1" customWidth="1"/>
    <col min="3" max="3" width="8.83203125" style="499" bestFit="1" customWidth="1"/>
    <col min="4" max="4" width="75.6640625" style="193" bestFit="1" customWidth="1"/>
    <col min="5" max="5" width="20.83203125" style="193" customWidth="1"/>
    <col min="6" max="6" width="12.1640625" style="193" customWidth="1"/>
    <col min="7" max="7" width="30.83203125" style="193" hidden="1" customWidth="1"/>
    <col min="8" max="16384" width="12" style="193"/>
  </cols>
  <sheetData>
    <row r="1" spans="1:7" s="23" customFormat="1" ht="15" customHeight="1">
      <c r="A1" s="26" t="s">
        <v>1</v>
      </c>
      <c r="B1" s="26" t="s">
        <v>719</v>
      </c>
      <c r="C1" s="567" t="s">
        <v>2</v>
      </c>
      <c r="D1" s="26" t="s">
        <v>66</v>
      </c>
      <c r="E1" s="26" t="s">
        <v>1207</v>
      </c>
      <c r="F1" s="26" t="s">
        <v>1484</v>
      </c>
      <c r="G1" s="151" t="s">
        <v>2222</v>
      </c>
    </row>
    <row r="2" spans="1:7" s="23" customFormat="1" ht="15" customHeight="1" thickBot="1">
      <c r="A2" s="63">
        <v>100</v>
      </c>
      <c r="B2" s="62" t="s">
        <v>721</v>
      </c>
      <c r="C2" s="134"/>
      <c r="D2" s="62" t="s">
        <v>2328</v>
      </c>
      <c r="E2" s="62"/>
      <c r="F2" s="62"/>
      <c r="G2" s="46"/>
    </row>
    <row r="3" spans="1:7" s="23" customFormat="1" ht="15" customHeight="1" thickTop="1" thickBot="1">
      <c r="A3" s="59"/>
      <c r="B3" s="59"/>
      <c r="C3" s="568"/>
      <c r="D3" s="59" t="s">
        <v>2327</v>
      </c>
      <c r="E3" s="618" t="s">
        <v>1537</v>
      </c>
      <c r="F3" s="618"/>
      <c r="G3" s="46"/>
    </row>
    <row r="4" spans="1:7" ht="15" customHeight="1" thickTop="1"/>
    <row r="5" spans="1:7" s="23" customFormat="1" ht="15" customHeight="1">
      <c r="A5" s="63">
        <v>200</v>
      </c>
      <c r="B5" s="62" t="s">
        <v>724</v>
      </c>
      <c r="C5" s="134" t="s">
        <v>725</v>
      </c>
      <c r="D5" s="62" t="s">
        <v>726</v>
      </c>
      <c r="E5" s="100">
        <f>VLOOKUP(C5,Folgekosten,13,0)</f>
        <v>0</v>
      </c>
      <c r="F5" s="62" t="s">
        <v>103</v>
      </c>
      <c r="G5" s="46" t="s">
        <v>2353</v>
      </c>
    </row>
    <row r="6" spans="1:7" s="23" customFormat="1" ht="15" customHeight="1" thickBot="1">
      <c r="A6" s="63">
        <v>800</v>
      </c>
      <c r="B6" s="62" t="s">
        <v>724</v>
      </c>
      <c r="C6" s="134" t="s">
        <v>738</v>
      </c>
      <c r="D6" s="62" t="s">
        <v>365</v>
      </c>
      <c r="E6" s="100">
        <f>VLOOKUP(C6,Folgekosten,13,0)</f>
        <v>0</v>
      </c>
      <c r="F6" s="62" t="s">
        <v>103</v>
      </c>
      <c r="G6" s="46"/>
    </row>
    <row r="7" spans="1:7" s="23" customFormat="1" ht="15" customHeight="1" thickTop="1" thickBot="1">
      <c r="A7" s="78"/>
      <c r="B7" s="59"/>
      <c r="C7" s="568"/>
      <c r="D7" s="56" t="s">
        <v>2322</v>
      </c>
      <c r="E7" s="618" t="s">
        <v>2648</v>
      </c>
      <c r="F7" s="618"/>
      <c r="G7" s="46"/>
    </row>
    <row r="8" spans="1:7" ht="15" customHeight="1" thickTop="1"/>
    <row r="9" spans="1:7" s="23" customFormat="1" ht="15" customHeight="1" thickBot="1">
      <c r="A9" s="63">
        <v>4800</v>
      </c>
      <c r="B9" s="62" t="s">
        <v>724</v>
      </c>
      <c r="C9" s="134" t="s">
        <v>779</v>
      </c>
      <c r="D9" s="62" t="s">
        <v>780</v>
      </c>
      <c r="E9" s="100" t="e">
        <f>VLOOKUP(C9,Folgekosten,13,0)</f>
        <v>#N/A</v>
      </c>
      <c r="F9" s="62" t="s">
        <v>103</v>
      </c>
      <c r="G9" s="46"/>
    </row>
    <row r="10" spans="1:7" s="23" customFormat="1" ht="15" customHeight="1" thickTop="1" thickBot="1">
      <c r="A10" s="78"/>
      <c r="B10" s="59"/>
      <c r="C10" s="568"/>
      <c r="D10" s="56" t="s">
        <v>2323</v>
      </c>
      <c r="E10" s="618" t="s">
        <v>2649</v>
      </c>
      <c r="F10" s="618"/>
      <c r="G10" s="46"/>
    </row>
    <row r="11" spans="1:7" ht="15" customHeight="1" thickTop="1"/>
    <row r="12" spans="1:7" s="23" customFormat="1" ht="15" customHeight="1" thickBot="1">
      <c r="A12" s="63">
        <v>5900</v>
      </c>
      <c r="B12" s="62" t="s">
        <v>724</v>
      </c>
      <c r="C12" s="134" t="s">
        <v>792</v>
      </c>
      <c r="D12" s="62" t="s">
        <v>793</v>
      </c>
      <c r="E12" s="100">
        <f>VLOOKUP(C12,Folgekosten,13,0)</f>
        <v>0</v>
      </c>
      <c r="F12" s="62" t="s">
        <v>103</v>
      </c>
      <c r="G12" s="46"/>
    </row>
    <row r="13" spans="1:7" s="23" customFormat="1" ht="15" customHeight="1" thickTop="1" thickBot="1">
      <c r="A13" s="78"/>
      <c r="B13" s="59"/>
      <c r="C13" s="568"/>
      <c r="D13" s="56" t="s">
        <v>2324</v>
      </c>
      <c r="E13" s="618" t="s">
        <v>1998</v>
      </c>
      <c r="F13" s="618"/>
      <c r="G13" s="46"/>
    </row>
    <row r="14" spans="1:7" ht="15" customHeight="1" thickTop="1"/>
    <row r="15" spans="1:7" s="23" customFormat="1" ht="15" customHeight="1">
      <c r="A15" s="63">
        <v>7900</v>
      </c>
      <c r="B15" s="62" t="s">
        <v>724</v>
      </c>
      <c r="C15" s="134" t="s">
        <v>821</v>
      </c>
      <c r="D15" s="62" t="s">
        <v>648</v>
      </c>
      <c r="E15" s="100">
        <f>VLOOKUP(C15,Folgekosten,13,0)</f>
        <v>0</v>
      </c>
      <c r="F15" s="62" t="s">
        <v>103</v>
      </c>
      <c r="G15" s="46"/>
    </row>
    <row r="16" spans="1:7" s="23" customFormat="1" ht="15" customHeight="1" thickBot="1">
      <c r="A16" s="63">
        <v>8300</v>
      </c>
      <c r="B16" s="62" t="s">
        <v>724</v>
      </c>
      <c r="C16" s="134" t="s">
        <v>827</v>
      </c>
      <c r="D16" s="62" t="s">
        <v>828</v>
      </c>
      <c r="E16" s="100">
        <f>VLOOKUP(C16,Folgekosten,13,0)</f>
        <v>0</v>
      </c>
      <c r="F16" s="62" t="s">
        <v>103</v>
      </c>
      <c r="G16" s="46"/>
    </row>
    <row r="17" spans="1:7" s="23" customFormat="1" ht="15" customHeight="1" thickTop="1" thickBot="1">
      <c r="A17" s="63"/>
      <c r="B17" s="62"/>
      <c r="C17" s="568"/>
      <c r="D17" s="56" t="s">
        <v>2321</v>
      </c>
      <c r="E17" s="618" t="s">
        <v>2142</v>
      </c>
      <c r="F17" s="618"/>
      <c r="G17" s="46"/>
    </row>
    <row r="18" spans="1:7" s="23" customFormat="1" ht="15" customHeight="1" thickTop="1" thickBot="1">
      <c r="A18" s="63"/>
      <c r="B18" s="62"/>
      <c r="C18" s="568"/>
      <c r="D18" s="111" t="s">
        <v>2320</v>
      </c>
      <c r="E18" s="618" t="s">
        <v>1999</v>
      </c>
      <c r="F18" s="618"/>
      <c r="G18" s="46"/>
    </row>
    <row r="19" spans="1:7" ht="15" customHeight="1" thickTop="1"/>
    <row r="20" spans="1:7" s="23" customFormat="1" ht="15" customHeight="1" thickBot="1">
      <c r="A20" s="63">
        <v>9100</v>
      </c>
      <c r="B20" s="62" t="s">
        <v>724</v>
      </c>
      <c r="C20" s="134" t="s">
        <v>842</v>
      </c>
      <c r="D20" s="62" t="s">
        <v>843</v>
      </c>
      <c r="E20" s="100" t="e">
        <f>VLOOKUP(C20,Folgekosten,13,0)</f>
        <v>#VALUE!</v>
      </c>
      <c r="F20" s="62" t="s">
        <v>103</v>
      </c>
      <c r="G20" s="46"/>
    </row>
    <row r="21" spans="1:7" s="23" customFormat="1" ht="15" customHeight="1" thickTop="1" thickBot="1">
      <c r="A21" s="78"/>
      <c r="B21" s="59"/>
      <c r="C21" s="568"/>
      <c r="D21" s="56" t="s">
        <v>2325</v>
      </c>
      <c r="E21" s="618" t="s">
        <v>2000</v>
      </c>
      <c r="F21" s="618"/>
      <c r="G21" s="46"/>
    </row>
    <row r="22" spans="1:7" s="23" customFormat="1" ht="15" customHeight="1" thickTop="1" thickBot="1">
      <c r="A22" s="78"/>
      <c r="B22" s="59"/>
      <c r="C22" s="568"/>
      <c r="D22" s="56" t="s">
        <v>2326</v>
      </c>
      <c r="E22" s="618" t="s">
        <v>2001</v>
      </c>
      <c r="F22" s="618"/>
      <c r="G22" s="46"/>
    </row>
    <row r="23" spans="1:7" ht="15" customHeight="1" thickTop="1"/>
    <row r="24" spans="1:7" s="23" customFormat="1" ht="15" customHeight="1">
      <c r="A24" s="63">
        <v>19900</v>
      </c>
      <c r="B24" s="62" t="s">
        <v>724</v>
      </c>
      <c r="C24" s="134" t="s">
        <v>956</v>
      </c>
      <c r="D24" s="62" t="s">
        <v>198</v>
      </c>
      <c r="E24" s="100">
        <f>VLOOKUP(C24,Folgekosten,13,0)</f>
        <v>0</v>
      </c>
      <c r="F24" s="62" t="s">
        <v>103</v>
      </c>
      <c r="G24" s="46"/>
    </row>
    <row r="26" spans="1:7" s="23" customFormat="1" ht="15" customHeight="1" thickBot="1">
      <c r="A26" s="63">
        <v>20200</v>
      </c>
      <c r="B26" s="62" t="s">
        <v>724</v>
      </c>
      <c r="C26" s="134" t="s">
        <v>958</v>
      </c>
      <c r="D26" s="62" t="s">
        <v>959</v>
      </c>
      <c r="E26" s="100" t="e">
        <f>VLOOKUP(C26,Folgekosten,13,0)</f>
        <v>#VALUE!</v>
      </c>
      <c r="F26" s="62" t="s">
        <v>103</v>
      </c>
      <c r="G26" s="46"/>
    </row>
    <row r="27" spans="1:7" s="23" customFormat="1" ht="15" customHeight="1" thickTop="1" thickBot="1">
      <c r="A27" s="78"/>
      <c r="B27" s="59"/>
      <c r="C27" s="568"/>
      <c r="D27" s="56" t="s">
        <v>2056</v>
      </c>
      <c r="E27" s="618" t="s">
        <v>2651</v>
      </c>
      <c r="F27" s="618"/>
      <c r="G27" s="46"/>
    </row>
    <row r="28" spans="1:7" ht="15" customHeight="1" thickTop="1"/>
    <row r="29" spans="1:7" s="23" customFormat="1" ht="15" customHeight="1" thickBot="1">
      <c r="A29" s="63"/>
      <c r="B29" s="62"/>
      <c r="C29" s="134" t="s">
        <v>974</v>
      </c>
      <c r="D29" s="62" t="s">
        <v>975</v>
      </c>
      <c r="E29" s="100" t="e">
        <f>VLOOKUP(C29,Folgekosten,13,0)</f>
        <v>#N/A</v>
      </c>
      <c r="F29" s="62" t="s">
        <v>103</v>
      </c>
      <c r="G29" s="46"/>
    </row>
    <row r="30" spans="1:7" s="23" customFormat="1" ht="15" customHeight="1" thickTop="1" thickBot="1">
      <c r="A30" s="78"/>
      <c r="B30" s="59"/>
      <c r="C30" s="568"/>
      <c r="D30" s="111" t="s">
        <v>2277</v>
      </c>
      <c r="E30" s="618" t="s">
        <v>2274</v>
      </c>
      <c r="F30" s="618"/>
      <c r="G30" s="46"/>
    </row>
    <row r="31" spans="1:7" ht="15" customHeight="1" thickTop="1"/>
  </sheetData>
  <sheetProtection password="FDAF" sheet="1" objects="1" scenarios="1" selectLockedCells="1"/>
  <mergeCells count="10">
    <mergeCell ref="E3:F3"/>
    <mergeCell ref="E17:F17"/>
    <mergeCell ref="E7:F7"/>
    <mergeCell ref="E10:F10"/>
    <mergeCell ref="E18:F18"/>
    <mergeCell ref="E30:F30"/>
    <mergeCell ref="E13:F13"/>
    <mergeCell ref="E21:F21"/>
    <mergeCell ref="E22:F22"/>
    <mergeCell ref="E27:F27"/>
  </mergeCells>
  <hyperlinks>
    <hyperlink ref="E3" location="Finanzielle_Parameter" display="Finanzielle Parameter"/>
    <hyperlink ref="E7" location="Verwaltung_Technik" display="zu &quot;Verwaltung und Technik&quot;"/>
    <hyperlink ref="E10" location="'Ver- &amp; Entsorgung'!D43" display="zu &quot;Ver- und Entsorgung&quot;"/>
    <hyperlink ref="E13" location="Reinigung" display="zu &quot;Reinigung&quot;"/>
    <hyperlink ref="E21" location="Instandsetzung" display="zu &quot;Instandsetzung&quot;"/>
    <hyperlink ref="E22" location="Nutzungsdauern" display="zu &quot;Nutzungsdauern&quot;"/>
    <hyperlink ref="E27" location="Abbruch_Entsorgung" display="zu &quot;Abbruch und Entsorgung&quot;"/>
    <hyperlink ref="E17" location="Dienstleistungen" display="zu &quot;Dienstleistungen&quot;"/>
    <hyperlink ref="E30" location="Abbruch_Entsorgung" display="zu &quot;Abbruch und Entsorgung&quot;"/>
    <hyperlink ref="E30:F30" location="Folgekosten!I3" display="zu &quot;Folgekosten&quot;"/>
    <hyperlink ref="E18" location="Gebäudedienste" display="zu &quot;Gebäudedienste&quot;"/>
    <hyperlink ref="E10:F10" location="'Ver- &amp; Entsorgung'!I102" display="zu &quot;Ver- &amp; Entsorgung&quot;"/>
    <hyperlink ref="E3:F3" location="'Finanzielle Parameter'!I3" display="zu &quot;Finanzielle Parameter&quot;"/>
    <hyperlink ref="E17:F17" location="Dienstleistungen!A1" display="zu &quot;Dienstleistungen&quot;"/>
    <hyperlink ref="E18:F18" location="Gebäudedienste!D4" display="zu &quot;Gebäudedienste&quot;"/>
    <hyperlink ref="E7:F7" location="'Verwaltung &amp; Technik'!I3" display="zu &quot;Verwaltung und Technik&quot;"/>
    <hyperlink ref="E13:F13" location="Reinigung!I3" display="zu &quot;Reinigung&quot;"/>
    <hyperlink ref="E21:F21" location="Instandsetzung!I3" display="zu &quot;Instandsetzung&quot;"/>
    <hyperlink ref="E22:F22" location="Instandsetzung!I75" display="zu &quot;Nutzungsdauern&quot;"/>
    <hyperlink ref="E27:F27" location="'Abbruch &amp; Entsorgung'!A1" display="zu &quot;Abbruch &amp; Entsorgung&quot;"/>
  </hyperlinks>
  <pageMargins left="0.70866141732283472" right="0.70866141732283472" top="0.78740157480314965" bottom="0.78740157480314965" header="0.31496062992125984" footer="0.31496062992125984"/>
  <pageSetup paperSize="9" scale="94" fitToHeight="0" orientation="portrait" r:id="rId1"/>
  <headerFooter>
    <oddFooter>&amp;L&amp;F&amp;C&amp;A&amp;R&amp;P von &amp;N</oddFooter>
  </headerFooter>
</worksheet>
</file>

<file path=xl/worksheets/sheet8.xml><?xml version="1.0" encoding="utf-8"?>
<worksheet xmlns="http://schemas.openxmlformats.org/spreadsheetml/2006/main" xmlns:r="http://schemas.openxmlformats.org/officeDocument/2006/relationships">
  <sheetPr codeName="Tabelle6">
    <tabColor theme="6"/>
    <pageSetUpPr fitToPage="1"/>
  </sheetPr>
  <dimension ref="A1:T203"/>
  <sheetViews>
    <sheetView zoomScaleNormal="100" zoomScaleSheetLayoutView="115" workbookViewId="0">
      <pane xSplit="6" ySplit="1" topLeftCell="G2" activePane="bottomRight" state="frozenSplit"/>
      <selection activeCell="C23" sqref="C23:M24"/>
      <selection pane="topRight" activeCell="C23" sqref="C23:M24"/>
      <selection pane="bottomLeft" activeCell="C23" sqref="C23:M24"/>
      <selection pane="bottomRight" activeCell="G3" sqref="G3"/>
    </sheetView>
  </sheetViews>
  <sheetFormatPr baseColWidth="10" defaultRowHeight="15" customHeight="1"/>
  <cols>
    <col min="1" max="1" width="7.6640625" style="37" hidden="1" customWidth="1"/>
    <col min="2" max="2" width="7" style="37" hidden="1" customWidth="1"/>
    <col min="3" max="3" width="10.5" style="37" customWidth="1"/>
    <col min="4" max="4" width="49" style="37" bestFit="1" customWidth="1"/>
    <col min="5" max="5" width="44.1640625" style="37" hidden="1" customWidth="1"/>
    <col min="6" max="6" width="15.1640625" style="37" hidden="1" customWidth="1"/>
    <col min="7" max="7" width="18.83203125" style="37" customWidth="1"/>
    <col min="8" max="8" width="5.83203125" style="37" customWidth="1"/>
    <col min="9" max="9" width="18.83203125" style="47" customWidth="1"/>
    <col min="10" max="10" width="11" style="37" bestFit="1" customWidth="1"/>
    <col min="11" max="11" width="18.83203125" style="47" customWidth="1"/>
    <col min="12" max="12" width="11" style="37" bestFit="1" customWidth="1"/>
    <col min="13" max="13" width="18.83203125" style="47" customWidth="1"/>
    <col min="14" max="14" width="11" style="37" bestFit="1" customWidth="1"/>
    <col min="15" max="15" width="18.83203125" style="37" customWidth="1"/>
    <col min="16" max="16" width="4" style="37" bestFit="1" customWidth="1"/>
    <col min="17" max="17" width="3.83203125" style="37" customWidth="1"/>
    <col min="18" max="18" width="18.83203125" style="37" hidden="1" customWidth="1"/>
    <col min="19" max="19" width="5" style="37" hidden="1" customWidth="1"/>
    <col min="20" max="16384" width="12" style="37"/>
  </cols>
  <sheetData>
    <row r="1" spans="1:19" s="345" customFormat="1" ht="15" customHeight="1">
      <c r="A1" s="342" t="s">
        <v>1</v>
      </c>
      <c r="B1" s="343" t="s">
        <v>719</v>
      </c>
      <c r="C1" s="342" t="s">
        <v>2</v>
      </c>
      <c r="D1" s="342" t="s">
        <v>66</v>
      </c>
      <c r="E1" s="344" t="s">
        <v>89</v>
      </c>
      <c r="F1" s="344" t="s">
        <v>90</v>
      </c>
      <c r="G1" s="342" t="s">
        <v>1513</v>
      </c>
      <c r="H1" s="342"/>
      <c r="I1" s="342" t="s">
        <v>2696</v>
      </c>
      <c r="J1" s="342"/>
      <c r="K1" s="342" t="s">
        <v>2697</v>
      </c>
      <c r="L1" s="342"/>
      <c r="M1" s="342" t="s">
        <v>2698</v>
      </c>
      <c r="N1" s="342"/>
      <c r="O1" s="342" t="s">
        <v>1525</v>
      </c>
      <c r="P1" s="342"/>
      <c r="Q1" s="342"/>
      <c r="R1" s="342" t="s">
        <v>2068</v>
      </c>
      <c r="S1" s="342"/>
    </row>
    <row r="2" spans="1:19" ht="15" customHeight="1">
      <c r="A2" s="293">
        <v>100</v>
      </c>
      <c r="B2" s="294" t="s">
        <v>721</v>
      </c>
      <c r="C2" s="172" t="s">
        <v>354</v>
      </c>
      <c r="D2" s="172" t="s">
        <v>353</v>
      </c>
      <c r="E2" s="172"/>
      <c r="F2" s="172"/>
      <c r="G2" s="171"/>
      <c r="H2" s="172"/>
      <c r="I2" s="171"/>
      <c r="J2" s="172"/>
      <c r="K2" s="171"/>
      <c r="L2" s="172"/>
      <c r="M2" s="171"/>
      <c r="N2" s="172"/>
      <c r="O2" s="171"/>
      <c r="P2" s="171"/>
      <c r="Q2" s="171"/>
      <c r="R2" s="171"/>
      <c r="S2" s="171"/>
    </row>
    <row r="3" spans="1:19" ht="15" customHeight="1">
      <c r="A3" s="293">
        <v>200</v>
      </c>
      <c r="B3" s="294" t="s">
        <v>724</v>
      </c>
      <c r="C3" s="172" t="s">
        <v>352</v>
      </c>
      <c r="D3" s="172" t="s">
        <v>351</v>
      </c>
      <c r="E3" s="172"/>
      <c r="F3" s="172"/>
      <c r="G3" s="158">
        <f t="shared" ref="G3:G19" si="0">VLOOKUP(C3,Errichtungskosten,12,0)</f>
        <v>0</v>
      </c>
      <c r="H3" s="172" t="s">
        <v>103</v>
      </c>
      <c r="I3" s="171"/>
      <c r="J3" s="172"/>
      <c r="K3" s="171"/>
      <c r="L3" s="172"/>
      <c r="M3" s="171"/>
      <c r="N3" s="172"/>
      <c r="O3" s="171"/>
      <c r="P3" s="171"/>
      <c r="Q3" s="171"/>
      <c r="R3" s="171"/>
      <c r="S3" s="171"/>
    </row>
    <row r="4" spans="1:19" ht="15" customHeight="1">
      <c r="A4" s="55">
        <v>300</v>
      </c>
      <c r="B4" s="290" t="s">
        <v>728</v>
      </c>
      <c r="C4" s="194" t="s">
        <v>350</v>
      </c>
      <c r="D4" s="194" t="s">
        <v>0</v>
      </c>
      <c r="E4" s="194"/>
      <c r="F4" s="194"/>
      <c r="G4" s="115">
        <f t="shared" si="0"/>
        <v>0</v>
      </c>
      <c r="H4" s="194" t="s">
        <v>103</v>
      </c>
      <c r="I4" s="67"/>
      <c r="J4" s="194"/>
      <c r="K4" s="67"/>
      <c r="L4" s="194"/>
      <c r="M4" s="67"/>
      <c r="N4" s="194"/>
      <c r="O4" s="67"/>
      <c r="P4" s="67"/>
      <c r="Q4" s="67"/>
      <c r="R4" s="67"/>
      <c r="S4" s="67"/>
    </row>
    <row r="5" spans="1:19" ht="15" customHeight="1">
      <c r="A5" s="55">
        <v>400</v>
      </c>
      <c r="B5" s="290" t="s">
        <v>728</v>
      </c>
      <c r="C5" s="194" t="s">
        <v>349</v>
      </c>
      <c r="D5" s="194" t="s">
        <v>348</v>
      </c>
      <c r="E5" s="194"/>
      <c r="F5" s="194"/>
      <c r="G5" s="115">
        <f t="shared" si="0"/>
        <v>0</v>
      </c>
      <c r="H5" s="194" t="s">
        <v>103</v>
      </c>
      <c r="I5" s="67"/>
      <c r="J5" s="194"/>
      <c r="K5" s="67"/>
      <c r="L5" s="194"/>
      <c r="M5" s="194"/>
      <c r="N5" s="194"/>
      <c r="O5" s="67"/>
      <c r="P5" s="67"/>
      <c r="Q5" s="67"/>
      <c r="R5" s="67"/>
      <c r="S5" s="67"/>
    </row>
    <row r="6" spans="1:19" ht="15" customHeight="1">
      <c r="A6" s="55">
        <v>500</v>
      </c>
      <c r="B6" s="290" t="s">
        <v>728</v>
      </c>
      <c r="C6" s="194" t="s">
        <v>347</v>
      </c>
      <c r="D6" s="194" t="s">
        <v>346</v>
      </c>
      <c r="E6" s="194"/>
      <c r="F6" s="194"/>
      <c r="G6" s="115">
        <f t="shared" si="0"/>
        <v>0</v>
      </c>
      <c r="H6" s="194" t="s">
        <v>103</v>
      </c>
      <c r="I6" s="67"/>
      <c r="J6" s="194"/>
      <c r="K6" s="67"/>
      <c r="L6" s="194"/>
      <c r="M6" s="194"/>
      <c r="N6" s="194"/>
      <c r="O6" s="67"/>
      <c r="P6" s="67"/>
      <c r="Q6" s="67"/>
      <c r="R6" s="67"/>
      <c r="S6" s="67"/>
    </row>
    <row r="7" spans="1:19" ht="15" customHeight="1">
      <c r="A7" s="293">
        <v>700</v>
      </c>
      <c r="B7" s="294" t="s">
        <v>724</v>
      </c>
      <c r="C7" s="172" t="s">
        <v>345</v>
      </c>
      <c r="D7" s="172" t="s">
        <v>344</v>
      </c>
      <c r="E7" s="172"/>
      <c r="F7" s="172"/>
      <c r="G7" s="158">
        <f t="shared" si="0"/>
        <v>0</v>
      </c>
      <c r="H7" s="172" t="s">
        <v>103</v>
      </c>
      <c r="I7" s="158">
        <f>SUM(I8:I13)</f>
        <v>0</v>
      </c>
      <c r="J7" s="172" t="s">
        <v>1311</v>
      </c>
      <c r="K7" s="463">
        <f>SUM(K8:K13)</f>
        <v>0</v>
      </c>
      <c r="L7" s="172" t="s">
        <v>1311</v>
      </c>
      <c r="M7" s="158">
        <f>SUM(M8:M13)</f>
        <v>0</v>
      </c>
      <c r="N7" s="172" t="s">
        <v>1311</v>
      </c>
      <c r="O7" s="158">
        <f>SUM(O8:O13)</f>
        <v>0</v>
      </c>
      <c r="P7" s="172" t="s">
        <v>1313</v>
      </c>
      <c r="Q7" s="171"/>
      <c r="R7" s="171"/>
      <c r="S7" s="171"/>
    </row>
    <row r="8" spans="1:19" ht="15" customHeight="1">
      <c r="A8" s="55">
        <v>800</v>
      </c>
      <c r="B8" s="290" t="s">
        <v>728</v>
      </c>
      <c r="C8" s="194" t="s">
        <v>343</v>
      </c>
      <c r="D8" s="194" t="s">
        <v>0</v>
      </c>
      <c r="E8" s="194"/>
      <c r="F8" s="254"/>
      <c r="G8" s="115">
        <f t="shared" si="0"/>
        <v>0</v>
      </c>
      <c r="H8" s="194" t="s">
        <v>103</v>
      </c>
      <c r="I8" s="67"/>
      <c r="J8" s="194"/>
      <c r="K8" s="67"/>
      <c r="L8" s="194"/>
      <c r="M8" s="67"/>
      <c r="N8" s="194"/>
      <c r="O8" s="67"/>
      <c r="P8" s="67"/>
      <c r="Q8" s="67"/>
      <c r="R8" s="67"/>
      <c r="S8" s="67"/>
    </row>
    <row r="9" spans="1:19" ht="15" customHeight="1">
      <c r="A9" s="55">
        <v>900</v>
      </c>
      <c r="B9" s="290" t="s">
        <v>728</v>
      </c>
      <c r="C9" s="194" t="s">
        <v>342</v>
      </c>
      <c r="D9" s="194" t="s">
        <v>341</v>
      </c>
      <c r="E9" s="194"/>
      <c r="F9" s="194"/>
      <c r="G9" s="115">
        <f t="shared" si="0"/>
        <v>0</v>
      </c>
      <c r="H9" s="194" t="s">
        <v>103</v>
      </c>
      <c r="I9" s="67"/>
      <c r="J9" s="194"/>
      <c r="K9" s="67"/>
      <c r="L9" s="194"/>
      <c r="M9" s="67"/>
      <c r="N9" s="194"/>
      <c r="O9" s="67"/>
      <c r="P9" s="194"/>
      <c r="Q9" s="67"/>
      <c r="R9" s="67"/>
      <c r="S9" s="67"/>
    </row>
    <row r="10" spans="1:19" ht="15" customHeight="1">
      <c r="A10" s="55">
        <v>1000</v>
      </c>
      <c r="B10" s="290" t="s">
        <v>728</v>
      </c>
      <c r="C10" s="194" t="s">
        <v>340</v>
      </c>
      <c r="D10" s="194" t="s">
        <v>339</v>
      </c>
      <c r="E10" s="194"/>
      <c r="F10" s="194"/>
      <c r="G10" s="115">
        <f t="shared" si="0"/>
        <v>0</v>
      </c>
      <c r="H10" s="194" t="s">
        <v>103</v>
      </c>
      <c r="I10" s="67"/>
      <c r="J10" s="194"/>
      <c r="K10" s="67"/>
      <c r="L10" s="194"/>
      <c r="M10" s="67"/>
      <c r="N10" s="194"/>
      <c r="O10" s="67"/>
      <c r="P10" s="67"/>
      <c r="Q10" s="67"/>
      <c r="R10" s="67"/>
      <c r="S10" s="67"/>
    </row>
    <row r="11" spans="1:19" ht="15" customHeight="1">
      <c r="A11" s="55"/>
      <c r="B11" s="290"/>
      <c r="C11" s="194" t="s">
        <v>1179</v>
      </c>
      <c r="D11" s="194" t="s">
        <v>1180</v>
      </c>
      <c r="E11" s="194"/>
      <c r="F11" s="194"/>
      <c r="G11" s="115">
        <f t="shared" si="0"/>
        <v>0</v>
      </c>
      <c r="H11" s="194" t="s">
        <v>103</v>
      </c>
      <c r="I11" s="115">
        <f>VLOOKUP("E1.Dk",Errichtungskosten,4,0)*VLOOKUP("E1.Dt",Errichtungskosten,4,0)*1.5*VLOOKUP("LKW-Transport 28 t",ÖkodatenKonstruktionen,14,0)</f>
        <v>0</v>
      </c>
      <c r="J11" s="194" t="s">
        <v>1311</v>
      </c>
      <c r="K11" s="115">
        <f>VLOOKUP("E1.Dk",Errichtungskosten,4,0)*VLOOKUP("E1.Dt",Errichtungskosten,4,0)*1.5*VLOOKUP("LKW-Transport 28 t",ÖkodatenKonstruktionen,15,0)</f>
        <v>0</v>
      </c>
      <c r="L11" s="194" t="s">
        <v>1311</v>
      </c>
      <c r="M11" s="115">
        <f>VLOOKUP("E1.Dk",Errichtungskosten,4,0)*VLOOKUP("E1.Dt",Errichtungskosten,4,0)*1.5*VLOOKUP("LKW-Transport 28 t",ÖkodatenKonstruktionen,16,0)</f>
        <v>0</v>
      </c>
      <c r="N11" s="194" t="s">
        <v>1311</v>
      </c>
      <c r="O11" s="115">
        <f>VLOOKUP("E1.Dk",Errichtungskosten,4,0)*VLOOKUP("E1.Dt",Errichtungskosten,4,0)*1.5*VLOOKUP("LKW-Transport 28 t",ÖkodatenKonstruktionen,18,0)</f>
        <v>0</v>
      </c>
      <c r="P11" s="194" t="s">
        <v>1313</v>
      </c>
      <c r="Q11" s="71"/>
      <c r="R11" s="71"/>
      <c r="S11" s="71"/>
    </row>
    <row r="12" spans="1:19" ht="15" customHeight="1">
      <c r="A12" s="55">
        <v>1100</v>
      </c>
      <c r="B12" s="290" t="s">
        <v>728</v>
      </c>
      <c r="C12" s="194" t="s">
        <v>338</v>
      </c>
      <c r="D12" s="194" t="s">
        <v>337</v>
      </c>
      <c r="E12" s="194"/>
      <c r="F12" s="194"/>
      <c r="G12" s="115">
        <f t="shared" si="0"/>
        <v>0</v>
      </c>
      <c r="H12" s="194" t="s">
        <v>103</v>
      </c>
      <c r="I12" s="67"/>
      <c r="J12" s="194"/>
      <c r="K12" s="67"/>
      <c r="L12" s="194"/>
      <c r="M12" s="67"/>
      <c r="N12" s="194"/>
      <c r="O12" s="67"/>
      <c r="P12" s="67"/>
      <c r="Q12" s="67"/>
      <c r="R12" s="67"/>
      <c r="S12" s="67"/>
    </row>
    <row r="13" spans="1:19" ht="15" customHeight="1">
      <c r="A13" s="55">
        <v>1200</v>
      </c>
      <c r="B13" s="290" t="s">
        <v>728</v>
      </c>
      <c r="C13" s="194" t="s">
        <v>336</v>
      </c>
      <c r="D13" s="194" t="s">
        <v>335</v>
      </c>
      <c r="E13" s="194"/>
      <c r="F13" s="194"/>
      <c r="G13" s="115">
        <f t="shared" si="0"/>
        <v>0</v>
      </c>
      <c r="H13" s="194" t="s">
        <v>103</v>
      </c>
      <c r="I13" s="67"/>
      <c r="J13" s="194"/>
      <c r="K13" s="67"/>
      <c r="L13" s="194"/>
      <c r="M13" s="67"/>
      <c r="N13" s="194"/>
      <c r="O13" s="67"/>
      <c r="P13" s="67"/>
      <c r="Q13" s="67"/>
      <c r="R13" s="67"/>
      <c r="S13" s="67"/>
    </row>
    <row r="14" spans="1:19" ht="15" customHeight="1">
      <c r="A14" s="293">
        <v>1400</v>
      </c>
      <c r="B14" s="294" t="s">
        <v>724</v>
      </c>
      <c r="C14" s="172" t="s">
        <v>334</v>
      </c>
      <c r="D14" s="172" t="s">
        <v>333</v>
      </c>
      <c r="E14" s="172"/>
      <c r="F14" s="172"/>
      <c r="G14" s="158">
        <f t="shared" si="0"/>
        <v>0</v>
      </c>
      <c r="H14" s="172" t="s">
        <v>103</v>
      </c>
      <c r="I14" s="158">
        <f>SUM(I15:I17,I33,I61,I74,I75,I76)</f>
        <v>0</v>
      </c>
      <c r="J14" s="172" t="s">
        <v>1311</v>
      </c>
      <c r="K14" s="158">
        <f>SUM(K15:K17,K33,K61,K74,K75,K76)</f>
        <v>0</v>
      </c>
      <c r="L14" s="172" t="s">
        <v>1311</v>
      </c>
      <c r="M14" s="158">
        <f>SUM(M15:M17,M33,M61,M74,M75,M76)</f>
        <v>0</v>
      </c>
      <c r="N14" s="172" t="s">
        <v>1311</v>
      </c>
      <c r="O14" s="158">
        <f>SUM(O15:O17,O33,O61,O74,O75,O76)</f>
        <v>0</v>
      </c>
      <c r="P14" s="172" t="s">
        <v>1313</v>
      </c>
      <c r="Q14" s="171"/>
      <c r="R14" s="171"/>
      <c r="S14" s="171"/>
    </row>
    <row r="15" spans="1:19" ht="15" customHeight="1">
      <c r="A15" s="55">
        <v>1500</v>
      </c>
      <c r="B15" s="290" t="s">
        <v>728</v>
      </c>
      <c r="C15" s="194" t="s">
        <v>332</v>
      </c>
      <c r="D15" s="194" t="s">
        <v>0</v>
      </c>
      <c r="E15" s="194"/>
      <c r="F15" s="194"/>
      <c r="G15" s="115">
        <f t="shared" si="0"/>
        <v>0</v>
      </c>
      <c r="H15" s="194" t="s">
        <v>103</v>
      </c>
      <c r="I15" s="67"/>
      <c r="J15" s="194"/>
      <c r="K15" s="67"/>
      <c r="L15" s="194"/>
      <c r="M15" s="67"/>
      <c r="N15" s="194"/>
      <c r="O15" s="67"/>
      <c r="P15" s="67"/>
      <c r="Q15" s="67"/>
      <c r="R15" s="67"/>
      <c r="S15" s="67"/>
    </row>
    <row r="16" spans="1:19" ht="15" customHeight="1">
      <c r="A16" s="55">
        <v>1600</v>
      </c>
      <c r="B16" s="290" t="s">
        <v>728</v>
      </c>
      <c r="C16" s="194" t="s">
        <v>331</v>
      </c>
      <c r="D16" s="194" t="s">
        <v>330</v>
      </c>
      <c r="E16" s="194"/>
      <c r="F16" s="194"/>
      <c r="G16" s="115">
        <f t="shared" si="0"/>
        <v>0</v>
      </c>
      <c r="H16" s="194" t="s">
        <v>103</v>
      </c>
      <c r="I16" s="115">
        <f>VLOOKUP("BAUGRV",Objektkenndaten,5,0)*1.5*VLOOKUP("E2.Ba",Errichtungskosten,4,0)*VLOOKUP("LKW-Transport 28 t",ÖkodatenKonstruktionen,14,0)</f>
        <v>0</v>
      </c>
      <c r="J16" s="194" t="s">
        <v>1311</v>
      </c>
      <c r="K16" s="115">
        <f>VLOOKUP("BAUGRV",Objektkenndaten,5,0)*1.5*VLOOKUP("E2.Ba",Errichtungskosten,4,0)*VLOOKUP("LKW-Transport 28 t",ÖkodatenKonstruktionen,15,0)</f>
        <v>0</v>
      </c>
      <c r="L16" s="194" t="s">
        <v>1311</v>
      </c>
      <c r="M16" s="115">
        <f>VLOOKUP("BAUGRV",Objektkenndaten,5,0)*1.5*VLOOKUP("E2.Ba",Errichtungskosten,4,0)*VLOOKUP("LKW-Transport 28 t",ÖkodatenKonstruktionen,16,0)</f>
        <v>0</v>
      </c>
      <c r="N16" s="194" t="s">
        <v>1311</v>
      </c>
      <c r="O16" s="115">
        <f>VLOOKUP("BAUGRV",Objektkenndaten,5,0)*1.5*VLOOKUP("E2.Ba",Errichtungskosten,4,0)*VLOOKUP("LKW-Transport 28 t",ÖkodatenKonstruktionen,18,0)</f>
        <v>0</v>
      </c>
      <c r="P16" s="194" t="s">
        <v>1313</v>
      </c>
      <c r="Q16" s="194"/>
      <c r="R16" s="67"/>
      <c r="S16" s="194"/>
    </row>
    <row r="17" spans="1:19" ht="15" customHeight="1">
      <c r="A17" s="293">
        <v>1700</v>
      </c>
      <c r="B17" s="294" t="s">
        <v>728</v>
      </c>
      <c r="C17" s="172" t="s">
        <v>328</v>
      </c>
      <c r="D17" s="172" t="s">
        <v>327</v>
      </c>
      <c r="E17" s="172"/>
      <c r="F17" s="172"/>
      <c r="G17" s="158">
        <f t="shared" si="0"/>
        <v>0</v>
      </c>
      <c r="H17" s="172" t="s">
        <v>103</v>
      </c>
      <c r="I17" s="158">
        <f>SUM(I19,I23,I27,I29)</f>
        <v>0</v>
      </c>
      <c r="J17" s="172" t="s">
        <v>1311</v>
      </c>
      <c r="K17" s="158">
        <f>SUM(K19,K23,K27,K29)</f>
        <v>0</v>
      </c>
      <c r="L17" s="172" t="s">
        <v>1311</v>
      </c>
      <c r="M17" s="158">
        <f>SUM(M19,M23,M27,M29)</f>
        <v>0</v>
      </c>
      <c r="N17" s="172" t="s">
        <v>1311</v>
      </c>
      <c r="O17" s="158">
        <f>SUM(O19,O23,O27,O29)</f>
        <v>0</v>
      </c>
      <c r="P17" s="172" t="s">
        <v>1313</v>
      </c>
      <c r="Q17" s="172"/>
      <c r="R17" s="171"/>
      <c r="S17" s="172"/>
    </row>
    <row r="18" spans="1:19" ht="15" customHeight="1">
      <c r="A18" s="55"/>
      <c r="B18" s="290"/>
      <c r="C18" s="194" t="s">
        <v>1185</v>
      </c>
      <c r="D18" s="194" t="s">
        <v>1181</v>
      </c>
      <c r="E18" s="194"/>
      <c r="F18" s="194"/>
      <c r="G18" s="115">
        <f t="shared" si="0"/>
        <v>0</v>
      </c>
      <c r="H18" s="194" t="s">
        <v>103</v>
      </c>
      <c r="I18" s="67"/>
      <c r="J18" s="194"/>
      <c r="K18" s="67"/>
      <c r="L18" s="194"/>
      <c r="M18" s="67"/>
      <c r="N18" s="194"/>
      <c r="O18" s="67"/>
      <c r="P18" s="67"/>
      <c r="Q18" s="67"/>
      <c r="R18" s="67"/>
      <c r="S18" s="67"/>
    </row>
    <row r="19" spans="1:19" ht="15" customHeight="1">
      <c r="A19" s="55"/>
      <c r="B19" s="290"/>
      <c r="C19" s="194" t="s">
        <v>1186</v>
      </c>
      <c r="D19" s="194" t="s">
        <v>1182</v>
      </c>
      <c r="E19" s="194"/>
      <c r="F19" s="194"/>
      <c r="G19" s="115">
        <f t="shared" si="0"/>
        <v>0</v>
      </c>
      <c r="H19" s="194" t="s">
        <v>103</v>
      </c>
      <c r="I19" s="115">
        <f>SUM(I20:I22)</f>
        <v>0</v>
      </c>
      <c r="J19" s="194" t="s">
        <v>1311</v>
      </c>
      <c r="K19" s="115">
        <f>SUM(K20:K22)</f>
        <v>0</v>
      </c>
      <c r="L19" s="194" t="s">
        <v>1311</v>
      </c>
      <c r="M19" s="115">
        <f>SUM(M20:M22)</f>
        <v>0</v>
      </c>
      <c r="N19" s="194" t="s">
        <v>1311</v>
      </c>
      <c r="O19" s="115">
        <f>SUM(O20:O22)</f>
        <v>0</v>
      </c>
      <c r="P19" s="194" t="s">
        <v>1313</v>
      </c>
      <c r="Q19" s="194"/>
      <c r="R19" s="194"/>
      <c r="S19" s="194"/>
    </row>
    <row r="20" spans="1:19" ht="15" customHeight="1">
      <c r="A20" s="55"/>
      <c r="B20" s="290"/>
      <c r="C20" s="194" t="s">
        <v>1671</v>
      </c>
      <c r="D20" s="80" t="s">
        <v>1430</v>
      </c>
      <c r="E20" s="194"/>
      <c r="F20" s="194"/>
      <c r="G20" s="70"/>
      <c r="H20" s="76"/>
      <c r="I20" s="155">
        <f>VLOOKUP("E2.C.03",Errichtungskosten,4,0)*VLOOKUP(VLOOKUP("E2.C.03a",Errichtungskosten,8,0),ÖkodatenKonstruktionen,14,0)</f>
        <v>0</v>
      </c>
      <c r="J20" s="76" t="s">
        <v>1311</v>
      </c>
      <c r="K20" s="155">
        <f>VLOOKUP("E2.C.03",Errichtungskosten,4,0)*VLOOKUP(VLOOKUP("E2.C.03a",Errichtungskosten,8,0),ÖkodatenKonstruktionen,15,0)</f>
        <v>0</v>
      </c>
      <c r="L20" s="76" t="s">
        <v>1311</v>
      </c>
      <c r="M20" s="155">
        <f>VLOOKUP("E2.C.03",Errichtungskosten,4,0)*VLOOKUP(VLOOKUP("E2.C.03a",Errichtungskosten,8,0),ÖkodatenKonstruktionen,16,0)</f>
        <v>0</v>
      </c>
      <c r="N20" s="76" t="s">
        <v>1311</v>
      </c>
      <c r="O20" s="155">
        <f>VLOOKUP("E2.C.03",Errichtungskosten,4,0)*VLOOKUP(VLOOKUP("E2.C.03a",Errichtungskosten,8,0),ÖkodatenKonstruktionen,18,0)</f>
        <v>0</v>
      </c>
      <c r="P20" s="76" t="s">
        <v>1313</v>
      </c>
      <c r="Q20" s="76"/>
      <c r="R20" s="155">
        <f>VLOOKUP("E2.C.03",Errichtungskosten,4,0)*VLOOKUP(VLOOKUP("E2.C.03a",Errichtungskosten,8,0),ÖkodatenKonstruktionen,60,0)</f>
        <v>0</v>
      </c>
      <c r="S20" s="76" t="s">
        <v>1493</v>
      </c>
    </row>
    <row r="21" spans="1:19" ht="15" customHeight="1">
      <c r="A21" s="55"/>
      <c r="B21" s="290"/>
      <c r="C21" s="194" t="s">
        <v>1672</v>
      </c>
      <c r="D21" s="80" t="s">
        <v>1431</v>
      </c>
      <c r="E21" s="194"/>
      <c r="F21" s="194"/>
      <c r="G21" s="70"/>
      <c r="H21" s="76"/>
      <c r="I21" s="155">
        <f>VLOOKUP("E2.C.03",Errichtungskosten,4,0)*0.01*VLOOKUP("E2.C.03b",Errichtungskosten,4,0)*VLOOKUP(VLOOKUP("E2.C.03b",Errichtungskosten,8,0),ÖkodatenKonstruktionen,14,0)</f>
        <v>0</v>
      </c>
      <c r="J21" s="76" t="s">
        <v>1311</v>
      </c>
      <c r="K21" s="155">
        <f>VLOOKUP("E2.C.03",Errichtungskosten,4,0)*0.01*VLOOKUP("E2.C.03b",Errichtungskosten,4,0)*VLOOKUP(VLOOKUP("E2.C.03b",Errichtungskosten,8,0),ÖkodatenKonstruktionen,15,0)</f>
        <v>0</v>
      </c>
      <c r="L21" s="76" t="s">
        <v>1311</v>
      </c>
      <c r="M21" s="155">
        <f>VLOOKUP("E2.C.03",Errichtungskosten,4,0)*0.01*VLOOKUP("E2.C.03b",Errichtungskosten,4,0)*VLOOKUP(VLOOKUP("E2.C.03b",Errichtungskosten,8,0),ÖkodatenKonstruktionen,16,0)</f>
        <v>0</v>
      </c>
      <c r="N21" s="76" t="s">
        <v>1311</v>
      </c>
      <c r="O21" s="155">
        <f>VLOOKUP("E2.C.03",Errichtungskosten,4,0)*0.01*VLOOKUP("E2.C.03b",Errichtungskosten,4,0)*VLOOKUP(VLOOKUP("E2.C.03b",Errichtungskosten,8,0),ÖkodatenKonstruktionen,18,0)</f>
        <v>0</v>
      </c>
      <c r="P21" s="76" t="s">
        <v>1313</v>
      </c>
      <c r="Q21" s="76"/>
      <c r="R21" s="155">
        <f>VLOOKUP("E2.C.03",Errichtungskosten,4,0)*0.01*VLOOKUP("E2.C.03b",Errichtungskosten,4,0)*VLOOKUP(VLOOKUP("E2.C.03b",Errichtungskosten,8,0),ÖkodatenKonstruktionen,60,0)</f>
        <v>0</v>
      </c>
      <c r="S21" s="76" t="s">
        <v>1493</v>
      </c>
    </row>
    <row r="22" spans="1:19" ht="15" customHeight="1">
      <c r="A22" s="55"/>
      <c r="B22" s="290"/>
      <c r="C22" s="194" t="s">
        <v>1673</v>
      </c>
      <c r="D22" s="80" t="s">
        <v>1432</v>
      </c>
      <c r="E22" s="194"/>
      <c r="F22" s="194"/>
      <c r="G22" s="70"/>
      <c r="H22" s="76"/>
      <c r="I22" s="155">
        <f>VLOOKUP("E2.C.03",Errichtungskosten,4,0)*VLOOKUP(VLOOKUP("E2.C.03c",Errichtungskosten,8,0),ÖkodatenKonstruktionen,14,0)</f>
        <v>0</v>
      </c>
      <c r="J22" s="76" t="s">
        <v>1311</v>
      </c>
      <c r="K22" s="155">
        <f>VLOOKUP("E2.C.03",Errichtungskosten,4,0)*VLOOKUP(VLOOKUP("E2.C.03c",Errichtungskosten,8,0),ÖkodatenKonstruktionen,15,0)</f>
        <v>0</v>
      </c>
      <c r="L22" s="76" t="s">
        <v>1311</v>
      </c>
      <c r="M22" s="155">
        <f>VLOOKUP("E2.C.03",Errichtungskosten,4,0)*VLOOKUP(VLOOKUP("E2.C.03c",Errichtungskosten,8,0),ÖkodatenKonstruktionen,16,0)</f>
        <v>0</v>
      </c>
      <c r="N22" s="76" t="s">
        <v>1311</v>
      </c>
      <c r="O22" s="155">
        <f>VLOOKUP("E2.C.03",Errichtungskosten,4,0)*VLOOKUP(VLOOKUP("E2.C.03c",Errichtungskosten,8,0),ÖkodatenKonstruktionen,18,0)</f>
        <v>0</v>
      </c>
      <c r="P22" s="76" t="s">
        <v>1313</v>
      </c>
      <c r="Q22" s="76"/>
      <c r="R22" s="155">
        <f>VLOOKUP("E2.C.03",Errichtungskosten,4,0)*VLOOKUP(VLOOKUP("E2.C.03c",Errichtungskosten,8,0),ÖkodatenKonstruktionen,60,0)</f>
        <v>0</v>
      </c>
      <c r="S22" s="76" t="s">
        <v>1493</v>
      </c>
    </row>
    <row r="23" spans="1:19" ht="15" customHeight="1">
      <c r="A23" s="55"/>
      <c r="B23" s="290"/>
      <c r="C23" s="194" t="s">
        <v>1187</v>
      </c>
      <c r="D23" s="194" t="s">
        <v>1183</v>
      </c>
      <c r="E23" s="194"/>
      <c r="F23" s="194"/>
      <c r="G23" s="115">
        <f>VLOOKUP(C23,Errichtungskosten,12,0)</f>
        <v>0</v>
      </c>
      <c r="H23" s="194" t="s">
        <v>103</v>
      </c>
      <c r="I23" s="115">
        <f>SUM(I24:I26)</f>
        <v>0</v>
      </c>
      <c r="J23" s="194" t="s">
        <v>1311</v>
      </c>
      <c r="K23" s="115">
        <f>SUM(K24:K26)</f>
        <v>0</v>
      </c>
      <c r="L23" s="194" t="s">
        <v>1311</v>
      </c>
      <c r="M23" s="115">
        <f>SUM(M24:M26)</f>
        <v>0</v>
      </c>
      <c r="N23" s="194" t="s">
        <v>1311</v>
      </c>
      <c r="O23" s="115">
        <f>SUM(O24:O26)</f>
        <v>0</v>
      </c>
      <c r="P23" s="194" t="s">
        <v>1313</v>
      </c>
      <c r="Q23" s="194"/>
      <c r="R23" s="194"/>
      <c r="S23" s="194"/>
    </row>
    <row r="24" spans="1:19" ht="15" customHeight="1">
      <c r="A24" s="55"/>
      <c r="B24" s="290"/>
      <c r="C24" s="194" t="s">
        <v>1674</v>
      </c>
      <c r="D24" s="80" t="s">
        <v>2052</v>
      </c>
      <c r="E24" s="194"/>
      <c r="F24" s="194"/>
      <c r="G24" s="70"/>
      <c r="H24" s="76"/>
      <c r="I24" s="155">
        <f>VLOOKUP("E2.C.04",Errichtungskosten,4,0)*VLOOKUP(VLOOKUP("E2.C.04a",Errichtungskosten,8,0),ÖkodatenKonstruktionen,14,0)</f>
        <v>0</v>
      </c>
      <c r="J24" s="76" t="s">
        <v>1311</v>
      </c>
      <c r="K24" s="155">
        <f>VLOOKUP("E2.C.04",Errichtungskosten,4,0)*VLOOKUP(VLOOKUP("E2.C.04a",Errichtungskosten,8,0),ÖkodatenKonstruktionen,15,0)</f>
        <v>0</v>
      </c>
      <c r="L24" s="76" t="s">
        <v>1311</v>
      </c>
      <c r="M24" s="155">
        <f>VLOOKUP("E2.C.04",Errichtungskosten,4,0)*VLOOKUP(VLOOKUP("E2.C.04a",Errichtungskosten,8,0),ÖkodatenKonstruktionen,16,0)</f>
        <v>0</v>
      </c>
      <c r="N24" s="76" t="s">
        <v>1311</v>
      </c>
      <c r="O24" s="155">
        <f>VLOOKUP("E2.C.04",Errichtungskosten,4,0)*VLOOKUP(VLOOKUP("E2.C.04a",Errichtungskosten,8,0),ÖkodatenKonstruktionen,18,0)</f>
        <v>0</v>
      </c>
      <c r="P24" s="76" t="s">
        <v>1313</v>
      </c>
      <c r="Q24" s="76"/>
      <c r="R24" s="155">
        <f>VLOOKUP("E2.C.04",Errichtungskosten,4,0)*VLOOKUP(VLOOKUP("E2.C.04a",Errichtungskosten,8,0),ÖkodatenKonstruktionen,60,0)</f>
        <v>0</v>
      </c>
      <c r="S24" s="76" t="s">
        <v>1493</v>
      </c>
    </row>
    <row r="25" spans="1:19" ht="15" customHeight="1">
      <c r="A25" s="55"/>
      <c r="B25" s="290"/>
      <c r="C25" s="194" t="s">
        <v>1675</v>
      </c>
      <c r="D25" s="80" t="s">
        <v>1431</v>
      </c>
      <c r="E25" s="194"/>
      <c r="F25" s="194"/>
      <c r="G25" s="70"/>
      <c r="H25" s="76"/>
      <c r="I25" s="155">
        <f>VLOOKUP("E2.C.04",Errichtungskosten,4,0)*0.01*VLOOKUP("E2.C.04b",Errichtungskosten,4,0)*VLOOKUP(VLOOKUP("E2.C.04b",Errichtungskosten,8,0),ÖkodatenKonstruktionen,14,0)</f>
        <v>0</v>
      </c>
      <c r="J25" s="76" t="s">
        <v>1311</v>
      </c>
      <c r="K25" s="155">
        <f>VLOOKUP("E2.C.04",Errichtungskosten,4,0)*0.01*VLOOKUP("E2.C.04b",Errichtungskosten,4,0)*VLOOKUP(VLOOKUP("E2.C.04b",Errichtungskosten,8,0),ÖkodatenKonstruktionen,15,0)</f>
        <v>0</v>
      </c>
      <c r="L25" s="76" t="s">
        <v>1311</v>
      </c>
      <c r="M25" s="155">
        <f>VLOOKUP("E2.C.04",Errichtungskosten,4,0)*0.01*VLOOKUP("E2.C.04b",Errichtungskosten,4,0)*VLOOKUP(VLOOKUP("E2.C.04b",Errichtungskosten,8,0),ÖkodatenKonstruktionen,16,0)</f>
        <v>0</v>
      </c>
      <c r="N25" s="76" t="s">
        <v>1311</v>
      </c>
      <c r="O25" s="155">
        <f>VLOOKUP("E2.C.04",Errichtungskosten,4,0)*0.01*VLOOKUP("E2.C.04b",Errichtungskosten,4,0)*VLOOKUP(VLOOKUP("E2.C.04b",Errichtungskosten,8,0),ÖkodatenKonstruktionen,18,0)</f>
        <v>0</v>
      </c>
      <c r="P25" s="76" t="s">
        <v>1313</v>
      </c>
      <c r="Q25" s="76"/>
      <c r="R25" s="155">
        <f>VLOOKUP("E2.C.04",Errichtungskosten,4,0)*0.01*VLOOKUP("E2.C.04b",Errichtungskosten,4,0)*VLOOKUP(VLOOKUP("E2.C.04b",Errichtungskosten,8,0),ÖkodatenKonstruktionen,60,0)</f>
        <v>0</v>
      </c>
      <c r="S25" s="76" t="s">
        <v>1493</v>
      </c>
    </row>
    <row r="26" spans="1:19" ht="15" customHeight="1">
      <c r="A26" s="55"/>
      <c r="B26" s="290"/>
      <c r="C26" s="194" t="s">
        <v>1676</v>
      </c>
      <c r="D26" s="80" t="s">
        <v>1432</v>
      </c>
      <c r="E26" s="194"/>
      <c r="F26" s="194"/>
      <c r="G26" s="70"/>
      <c r="H26" s="76"/>
      <c r="I26" s="155">
        <f>VLOOKUP("E2.C.04",Errichtungskosten,4,0)*VLOOKUP(VLOOKUP("E2.C.04c",Errichtungskosten,8,0),ÖkodatenKonstruktionen,14,0)</f>
        <v>0</v>
      </c>
      <c r="J26" s="76" t="s">
        <v>1311</v>
      </c>
      <c r="K26" s="155">
        <f>VLOOKUP("E2.C.04",Errichtungskosten,4,0)*VLOOKUP(VLOOKUP("E2.C.04c",Errichtungskosten,8,0),ÖkodatenKonstruktionen,15,0)</f>
        <v>0</v>
      </c>
      <c r="L26" s="76" t="s">
        <v>1311</v>
      </c>
      <c r="M26" s="155">
        <f>VLOOKUP("E2.C.04",Errichtungskosten,4,0)*VLOOKUP(VLOOKUP("E2.C.04c",Errichtungskosten,8,0),ÖkodatenKonstruktionen,16,0)</f>
        <v>0</v>
      </c>
      <c r="N26" s="76" t="s">
        <v>1311</v>
      </c>
      <c r="O26" s="155">
        <f>VLOOKUP("E2.C.04",Errichtungskosten,4,0)*VLOOKUP(VLOOKUP("E2.C.04c",Errichtungskosten,8,0),ÖkodatenKonstruktionen,18,0)</f>
        <v>0</v>
      </c>
      <c r="P26" s="76" t="s">
        <v>1313</v>
      </c>
      <c r="Q26" s="76"/>
      <c r="R26" s="155">
        <f>VLOOKUP("E2.C.04",Errichtungskosten,4,0)*VLOOKUP(VLOOKUP("E2.C.04c",Errichtungskosten,8,0),ÖkodatenKonstruktionen,60,0)</f>
        <v>0</v>
      </c>
      <c r="S26" s="76" t="s">
        <v>1493</v>
      </c>
    </row>
    <row r="27" spans="1:19" ht="15" customHeight="1">
      <c r="A27" s="55"/>
      <c r="B27" s="290"/>
      <c r="C27" s="194" t="s">
        <v>1188</v>
      </c>
      <c r="D27" s="194" t="s">
        <v>1184</v>
      </c>
      <c r="E27" s="194"/>
      <c r="F27" s="194"/>
      <c r="G27" s="115">
        <f>VLOOKUP(C27,Errichtungskosten,12,0)</f>
        <v>0</v>
      </c>
      <c r="H27" s="194" t="s">
        <v>103</v>
      </c>
      <c r="I27" s="155">
        <f>VLOOKUP("E2.C.05",Errichtungskosten,4,0)*VLOOKUP(VLOOKUP("E2.C.05",Errichtungskosten,8,0),ÖkodatenKonstruktionen,14,0)</f>
        <v>0</v>
      </c>
      <c r="J27" s="194" t="s">
        <v>1311</v>
      </c>
      <c r="K27" s="155">
        <f>VLOOKUP("E2.C.05",Errichtungskosten,4,0)*VLOOKUP(VLOOKUP("E2.C.05",Errichtungskosten,8,0),ÖkodatenKonstruktionen,15,0)</f>
        <v>0</v>
      </c>
      <c r="L27" s="194" t="s">
        <v>1311</v>
      </c>
      <c r="M27" s="155">
        <f>VLOOKUP("E2.C.05",Errichtungskosten,4,0)*VLOOKUP(VLOOKUP("E2.C.05",Errichtungskosten,8,0),ÖkodatenKonstruktionen,16,0)</f>
        <v>0</v>
      </c>
      <c r="N27" s="194" t="s">
        <v>1311</v>
      </c>
      <c r="O27" s="155">
        <f>VLOOKUP("E2.C.05",Errichtungskosten,4,0)*VLOOKUP(VLOOKUP("E2.C.05",Errichtungskosten,8,0),ÖkodatenKonstruktionen,18,0)</f>
        <v>0</v>
      </c>
      <c r="P27" s="194" t="s">
        <v>1313</v>
      </c>
      <c r="Q27" s="194"/>
      <c r="R27" s="155">
        <f>VLOOKUP("E2.C.05",Errichtungskosten,4,0)*VLOOKUP(VLOOKUP("E2.C.05",Errichtungskosten,8,0),ÖkodatenKonstruktionen,60,0)</f>
        <v>0</v>
      </c>
      <c r="S27" s="194" t="s">
        <v>1493</v>
      </c>
    </row>
    <row r="28" spans="1:19" ht="15" customHeight="1">
      <c r="A28" s="55"/>
      <c r="B28" s="290"/>
      <c r="C28" s="194" t="s">
        <v>1239</v>
      </c>
      <c r="D28" s="194" t="s">
        <v>1240</v>
      </c>
      <c r="E28" s="194"/>
      <c r="F28" s="194"/>
      <c r="G28" s="115">
        <f>VLOOKUP(C28,Errichtungskosten,12,0)</f>
        <v>0</v>
      </c>
      <c r="H28" s="194" t="s">
        <v>103</v>
      </c>
      <c r="I28" s="194"/>
      <c r="J28" s="194"/>
      <c r="K28" s="194"/>
      <c r="L28" s="194"/>
      <c r="M28" s="194"/>
      <c r="N28" s="194"/>
      <c r="O28" s="194"/>
      <c r="P28" s="194"/>
      <c r="Q28" s="194"/>
      <c r="R28" s="194"/>
      <c r="S28" s="194"/>
    </row>
    <row r="29" spans="1:19" ht="15" customHeight="1">
      <c r="A29" s="55"/>
      <c r="B29" s="290"/>
      <c r="C29" s="194" t="s">
        <v>1439</v>
      </c>
      <c r="D29" s="194" t="s">
        <v>1435</v>
      </c>
      <c r="E29" s="194"/>
      <c r="F29" s="194"/>
      <c r="G29" s="67"/>
      <c r="H29" s="194"/>
      <c r="I29" s="115">
        <f>SUM(I30:I32)</f>
        <v>0</v>
      </c>
      <c r="J29" s="194" t="s">
        <v>1311</v>
      </c>
      <c r="K29" s="115">
        <f>SUM(K30:K32)</f>
        <v>0</v>
      </c>
      <c r="L29" s="194" t="s">
        <v>1311</v>
      </c>
      <c r="M29" s="115">
        <f>SUM(M30:M32)</f>
        <v>0</v>
      </c>
      <c r="N29" s="194" t="s">
        <v>1311</v>
      </c>
      <c r="O29" s="115">
        <f>SUM(O30:O32)</f>
        <v>0</v>
      </c>
      <c r="P29" s="194" t="s">
        <v>1313</v>
      </c>
      <c r="Q29" s="194"/>
      <c r="R29" s="67"/>
      <c r="S29" s="194"/>
    </row>
    <row r="30" spans="1:19" ht="15" customHeight="1">
      <c r="A30" s="55"/>
      <c r="B30" s="290"/>
      <c r="C30" s="194" t="s">
        <v>1703</v>
      </c>
      <c r="D30" s="80" t="s">
        <v>1436</v>
      </c>
      <c r="E30" s="194"/>
      <c r="F30" s="194"/>
      <c r="G30" s="70"/>
      <c r="H30" s="76"/>
      <c r="I30" s="155">
        <f>VLOOKUP("E2.C.Fun.a",Errichtungskosten,4,0)*VLOOKUP("Normalbeton",ÖkodatenKonstruktionen,14,0)</f>
        <v>0</v>
      </c>
      <c r="J30" s="76" t="s">
        <v>1311</v>
      </c>
      <c r="K30" s="155">
        <f>VLOOKUP("E2.C.Fun.a",Errichtungskosten,4,0)*VLOOKUP("Normalbeton",ÖkodatenKonstruktionen,15,0)</f>
        <v>0</v>
      </c>
      <c r="L30" s="76" t="s">
        <v>1311</v>
      </c>
      <c r="M30" s="155">
        <f>VLOOKUP("E2.C.Fun.a",Errichtungskosten,4,0)*VLOOKUP("Normalbeton",ÖkodatenKonstruktionen,16,0)</f>
        <v>0</v>
      </c>
      <c r="N30" s="76" t="s">
        <v>1311</v>
      </c>
      <c r="O30" s="155">
        <f>VLOOKUP("E2.C.Fun.a",Errichtungskosten,4,0)*VLOOKUP("Normalbeton",ÖkodatenKonstruktionen,18,0)</f>
        <v>0</v>
      </c>
      <c r="P30" s="76" t="s">
        <v>1313</v>
      </c>
      <c r="Q30" s="76"/>
      <c r="R30" s="155">
        <f>VLOOKUP("E2.C.Fun.a",Errichtungskosten,4,0)*VLOOKUP("Normalbeton",ÖkodatenKonstruktionen,60,0)</f>
        <v>0</v>
      </c>
      <c r="S30" s="76" t="s">
        <v>1493</v>
      </c>
    </row>
    <row r="31" spans="1:19" ht="15" customHeight="1">
      <c r="A31" s="55"/>
      <c r="B31" s="290"/>
      <c r="C31" s="194" t="s">
        <v>1704</v>
      </c>
      <c r="D31" s="80" t="s">
        <v>1437</v>
      </c>
      <c r="E31" s="194"/>
      <c r="F31" s="194"/>
      <c r="G31" s="70"/>
      <c r="H31" s="76"/>
      <c r="I31" s="155">
        <f>VLOOKUP("E2.C.Fun.b",Errichtungskosten,4,0)*VLOOKUP("Armierungsstahl",ÖkodatenKonstruktionen,14,0)</f>
        <v>0</v>
      </c>
      <c r="J31" s="76" t="s">
        <v>1311</v>
      </c>
      <c r="K31" s="155">
        <f>VLOOKUP("E2.C.Fun.b",Errichtungskosten,4,0)*VLOOKUP("Armierungsstahl",ÖkodatenKonstruktionen,15,0)</f>
        <v>0</v>
      </c>
      <c r="L31" s="76" t="s">
        <v>1311</v>
      </c>
      <c r="M31" s="155">
        <f>VLOOKUP("E2.C.Fun.b",Errichtungskosten,4,0)*VLOOKUP("Armierungsstahl",ÖkodatenKonstruktionen,16,0)</f>
        <v>0</v>
      </c>
      <c r="N31" s="76" t="s">
        <v>1311</v>
      </c>
      <c r="O31" s="155">
        <f>VLOOKUP("E2.C.Fun.b",Errichtungskosten,4,0)*VLOOKUP("Armierungsstahl",ÖkodatenKonstruktionen,18,0)</f>
        <v>0</v>
      </c>
      <c r="P31" s="76" t="s">
        <v>1313</v>
      </c>
      <c r="Q31" s="76"/>
      <c r="R31" s="155">
        <f>VLOOKUP("E2.C.Fun.b",Errichtungskosten,4,0)*VLOOKUP("Armierungsstahl",ÖkodatenKonstruktionen,60,0)</f>
        <v>0</v>
      </c>
      <c r="S31" s="76" t="s">
        <v>1493</v>
      </c>
    </row>
    <row r="32" spans="1:19" ht="15" customHeight="1">
      <c r="A32" s="55"/>
      <c r="B32" s="290"/>
      <c r="C32" s="194" t="s">
        <v>1705</v>
      </c>
      <c r="D32" s="80" t="s">
        <v>1438</v>
      </c>
      <c r="E32" s="194"/>
      <c r="F32" s="194"/>
      <c r="G32" s="70"/>
      <c r="H32" s="76"/>
      <c r="I32" s="155">
        <f>VLOOKUP("E2.C.Fun.c",Errichtungskosten,4,0)*VLOOKUP("Kies",ÖkodatenKonstruktionen,14,0)</f>
        <v>0</v>
      </c>
      <c r="J32" s="76" t="s">
        <v>1311</v>
      </c>
      <c r="K32" s="155">
        <f>VLOOKUP("E2.C.Fun.c",Errichtungskosten,4,0)*VLOOKUP("Kies",ÖkodatenKonstruktionen,15,0)</f>
        <v>0</v>
      </c>
      <c r="L32" s="76" t="s">
        <v>1311</v>
      </c>
      <c r="M32" s="155">
        <f>VLOOKUP("E2.C.Fun.c",Errichtungskosten,4,0)*VLOOKUP("Kies",ÖkodatenKonstruktionen,16,0)</f>
        <v>0</v>
      </c>
      <c r="N32" s="76" t="s">
        <v>1311</v>
      </c>
      <c r="O32" s="155">
        <f>VLOOKUP("E2.C.Fun.c",Errichtungskosten,4,0)*VLOOKUP("Kies",ÖkodatenKonstruktionen,18,0)</f>
        <v>0</v>
      </c>
      <c r="P32" s="76" t="s">
        <v>1313</v>
      </c>
      <c r="Q32" s="76"/>
      <c r="R32" s="155">
        <f>VLOOKUP("E2.C.Fun.c",Errichtungskosten,4,0)*VLOOKUP("Kies",ÖkodatenKonstruktionen,60,0)</f>
        <v>0</v>
      </c>
      <c r="S32" s="76" t="s">
        <v>1493</v>
      </c>
    </row>
    <row r="33" spans="1:19" ht="15" customHeight="1">
      <c r="A33" s="293">
        <v>1800</v>
      </c>
      <c r="B33" s="294" t="s">
        <v>743</v>
      </c>
      <c r="C33" s="172" t="s">
        <v>325</v>
      </c>
      <c r="D33" s="172" t="s">
        <v>324</v>
      </c>
      <c r="E33" s="172"/>
      <c r="F33" s="172"/>
      <c r="G33" s="158">
        <f>VLOOKUP(C33,Errichtungskosten,12,0)</f>
        <v>0</v>
      </c>
      <c r="H33" s="172" t="s">
        <v>103</v>
      </c>
      <c r="I33" s="158">
        <f>SUM(I34,I47,I48,I59,I60)</f>
        <v>0</v>
      </c>
      <c r="J33" s="172" t="s">
        <v>1311</v>
      </c>
      <c r="K33" s="158">
        <f>SUM(K34,K47,K48,K59,K60)</f>
        <v>0</v>
      </c>
      <c r="L33" s="172" t="s">
        <v>1311</v>
      </c>
      <c r="M33" s="158">
        <f>SUM(M34,M47,M48,M59,M60)</f>
        <v>0</v>
      </c>
      <c r="N33" s="172" t="s">
        <v>1311</v>
      </c>
      <c r="O33" s="158">
        <f>SUM(O34,O47,O48,O59,O60)</f>
        <v>0</v>
      </c>
      <c r="P33" s="172" t="s">
        <v>1313</v>
      </c>
      <c r="Q33" s="172"/>
      <c r="R33" s="172"/>
      <c r="S33" s="172"/>
    </row>
    <row r="34" spans="1:19" ht="15" customHeight="1">
      <c r="A34" s="293">
        <v>1900</v>
      </c>
      <c r="B34" s="294" t="s">
        <v>728</v>
      </c>
      <c r="C34" s="172" t="s">
        <v>323</v>
      </c>
      <c r="D34" s="172" t="s">
        <v>322</v>
      </c>
      <c r="E34" s="172"/>
      <c r="F34" s="172"/>
      <c r="G34" s="158">
        <f>VLOOKUP(C34,Errichtungskosten,12,0)</f>
        <v>0</v>
      </c>
      <c r="H34" s="172" t="s">
        <v>103</v>
      </c>
      <c r="I34" s="158">
        <f>SUM(I42,I39,I35)</f>
        <v>0</v>
      </c>
      <c r="J34" s="172" t="s">
        <v>1311</v>
      </c>
      <c r="K34" s="158">
        <f>SUM(K42,K39,K35)</f>
        <v>0</v>
      </c>
      <c r="L34" s="172" t="s">
        <v>1311</v>
      </c>
      <c r="M34" s="158">
        <f>SUM(M42,M39,M35)</f>
        <v>0</v>
      </c>
      <c r="N34" s="172" t="s">
        <v>1311</v>
      </c>
      <c r="O34" s="158">
        <f>SUM(O42,O39,O35)</f>
        <v>0</v>
      </c>
      <c r="P34" s="172" t="s">
        <v>1313</v>
      </c>
      <c r="Q34" s="172"/>
      <c r="R34" s="171"/>
      <c r="S34" s="172"/>
    </row>
    <row r="35" spans="1:19" ht="15" customHeight="1">
      <c r="A35" s="55"/>
      <c r="B35" s="290"/>
      <c r="C35" s="194"/>
      <c r="D35" s="194" t="s">
        <v>1974</v>
      </c>
      <c r="E35" s="194"/>
      <c r="F35" s="194"/>
      <c r="G35" s="115">
        <f>VLOOKUP("E2.D.01.K",Errichtungskosten,12,0)</f>
        <v>0</v>
      </c>
      <c r="H35" s="194" t="s">
        <v>103</v>
      </c>
      <c r="I35" s="115">
        <f>SUM(I36:I38)</f>
        <v>0</v>
      </c>
      <c r="J35" s="194" t="s">
        <v>1311</v>
      </c>
      <c r="K35" s="115">
        <f>SUM(K36:K38)</f>
        <v>0</v>
      </c>
      <c r="L35" s="194" t="s">
        <v>1311</v>
      </c>
      <c r="M35" s="115">
        <f>SUM(M36:M38)</f>
        <v>0</v>
      </c>
      <c r="N35" s="194" t="s">
        <v>1311</v>
      </c>
      <c r="O35" s="115">
        <f>SUM(O36:O38)</f>
        <v>0</v>
      </c>
      <c r="P35" s="194" t="s">
        <v>1313</v>
      </c>
      <c r="Q35" s="194"/>
      <c r="R35" s="67"/>
      <c r="S35" s="194"/>
    </row>
    <row r="36" spans="1:19" ht="15" customHeight="1">
      <c r="A36" s="55"/>
      <c r="B36" s="290"/>
      <c r="C36" s="194" t="s">
        <v>1708</v>
      </c>
      <c r="D36" s="80" t="s">
        <v>1441</v>
      </c>
      <c r="E36" s="194"/>
      <c r="F36" s="194"/>
      <c r="G36" s="70"/>
      <c r="H36" s="76"/>
      <c r="I36" s="155">
        <f>VLOOKUP("E2.D.01.K",Errichtungskosten,4,0)*VLOOKUP(VLOOKUP("E2.D.01.K",Errichtungskosten,8,0),ÖkodatenKonstruktionen,14,0)</f>
        <v>0</v>
      </c>
      <c r="J36" s="76" t="s">
        <v>1311</v>
      </c>
      <c r="K36" s="155">
        <f>VLOOKUP("E2.D.01.K",Errichtungskosten,4,0)*VLOOKUP(VLOOKUP("E2.D.01.K",Errichtungskosten,8,0),ÖkodatenKonstruktionen,15,0)</f>
        <v>0</v>
      </c>
      <c r="L36" s="76" t="s">
        <v>1311</v>
      </c>
      <c r="M36" s="155">
        <f>VLOOKUP("E2.D.01.K",Errichtungskosten,4,0)*VLOOKUP(VLOOKUP("E2.D.01.K",Errichtungskosten,8,0),ÖkodatenKonstruktionen,16,0)</f>
        <v>0</v>
      </c>
      <c r="N36" s="76" t="s">
        <v>1311</v>
      </c>
      <c r="O36" s="155">
        <f>VLOOKUP("E2.D.01.K",Errichtungskosten,4,0)*VLOOKUP(VLOOKUP("E2.D.01.K",Errichtungskosten,8,0),ÖkodatenKonstruktionen,18,0)</f>
        <v>0</v>
      </c>
      <c r="P36" s="76" t="s">
        <v>1313</v>
      </c>
      <c r="Q36" s="76"/>
      <c r="R36" s="155">
        <f>VLOOKUP("E2.D.01.K",Errichtungskosten,4,0)*VLOOKUP(VLOOKUP("E2.D.01.K",Errichtungskosten,8,0),ÖkodatenKonstruktionen,60,0)</f>
        <v>0</v>
      </c>
      <c r="S36" s="76" t="s">
        <v>1493</v>
      </c>
    </row>
    <row r="37" spans="1:19" ht="15" customHeight="1">
      <c r="A37" s="55"/>
      <c r="B37" s="290"/>
      <c r="C37" s="194" t="s">
        <v>1707</v>
      </c>
      <c r="D37" s="80" t="s">
        <v>1442</v>
      </c>
      <c r="E37" s="194"/>
      <c r="F37" s="194"/>
      <c r="G37" s="70"/>
      <c r="H37" s="76"/>
      <c r="I37" s="155">
        <f>VLOOKUP("E2.D.01.Kb",Errichtungskosten,4,0)*0.01*VLOOKUP("E2.D.01.Ka",Errichtungskosten,4,0)*VLOOKUP(VLOOKUP("E2.D.01.Ka",Errichtungskosten,8,0),ÖkodatenKonstruktionen,14,0)</f>
        <v>0</v>
      </c>
      <c r="J37" s="76" t="s">
        <v>1311</v>
      </c>
      <c r="K37" s="155">
        <f>VLOOKUP("E2.D.01.Kb",Errichtungskosten,4,0)*0.01*VLOOKUP("E2.D.01.Ka",Errichtungskosten,4,0)*VLOOKUP(VLOOKUP("E2.D.01.Ka",Errichtungskosten,8,0),ÖkodatenKonstruktionen,15,0)</f>
        <v>0</v>
      </c>
      <c r="L37" s="76" t="s">
        <v>1311</v>
      </c>
      <c r="M37" s="155">
        <f>VLOOKUP("E2.D.01.Kb",Errichtungskosten,4,0)*0.01*VLOOKUP("E2.D.01.Ka",Errichtungskosten,4,0)*VLOOKUP(VLOOKUP("E2.D.01.Ka",Errichtungskosten,8,0),ÖkodatenKonstruktionen,16,0)</f>
        <v>0</v>
      </c>
      <c r="N37" s="76" t="s">
        <v>1311</v>
      </c>
      <c r="O37" s="155">
        <f>VLOOKUP("E2.D.01.Kb",Errichtungskosten,4,0)*0.01*VLOOKUP("E2.D.01.Ka",Errichtungskosten,4,0)*VLOOKUP(VLOOKUP("E2.D.01.Ka",Errichtungskosten,8,0),ÖkodatenKonstruktionen,18,0)</f>
        <v>0</v>
      </c>
      <c r="P37" s="76" t="s">
        <v>1313</v>
      </c>
      <c r="Q37" s="76"/>
      <c r="R37" s="155">
        <f>VLOOKUP("E2.D.01.Kb",Errichtungskosten,4,0)*0.01*VLOOKUP("E2.D.01.Ka",Errichtungskosten,4,0)*VLOOKUP(VLOOKUP("E2.D.01.Ka",Errichtungskosten,8,0),ÖkodatenKonstruktionen,60,0)</f>
        <v>0</v>
      </c>
      <c r="S37" s="76" t="s">
        <v>1493</v>
      </c>
    </row>
    <row r="38" spans="1:19" ht="15" customHeight="1">
      <c r="A38" s="55"/>
      <c r="B38" s="290"/>
      <c r="C38" s="194" t="s">
        <v>1710</v>
      </c>
      <c r="D38" s="80" t="s">
        <v>1443</v>
      </c>
      <c r="E38" s="254"/>
      <c r="F38" s="254"/>
      <c r="G38" s="70"/>
      <c r="H38" s="76"/>
      <c r="I38" s="155">
        <f>VLOOKUP("E2.D.01.Kc",Errichtungskosten,4,0)*VLOOKUP(VLOOKUP("E2.D.01.Kc",Errichtungskosten,8,0),ÖkodatenKonstruktionen,14,0)</f>
        <v>0</v>
      </c>
      <c r="J38" s="76" t="s">
        <v>1311</v>
      </c>
      <c r="K38" s="155">
        <f>VLOOKUP("E2.D.01.Kc",Errichtungskosten,4,0)*VLOOKUP(VLOOKUP("E2.D.01.Kc",Errichtungskosten,8,0),ÖkodatenKonstruktionen,15,0)</f>
        <v>0</v>
      </c>
      <c r="L38" s="76" t="s">
        <v>1311</v>
      </c>
      <c r="M38" s="155">
        <f>VLOOKUP("E2.D.01.Kc",Errichtungskosten,4,0)*VLOOKUP(VLOOKUP("E2.D.01.Kc",Errichtungskosten,8,0),ÖkodatenKonstruktionen,16,0)</f>
        <v>0</v>
      </c>
      <c r="N38" s="76" t="s">
        <v>1311</v>
      </c>
      <c r="O38" s="155">
        <f>VLOOKUP("E2.D.01.Kc",Errichtungskosten,4,0)*VLOOKUP(VLOOKUP("E2.D.01.Kc",Errichtungskosten,8,0),ÖkodatenKonstruktionen,18,0)</f>
        <v>0</v>
      </c>
      <c r="P38" s="76" t="s">
        <v>1313</v>
      </c>
      <c r="Q38" s="76"/>
      <c r="R38" s="155">
        <f>VLOOKUP("E2.D.01.Kc",Errichtungskosten,4,0)*VLOOKUP(VLOOKUP("E2.D.01.Kc",Errichtungskosten,8,0),ÖkodatenKonstruktionen,60,0)</f>
        <v>0</v>
      </c>
      <c r="S38" s="76" t="s">
        <v>1493</v>
      </c>
    </row>
    <row r="39" spans="1:19" ht="15" customHeight="1">
      <c r="A39" s="55"/>
      <c r="B39" s="290"/>
      <c r="C39" s="194"/>
      <c r="D39" s="194" t="s">
        <v>1975</v>
      </c>
      <c r="E39" s="254"/>
      <c r="F39" s="254"/>
      <c r="G39" s="115">
        <f>VLOOKUP("E2.D.01.G",Errichtungskosten,12,0)</f>
        <v>0</v>
      </c>
      <c r="H39" s="194" t="s">
        <v>103</v>
      </c>
      <c r="I39" s="115">
        <f>SUM(I40:I41)</f>
        <v>0</v>
      </c>
      <c r="J39" s="194" t="s">
        <v>1311</v>
      </c>
      <c r="K39" s="115">
        <f>SUM(K40:K41)</f>
        <v>0</v>
      </c>
      <c r="L39" s="194" t="s">
        <v>1311</v>
      </c>
      <c r="M39" s="115">
        <f>SUM(M40:M41)</f>
        <v>0</v>
      </c>
      <c r="N39" s="194" t="s">
        <v>1311</v>
      </c>
      <c r="O39" s="115">
        <f>SUM(O40:O41)</f>
        <v>0</v>
      </c>
      <c r="P39" s="194" t="s">
        <v>1313</v>
      </c>
      <c r="Q39" s="194"/>
      <c r="R39" s="67"/>
      <c r="S39" s="194"/>
    </row>
    <row r="40" spans="1:19" ht="15" customHeight="1">
      <c r="A40" s="55"/>
      <c r="B40" s="290"/>
      <c r="C40" s="194" t="s">
        <v>1711</v>
      </c>
      <c r="D40" s="80" t="s">
        <v>1444</v>
      </c>
      <c r="E40" s="194"/>
      <c r="F40" s="194"/>
      <c r="G40" s="70"/>
      <c r="H40" s="76"/>
      <c r="I40" s="155">
        <f>VLOOKUP("E2.D.01.G",Errichtungskosten,4,0)*VLOOKUP(VLOOKUP("E2.D.01.G",Errichtungskosten,8,0),ÖkodatenKonstruktionen,14,0)</f>
        <v>0</v>
      </c>
      <c r="J40" s="76" t="s">
        <v>1311</v>
      </c>
      <c r="K40" s="155">
        <f>VLOOKUP("E2.D.01.G",Errichtungskosten,4,0)*VLOOKUP(VLOOKUP("E2.D.01.G",Errichtungskosten,8,0),ÖkodatenKonstruktionen,15,0)</f>
        <v>0</v>
      </c>
      <c r="L40" s="76" t="s">
        <v>1311</v>
      </c>
      <c r="M40" s="155">
        <f>VLOOKUP("E2.D.01.G",Errichtungskosten,4,0)*VLOOKUP(VLOOKUP("E2.D.01.G",Errichtungskosten,8,0),ÖkodatenKonstruktionen,16,0)</f>
        <v>0</v>
      </c>
      <c r="N40" s="76" t="s">
        <v>1311</v>
      </c>
      <c r="O40" s="155">
        <f>VLOOKUP("E2.D.01.G",Errichtungskosten,4,0)*VLOOKUP(VLOOKUP("E2.D.01.G",Errichtungskosten,8,0),ÖkodatenKonstruktionen,18,0)</f>
        <v>0</v>
      </c>
      <c r="P40" s="76" t="s">
        <v>1313</v>
      </c>
      <c r="Q40" s="76"/>
      <c r="R40" s="155">
        <f>VLOOKUP("E2.D.01.G",Errichtungskosten,4,0)*VLOOKUP(VLOOKUP("E2.D.01.G",Errichtungskosten,8,0),ÖkodatenKonstruktionen,60,0)</f>
        <v>0</v>
      </c>
      <c r="S40" s="76" t="s">
        <v>1493</v>
      </c>
    </row>
    <row r="41" spans="1:19" ht="15" customHeight="1">
      <c r="A41" s="55"/>
      <c r="B41" s="290"/>
      <c r="C41" s="194" t="s">
        <v>1712</v>
      </c>
      <c r="D41" s="80" t="s">
        <v>1445</v>
      </c>
      <c r="E41" s="194"/>
      <c r="F41" s="194"/>
      <c r="G41" s="70"/>
      <c r="H41" s="76"/>
      <c r="I41" s="155">
        <f>VLOOKUP("E2.D.01.Ga",Errichtungskosten,4,0)*VLOOKUP(VLOOKUP("E2.D.01.Ga",Errichtungskosten,8,0),ÖkodatenKonstruktionen,14,0)</f>
        <v>0</v>
      </c>
      <c r="J41" s="76" t="s">
        <v>1311</v>
      </c>
      <c r="K41" s="155">
        <f>VLOOKUP("E2.D.01.Ga",Errichtungskosten,4,0)*VLOOKUP(VLOOKUP("E2.D.01.Ga",Errichtungskosten,8,0),ÖkodatenKonstruktionen,15,0)</f>
        <v>0</v>
      </c>
      <c r="L41" s="76" t="s">
        <v>1311</v>
      </c>
      <c r="M41" s="155">
        <f>VLOOKUP("E2.D.01.Ga",Errichtungskosten,4,0)*VLOOKUP(VLOOKUP("E2.D.01.Ga",Errichtungskosten,8,0),ÖkodatenKonstruktionen,16,0)</f>
        <v>0</v>
      </c>
      <c r="N41" s="76" t="s">
        <v>1311</v>
      </c>
      <c r="O41" s="155">
        <f>VLOOKUP("E2.D.01.Ga",Errichtungskosten,4,0)*VLOOKUP(VLOOKUP("E2.D.01.Ga",Errichtungskosten,8,0),ÖkodatenKonstruktionen,18,0)</f>
        <v>0</v>
      </c>
      <c r="P41" s="76" t="s">
        <v>1313</v>
      </c>
      <c r="Q41" s="76"/>
      <c r="R41" s="155">
        <f>VLOOKUP("E2.D.01.Ga",Errichtungskosten,4,0)*VLOOKUP(VLOOKUP("E2.D.01.Ga",Errichtungskosten,8,0),ÖkodatenKonstruktionen,60,0)</f>
        <v>0</v>
      </c>
      <c r="S41" s="76" t="s">
        <v>1493</v>
      </c>
    </row>
    <row r="42" spans="1:19" ht="15" customHeight="1">
      <c r="A42" s="55"/>
      <c r="B42" s="290"/>
      <c r="C42" s="194"/>
      <c r="D42" s="194" t="s">
        <v>1976</v>
      </c>
      <c r="E42" s="194"/>
      <c r="F42" s="194"/>
      <c r="G42" s="115">
        <f>VLOOKUP("E2.D.01.A",Errichtungskosten,12,0)</f>
        <v>0</v>
      </c>
      <c r="H42" s="194" t="s">
        <v>103</v>
      </c>
      <c r="I42" s="115">
        <f>SUM(I43:I45)</f>
        <v>0</v>
      </c>
      <c r="J42" s="194" t="s">
        <v>1311</v>
      </c>
      <c r="K42" s="115">
        <f>SUM(K43:K45)</f>
        <v>0</v>
      </c>
      <c r="L42" s="194" t="s">
        <v>1311</v>
      </c>
      <c r="M42" s="115">
        <f>SUM(M43:M45)</f>
        <v>0</v>
      </c>
      <c r="N42" s="194" t="s">
        <v>1311</v>
      </c>
      <c r="O42" s="115">
        <f>SUM(O43:O45)</f>
        <v>0</v>
      </c>
      <c r="P42" s="194" t="s">
        <v>1313</v>
      </c>
      <c r="Q42" s="194"/>
      <c r="R42" s="67"/>
      <c r="S42" s="194"/>
    </row>
    <row r="43" spans="1:19" ht="15" customHeight="1">
      <c r="A43" s="55"/>
      <c r="B43" s="290"/>
      <c r="C43" s="194" t="s">
        <v>1713</v>
      </c>
      <c r="D43" s="80" t="s">
        <v>1446</v>
      </c>
      <c r="E43" s="194"/>
      <c r="F43" s="194"/>
      <c r="G43" s="70"/>
      <c r="H43" s="76"/>
      <c r="I43" s="155">
        <f>VLOOKUP("E2.D.01.A",Errichtungskosten,4,0)*VLOOKUP(VLOOKUP("E2.D.01.A",Errichtungskosten,8,0),ÖkodatenKonstruktionen,14,0)</f>
        <v>0</v>
      </c>
      <c r="J43" s="76" t="s">
        <v>1311</v>
      </c>
      <c r="K43" s="155">
        <f>VLOOKUP("E2.D.01.A",Errichtungskosten,4,0)*VLOOKUP(VLOOKUP("E2.D.01.A",Errichtungskosten,8,0),ÖkodatenKonstruktionen,15,0)</f>
        <v>0</v>
      </c>
      <c r="L43" s="76" t="s">
        <v>1311</v>
      </c>
      <c r="M43" s="155">
        <f>VLOOKUP("E2.D.01.A",Errichtungskosten,4,0)*VLOOKUP(VLOOKUP("E2.D.01.A",Errichtungskosten,8,0),ÖkodatenKonstruktionen,16,0)</f>
        <v>0</v>
      </c>
      <c r="N43" s="76" t="s">
        <v>1311</v>
      </c>
      <c r="O43" s="155">
        <f>VLOOKUP("E2.D.01.A",Errichtungskosten,4,0)*VLOOKUP(VLOOKUP("E2.D.01.A",Errichtungskosten,8,0),ÖkodatenKonstruktionen,18,0)</f>
        <v>0</v>
      </c>
      <c r="P43" s="76" t="s">
        <v>1313</v>
      </c>
      <c r="Q43" s="76"/>
      <c r="R43" s="155">
        <f>VLOOKUP("E2.D.01.A",Errichtungskosten,4,0)*VLOOKUP(VLOOKUP("E2.D.01.A",Errichtungskosten,8,0),ÖkodatenKonstruktionen,60,0)</f>
        <v>0</v>
      </c>
      <c r="S43" s="76" t="s">
        <v>1493</v>
      </c>
    </row>
    <row r="44" spans="1:19" ht="15" customHeight="1">
      <c r="A44" s="55"/>
      <c r="B44" s="290"/>
      <c r="C44" s="194" t="s">
        <v>1714</v>
      </c>
      <c r="D44" s="80" t="s">
        <v>1447</v>
      </c>
      <c r="E44" s="194"/>
      <c r="F44" s="194"/>
      <c r="G44" s="70"/>
      <c r="H44" s="76"/>
      <c r="I44" s="155">
        <f>VLOOKUP("E2.D.01.Ab",Errichtungskosten,4,0)*0.01*VLOOKUP("E2.D.01.Aa",Errichtungskosten,4,0)*VLOOKUP(VLOOKUP("E2.D.01.Aa",Errichtungskosten,8,0),ÖkodatenKonstruktionen,14,0)</f>
        <v>0</v>
      </c>
      <c r="J44" s="76" t="s">
        <v>1311</v>
      </c>
      <c r="K44" s="155">
        <f>VLOOKUP("E2.D.01.Ab",Errichtungskosten,4,0)*0.01*VLOOKUP("E2.D.01.Aa",Errichtungskosten,4,0)*VLOOKUP(VLOOKUP("E2.D.01.Aa",Errichtungskosten,8,0),ÖkodatenKonstruktionen,15,0)</f>
        <v>0</v>
      </c>
      <c r="L44" s="76" t="s">
        <v>1311</v>
      </c>
      <c r="M44" s="155">
        <f>VLOOKUP("E2.D.01.Ab",Errichtungskosten,4,0)*0.01*VLOOKUP("E2.D.01.Aa",Errichtungskosten,4,0)*VLOOKUP(VLOOKUP("E2.D.01.Aa",Errichtungskosten,8,0),ÖkodatenKonstruktionen,16,0)</f>
        <v>0</v>
      </c>
      <c r="N44" s="76" t="s">
        <v>1311</v>
      </c>
      <c r="O44" s="155">
        <f>VLOOKUP("E2.D.01.Ab",Errichtungskosten,4,0)*0.01*VLOOKUP("E2.D.01.Aa",Errichtungskosten,4,0)*VLOOKUP(VLOOKUP("E2.D.01.Aa",Errichtungskosten,8,0),ÖkodatenKonstruktionen,18,0)</f>
        <v>0</v>
      </c>
      <c r="P44" s="76" t="s">
        <v>1313</v>
      </c>
      <c r="Q44" s="76"/>
      <c r="R44" s="155">
        <f>VLOOKUP("E2.D.01.Ab",Errichtungskosten,4,0)*0.01*VLOOKUP("E2.D.01.Aa",Errichtungskosten,4,0)*VLOOKUP(VLOOKUP("E2.D.01.Aa",Errichtungskosten,8,0),ÖkodatenKonstruktionen,60,0)</f>
        <v>0</v>
      </c>
      <c r="S44" s="76" t="s">
        <v>1493</v>
      </c>
    </row>
    <row r="45" spans="1:19" ht="15" customHeight="1">
      <c r="A45" s="55"/>
      <c r="B45" s="290"/>
      <c r="C45" s="194" t="s">
        <v>1716</v>
      </c>
      <c r="D45" s="80" t="s">
        <v>1448</v>
      </c>
      <c r="E45" s="194"/>
      <c r="F45" s="194"/>
      <c r="G45" s="70"/>
      <c r="H45" s="76"/>
      <c r="I45" s="155">
        <f>VLOOKUP("E2.D.01.Ac",Errichtungskosten,4,0)*VLOOKUP(VLOOKUP("E2.D.01.Ac",Errichtungskosten,8,0),ÖkodatenKonstruktionen,14,0)</f>
        <v>0</v>
      </c>
      <c r="J45" s="76" t="s">
        <v>1311</v>
      </c>
      <c r="K45" s="155">
        <f>VLOOKUP("E2.D.01.Ac",Errichtungskosten,4,0)*VLOOKUP(VLOOKUP("E2.D.01.Ac",Errichtungskosten,8,0),ÖkodatenKonstruktionen,15,0)</f>
        <v>0</v>
      </c>
      <c r="L45" s="76" t="s">
        <v>1311</v>
      </c>
      <c r="M45" s="155">
        <f>VLOOKUP("E2.D.01.Ac",Errichtungskosten,4,0)*VLOOKUP(VLOOKUP("E2.D.01.Ac",Errichtungskosten,8,0),ÖkodatenKonstruktionen,16,0)</f>
        <v>0</v>
      </c>
      <c r="N45" s="76" t="s">
        <v>1311</v>
      </c>
      <c r="O45" s="155">
        <f>VLOOKUP("E2.D.01.Ac",Errichtungskosten,4,0)*VLOOKUP(VLOOKUP("E2.D.01.Ac",Errichtungskosten,8,0),ÖkodatenKonstruktionen,18,0)</f>
        <v>0</v>
      </c>
      <c r="P45" s="76" t="s">
        <v>1313</v>
      </c>
      <c r="Q45" s="76"/>
      <c r="R45" s="155">
        <f>VLOOKUP("E2.D.01.Ac",Errichtungskosten,4,0)*VLOOKUP(VLOOKUP("E2.D.01.Ac",Errichtungskosten,8,0),ÖkodatenKonstruktionen,60,0)</f>
        <v>0</v>
      </c>
      <c r="S45" s="76" t="s">
        <v>1493</v>
      </c>
    </row>
    <row r="46" spans="1:19" ht="15" customHeight="1">
      <c r="A46" s="55"/>
      <c r="B46" s="290"/>
      <c r="C46" s="194" t="s">
        <v>2253</v>
      </c>
      <c r="D46" s="194" t="s">
        <v>2254</v>
      </c>
      <c r="E46" s="194"/>
      <c r="F46" s="194"/>
      <c r="G46" s="115">
        <f>VLOOKUP(C46,Errichtungskosten,12,0)</f>
        <v>0</v>
      </c>
      <c r="H46" s="194" t="s">
        <v>103</v>
      </c>
      <c r="I46" s="70"/>
      <c r="J46" s="76"/>
      <c r="K46" s="70"/>
      <c r="L46" s="76"/>
      <c r="M46" s="70"/>
      <c r="N46" s="76"/>
      <c r="O46" s="70"/>
      <c r="P46" s="76"/>
      <c r="Q46" s="76"/>
      <c r="R46" s="70"/>
      <c r="S46" s="76"/>
    </row>
    <row r="47" spans="1:19" ht="15" customHeight="1">
      <c r="A47" s="55">
        <v>2000</v>
      </c>
      <c r="B47" s="290" t="s">
        <v>728</v>
      </c>
      <c r="C47" s="194" t="s">
        <v>320</v>
      </c>
      <c r="D47" s="194" t="s">
        <v>319</v>
      </c>
      <c r="E47" s="194"/>
      <c r="F47" s="194"/>
      <c r="G47" s="115">
        <f>VLOOKUP(C47,Errichtungskosten,12,0)</f>
        <v>0</v>
      </c>
      <c r="H47" s="194" t="s">
        <v>103</v>
      </c>
      <c r="I47" s="115">
        <f>VLOOKUP("E2.D.02",Errichtungskosten,4,0)*VLOOKUP(VLOOKUP("E2.D.02",Errichtungskosten,8,0),ÖkodatenKonstruktionen,14,0)</f>
        <v>0</v>
      </c>
      <c r="J47" s="194" t="s">
        <v>1311</v>
      </c>
      <c r="K47" s="115">
        <f>VLOOKUP("E2.D.02",Errichtungskosten,4,0)*VLOOKUP(VLOOKUP("E2.D.02",Errichtungskosten,8,0),ÖkodatenKonstruktionen,15,0)</f>
        <v>0</v>
      </c>
      <c r="L47" s="194" t="s">
        <v>1311</v>
      </c>
      <c r="M47" s="115">
        <f>VLOOKUP("E2.D.02",Errichtungskosten,4,0)*VLOOKUP(VLOOKUP("E2.D.02",Errichtungskosten,8,0),ÖkodatenKonstruktionen,16,0)</f>
        <v>0</v>
      </c>
      <c r="N47" s="194" t="s">
        <v>1311</v>
      </c>
      <c r="O47" s="115">
        <f>VLOOKUP("E2.D.02",Errichtungskosten,4,0)*VLOOKUP(VLOOKUP("E2.D.02",Errichtungskosten,8,0),ÖkodatenKonstruktionen,18,0)</f>
        <v>0</v>
      </c>
      <c r="P47" s="194" t="s">
        <v>1313</v>
      </c>
      <c r="Q47" s="194"/>
      <c r="R47" s="115">
        <f>VLOOKUP("E2.D.02",Errichtungskosten,4,0)*VLOOKUP(VLOOKUP("E2.D.02",Errichtungskosten,8,0),ÖkodatenKonstruktionen,60,0)</f>
        <v>0</v>
      </c>
      <c r="S47" s="194" t="s">
        <v>1493</v>
      </c>
    </row>
    <row r="48" spans="1:19" ht="15" customHeight="1">
      <c r="A48" s="293">
        <v>2100</v>
      </c>
      <c r="B48" s="294" t="s">
        <v>743</v>
      </c>
      <c r="C48" s="172" t="s">
        <v>318</v>
      </c>
      <c r="D48" s="172" t="s">
        <v>317</v>
      </c>
      <c r="E48" s="172"/>
      <c r="F48" s="172"/>
      <c r="G48" s="158">
        <f>VLOOKUP(C48,Errichtungskosten,12,0)</f>
        <v>0</v>
      </c>
      <c r="H48" s="172" t="s">
        <v>103</v>
      </c>
      <c r="I48" s="158">
        <f>SUM(I49,I54,I59,I60)</f>
        <v>0</v>
      </c>
      <c r="J48" s="172" t="s">
        <v>1311</v>
      </c>
      <c r="K48" s="158">
        <f>SUM(K49,K54,K59,K60)</f>
        <v>0</v>
      </c>
      <c r="L48" s="172" t="s">
        <v>1311</v>
      </c>
      <c r="M48" s="158">
        <f>SUM(M49,M54,M59,M60)</f>
        <v>0</v>
      </c>
      <c r="N48" s="172" t="s">
        <v>1311</v>
      </c>
      <c r="O48" s="158">
        <f>SUM(O49,O54,O59,O60)</f>
        <v>0</v>
      </c>
      <c r="P48" s="172" t="s">
        <v>1313</v>
      </c>
      <c r="Q48" s="172"/>
      <c r="R48" s="172"/>
      <c r="S48" s="172"/>
    </row>
    <row r="49" spans="1:19" ht="15" customHeight="1">
      <c r="A49" s="55"/>
      <c r="B49" s="290"/>
      <c r="C49" s="194" t="s">
        <v>1992</v>
      </c>
      <c r="D49" s="194" t="s">
        <v>1977</v>
      </c>
      <c r="E49" s="194"/>
      <c r="F49" s="194"/>
      <c r="G49" s="115">
        <f>VLOOKUP(C50,Errichtungskosten,12,0)</f>
        <v>0</v>
      </c>
      <c r="H49" s="194" t="s">
        <v>103</v>
      </c>
      <c r="I49" s="115">
        <f>SUM(I50:I53)</f>
        <v>0</v>
      </c>
      <c r="J49" s="194" t="s">
        <v>1311</v>
      </c>
      <c r="K49" s="115">
        <f>SUM(K50:K53)</f>
        <v>0</v>
      </c>
      <c r="L49" s="194" t="s">
        <v>1311</v>
      </c>
      <c r="M49" s="115">
        <f>SUM(M50:M53)</f>
        <v>0</v>
      </c>
      <c r="N49" s="194" t="s">
        <v>1311</v>
      </c>
      <c r="O49" s="115">
        <f>SUM(O50:O53)</f>
        <v>0</v>
      </c>
      <c r="P49" s="194" t="s">
        <v>1313</v>
      </c>
      <c r="Q49" s="194"/>
      <c r="R49" s="67"/>
      <c r="S49" s="194"/>
    </row>
    <row r="50" spans="1:19" ht="15" customHeight="1">
      <c r="A50" s="55">
        <v>2200</v>
      </c>
      <c r="B50" s="290" t="s">
        <v>728</v>
      </c>
      <c r="C50" s="194" t="s">
        <v>316</v>
      </c>
      <c r="D50" s="80" t="s">
        <v>1978</v>
      </c>
      <c r="E50" s="194" t="s">
        <v>1856</v>
      </c>
      <c r="F50" s="194"/>
      <c r="G50" s="70"/>
      <c r="H50" s="76"/>
      <c r="I50" s="155">
        <f>VLOOKUP(C50,Errichtungskosten,4,0)*VLOOKUP(VLOOKUP(C50,Errichtungskosten,8,0),ÖkodatenKonstruktionen,14,0)</f>
        <v>0</v>
      </c>
      <c r="J50" s="76" t="s">
        <v>1311</v>
      </c>
      <c r="K50" s="155">
        <f>VLOOKUP(C50,Errichtungskosten,4,0)*VLOOKUP(VLOOKUP(C50,Errichtungskosten,8,0),ÖkodatenKonstruktionen,15,0)</f>
        <v>0</v>
      </c>
      <c r="L50" s="76" t="s">
        <v>1311</v>
      </c>
      <c r="M50" s="155">
        <f>VLOOKUP(C50,Errichtungskosten,4,0)*VLOOKUP(VLOOKUP(C50,Errichtungskosten,8,0),ÖkodatenKonstruktionen,16,0)</f>
        <v>0</v>
      </c>
      <c r="N50" s="76" t="s">
        <v>1311</v>
      </c>
      <c r="O50" s="155">
        <f>VLOOKUP(C50,Errichtungskosten,4,0)*VLOOKUP(VLOOKUP(C50,Errichtungskosten,8,0),ÖkodatenKonstruktionen,18,0)</f>
        <v>0</v>
      </c>
      <c r="P50" s="76" t="s">
        <v>1313</v>
      </c>
      <c r="Q50" s="76"/>
      <c r="R50" s="155">
        <f>VLOOKUP(C50,Errichtungskosten,4,0)*VLOOKUP(VLOOKUP(C50,Errichtungskosten,8,0),ÖkodatenKonstruktionen,60,0)</f>
        <v>0</v>
      </c>
      <c r="S50" s="76" t="s">
        <v>1493</v>
      </c>
    </row>
    <row r="51" spans="1:19" ht="15" customHeight="1">
      <c r="A51" s="55"/>
      <c r="B51" s="290"/>
      <c r="C51" s="194" t="s">
        <v>1850</v>
      </c>
      <c r="D51" s="80" t="s">
        <v>1798</v>
      </c>
      <c r="E51" s="194" t="s">
        <v>1857</v>
      </c>
      <c r="F51" s="194"/>
      <c r="G51" s="70"/>
      <c r="H51" s="76"/>
      <c r="I51" s="155">
        <f>VLOOKUP(C50,Errichtungskosten,4,0)*0.01*VLOOKUP(C51,Errichtungskosten,4,0)*VLOOKUP(VLOOKUP(C51,Errichtungskosten,8,0),ÖkodatenKonstruktionen,14,0)</f>
        <v>0</v>
      </c>
      <c r="J51" s="76" t="s">
        <v>1311</v>
      </c>
      <c r="K51" s="155">
        <f>VLOOKUP(C50,Errichtungskosten,4,0)*0.01*VLOOKUP(C51,Errichtungskosten,4,0)*VLOOKUP(VLOOKUP(C51,Errichtungskosten,8,0),ÖkodatenKonstruktionen,15,0)</f>
        <v>0</v>
      </c>
      <c r="L51" s="76" t="s">
        <v>1311</v>
      </c>
      <c r="M51" s="155">
        <f>VLOOKUP(C50,Errichtungskosten,4,0)*0.01*VLOOKUP(C51,Errichtungskosten,4,0)*VLOOKUP(VLOOKUP(C51,Errichtungskosten,8,0),ÖkodatenKonstruktionen,16,0)</f>
        <v>0</v>
      </c>
      <c r="N51" s="76" t="s">
        <v>1311</v>
      </c>
      <c r="O51" s="155">
        <f>VLOOKUP(C50,Errichtungskosten,4,0)*0.01*VLOOKUP(C51,Errichtungskosten,4,0)*VLOOKUP(VLOOKUP(C51,Errichtungskosten,8,0),ÖkodatenKonstruktionen,18,0)</f>
        <v>0</v>
      </c>
      <c r="P51" s="76" t="s">
        <v>1313</v>
      </c>
      <c r="Q51" s="76"/>
      <c r="R51" s="155">
        <f>VLOOKUP(C50,Errichtungskosten,4,0)*0.01*VLOOKUP(C51,Errichtungskosten,4,0)*VLOOKUP(VLOOKUP(C51,Errichtungskosten,8,0),ÖkodatenKonstruktionen,60,0)</f>
        <v>0</v>
      </c>
      <c r="S51" s="76" t="s">
        <v>1493</v>
      </c>
    </row>
    <row r="52" spans="1:19" ht="15" customHeight="1">
      <c r="A52" s="55"/>
      <c r="B52" s="290"/>
      <c r="C52" s="194" t="s">
        <v>1851</v>
      </c>
      <c r="D52" s="80" t="s">
        <v>1799</v>
      </c>
      <c r="E52" s="194"/>
      <c r="F52" s="194"/>
      <c r="G52" s="70"/>
      <c r="H52" s="76"/>
      <c r="I52" s="155">
        <f>VLOOKUP(C50,Errichtungskosten,4,0)*VLOOKUP(VLOOKUP(C52,Errichtungskosten,8,0),ÖkodatenKonstruktionen,14,0)</f>
        <v>0</v>
      </c>
      <c r="J52" s="76" t="s">
        <v>1311</v>
      </c>
      <c r="K52" s="155">
        <f>VLOOKUP(C50,Errichtungskosten,4,0)*VLOOKUP(VLOOKUP(C52,Errichtungskosten,8,0),ÖkodatenKonstruktionen,15,0)</f>
        <v>0</v>
      </c>
      <c r="L52" s="76" t="s">
        <v>1311</v>
      </c>
      <c r="M52" s="155">
        <f>VLOOKUP(C50,Errichtungskosten,4,0)*VLOOKUP(VLOOKUP(C52,Errichtungskosten,8,0),ÖkodatenKonstruktionen,16,0)</f>
        <v>0</v>
      </c>
      <c r="N52" s="76" t="s">
        <v>1311</v>
      </c>
      <c r="O52" s="155">
        <f>VLOOKUP(C50,Errichtungskosten,4,0)*VLOOKUP(VLOOKUP(C52,Errichtungskosten,8,0),ÖkodatenKonstruktionen,18,0)</f>
        <v>0</v>
      </c>
      <c r="P52" s="76" t="s">
        <v>1313</v>
      </c>
      <c r="Q52" s="76"/>
      <c r="R52" s="155">
        <f>VLOOKUP(C50,Errichtungskosten,4,0)*VLOOKUP(VLOOKUP(C52,Errichtungskosten,8,0),ÖkodatenKonstruktionen,60,0)</f>
        <v>0</v>
      </c>
      <c r="S52" s="76" t="s">
        <v>1493</v>
      </c>
    </row>
    <row r="53" spans="1:19" ht="15" customHeight="1">
      <c r="A53" s="55"/>
      <c r="B53" s="290"/>
      <c r="C53" s="194" t="s">
        <v>1852</v>
      </c>
      <c r="D53" s="80" t="s">
        <v>1797</v>
      </c>
      <c r="E53" s="194"/>
      <c r="F53" s="194"/>
      <c r="G53" s="70"/>
      <c r="H53" s="76"/>
      <c r="I53" s="155">
        <f>VLOOKUP(C50,Errichtungskosten,4,0)*VLOOKUP(VLOOKUP(C53,Errichtungskosten,8,0),ÖkodatenKonstruktionen,14,0)</f>
        <v>0</v>
      </c>
      <c r="J53" s="76" t="s">
        <v>1311</v>
      </c>
      <c r="K53" s="155">
        <f>VLOOKUP(C50,Errichtungskosten,4,0)*VLOOKUP(VLOOKUP(C53,Errichtungskosten,8,0),ÖkodatenKonstruktionen,15,0)</f>
        <v>0</v>
      </c>
      <c r="L53" s="76" t="s">
        <v>1311</v>
      </c>
      <c r="M53" s="155">
        <f>VLOOKUP(C50,Errichtungskosten,4,0)*VLOOKUP(VLOOKUP(C53,Errichtungskosten,8,0),ÖkodatenKonstruktionen,16,0)</f>
        <v>0</v>
      </c>
      <c r="N53" s="76" t="s">
        <v>1311</v>
      </c>
      <c r="O53" s="155">
        <f>VLOOKUP(C50,Errichtungskosten,4,0)*VLOOKUP(VLOOKUP(C53,Errichtungskosten,8,0),ÖkodatenKonstruktionen,18,0)</f>
        <v>0</v>
      </c>
      <c r="P53" s="76" t="s">
        <v>1313</v>
      </c>
      <c r="Q53" s="76"/>
      <c r="R53" s="155">
        <f>VLOOKUP(C50,Errichtungskosten,4,0)*VLOOKUP(VLOOKUP(C53,Errichtungskosten,8,0),ÖkodatenKonstruktionen,60,0)</f>
        <v>0</v>
      </c>
      <c r="S53" s="76" t="s">
        <v>1493</v>
      </c>
    </row>
    <row r="54" spans="1:19" ht="15" customHeight="1">
      <c r="A54" s="55"/>
      <c r="B54" s="290"/>
      <c r="C54" s="194" t="s">
        <v>1993</v>
      </c>
      <c r="D54" s="194" t="s">
        <v>1979</v>
      </c>
      <c r="E54" s="194"/>
      <c r="F54" s="194"/>
      <c r="G54" s="115">
        <f>VLOOKUP(C55,Errichtungskosten,12,0)</f>
        <v>0</v>
      </c>
      <c r="H54" s="194" t="s">
        <v>103</v>
      </c>
      <c r="I54" s="115">
        <f>SUM(I55:I58)</f>
        <v>0</v>
      </c>
      <c r="J54" s="194" t="s">
        <v>1311</v>
      </c>
      <c r="K54" s="115">
        <f>SUM(K55:K58)</f>
        <v>0</v>
      </c>
      <c r="L54" s="194" t="s">
        <v>1311</v>
      </c>
      <c r="M54" s="115">
        <f>SUM(M55:M58)</f>
        <v>0</v>
      </c>
      <c r="N54" s="194" t="s">
        <v>1311</v>
      </c>
      <c r="O54" s="115">
        <f>SUM(O55:O58)</f>
        <v>0</v>
      </c>
      <c r="P54" s="194" t="s">
        <v>1313</v>
      </c>
      <c r="Q54" s="194"/>
      <c r="R54" s="67"/>
      <c r="S54" s="194"/>
    </row>
    <row r="55" spans="1:19" ht="15" customHeight="1">
      <c r="A55" s="55">
        <v>2300</v>
      </c>
      <c r="B55" s="290" t="s">
        <v>728</v>
      </c>
      <c r="C55" s="194" t="s">
        <v>314</v>
      </c>
      <c r="D55" s="80" t="s">
        <v>1978</v>
      </c>
      <c r="E55" s="194"/>
      <c r="F55" s="194"/>
      <c r="G55" s="70"/>
      <c r="H55" s="76"/>
      <c r="I55" s="155">
        <f>VLOOKUP($C$55,Errichtungskosten,4,0)*VLOOKUP(VLOOKUP($C$55,Errichtungskosten,8,0),ÖkodatenKonstruktionen,14,0)</f>
        <v>0</v>
      </c>
      <c r="J55" s="76" t="s">
        <v>1311</v>
      </c>
      <c r="K55" s="155">
        <f>VLOOKUP($C$55,Errichtungskosten,4,0)*VLOOKUP(VLOOKUP($C$55,Errichtungskosten,8,0),ÖkodatenKonstruktionen,15,0)</f>
        <v>0</v>
      </c>
      <c r="L55" s="76" t="s">
        <v>1311</v>
      </c>
      <c r="M55" s="155">
        <f>VLOOKUP($C$55,Errichtungskosten,4,0)*VLOOKUP(VLOOKUP($C$55,Errichtungskosten,8,0),ÖkodatenKonstruktionen,16,0)</f>
        <v>0</v>
      </c>
      <c r="N55" s="76" t="s">
        <v>1311</v>
      </c>
      <c r="O55" s="155">
        <f>VLOOKUP($C$55,Errichtungskosten,4,0)*VLOOKUP(VLOOKUP($C$55,Errichtungskosten,8,0),ÖkodatenKonstruktionen,18,0)</f>
        <v>0</v>
      </c>
      <c r="P55" s="76" t="s">
        <v>1313</v>
      </c>
      <c r="Q55" s="76"/>
      <c r="R55" s="155">
        <f>VLOOKUP($C$55,Errichtungskosten,4,0)*VLOOKUP(VLOOKUP($C$55,Errichtungskosten,8,0),ÖkodatenKonstruktionen,60,0)</f>
        <v>0</v>
      </c>
      <c r="S55" s="76" t="s">
        <v>1493</v>
      </c>
    </row>
    <row r="56" spans="1:19" ht="15" customHeight="1">
      <c r="A56" s="55"/>
      <c r="B56" s="290"/>
      <c r="C56" s="194" t="s">
        <v>1853</v>
      </c>
      <c r="D56" s="80" t="s">
        <v>1798</v>
      </c>
      <c r="E56" s="194"/>
      <c r="F56" s="194"/>
      <c r="G56" s="70"/>
      <c r="H56" s="76"/>
      <c r="I56" s="155">
        <f>VLOOKUP($C$55,Errichtungskosten,4,0)*0.01*VLOOKUP($C$56,Errichtungskosten,4,0)*VLOOKUP(VLOOKUP($C$56,Errichtungskosten,8,0),ÖkodatenKonstruktionen,14,0)</f>
        <v>0</v>
      </c>
      <c r="J56" s="76" t="s">
        <v>1311</v>
      </c>
      <c r="K56" s="155">
        <f>VLOOKUP($C$55,Errichtungskosten,4,0)*0.01*VLOOKUP($C$56,Errichtungskosten,4,0)*VLOOKUP(VLOOKUP($C$56,Errichtungskosten,8,0),ÖkodatenKonstruktionen,15,0)</f>
        <v>0</v>
      </c>
      <c r="L56" s="76" t="s">
        <v>1311</v>
      </c>
      <c r="M56" s="155">
        <f>VLOOKUP($C$55,Errichtungskosten,4,0)*0.01*VLOOKUP($C$56,Errichtungskosten,4,0)*VLOOKUP(VLOOKUP($C$56,Errichtungskosten,8,0),ÖkodatenKonstruktionen,16,0)</f>
        <v>0</v>
      </c>
      <c r="N56" s="76" t="s">
        <v>1311</v>
      </c>
      <c r="O56" s="155">
        <f>VLOOKUP($C$55,Errichtungskosten,4,0)*0.01*VLOOKUP($C$56,Errichtungskosten,4,0)*VLOOKUP(VLOOKUP($C$56,Errichtungskosten,8,0),ÖkodatenKonstruktionen,18,0)</f>
        <v>0</v>
      </c>
      <c r="P56" s="76" t="s">
        <v>1313</v>
      </c>
      <c r="Q56" s="76"/>
      <c r="R56" s="155">
        <f>VLOOKUP($C$55,Errichtungskosten,4,0)*0.01*VLOOKUP($C$56,Errichtungskosten,4,0)*VLOOKUP(VLOOKUP($C$56,Errichtungskosten,8,0),ÖkodatenKonstruktionen,60,0)</f>
        <v>0</v>
      </c>
      <c r="S56" s="76" t="s">
        <v>1493</v>
      </c>
    </row>
    <row r="57" spans="1:19" ht="15" customHeight="1">
      <c r="A57" s="55"/>
      <c r="B57" s="290"/>
      <c r="C57" s="194" t="s">
        <v>1854</v>
      </c>
      <c r="D57" s="80" t="s">
        <v>1799</v>
      </c>
      <c r="E57" s="194"/>
      <c r="F57" s="194"/>
      <c r="G57" s="70"/>
      <c r="H57" s="76"/>
      <c r="I57" s="155">
        <f>VLOOKUP($C$55,Errichtungskosten,4,0)*VLOOKUP(VLOOKUP($C$57,Errichtungskosten,8,0),ÖkodatenKonstruktionen,14,0)</f>
        <v>0</v>
      </c>
      <c r="J57" s="76" t="s">
        <v>1311</v>
      </c>
      <c r="K57" s="155">
        <f>VLOOKUP($C$55,Errichtungskosten,4,0)*VLOOKUP(VLOOKUP($C$57,Errichtungskosten,8,0),ÖkodatenKonstruktionen,15,0)</f>
        <v>0</v>
      </c>
      <c r="L57" s="76" t="s">
        <v>1311</v>
      </c>
      <c r="M57" s="155">
        <f>VLOOKUP($C$55,Errichtungskosten,4,0)*VLOOKUP(VLOOKUP($C$57,Errichtungskosten,8,0),ÖkodatenKonstruktionen,16,0)</f>
        <v>0</v>
      </c>
      <c r="N57" s="76" t="s">
        <v>1311</v>
      </c>
      <c r="O57" s="155">
        <f>VLOOKUP($C$55,Errichtungskosten,4,0)*VLOOKUP(VLOOKUP($C$57,Errichtungskosten,8,0),ÖkodatenKonstruktionen,18,0)</f>
        <v>0</v>
      </c>
      <c r="P57" s="76" t="s">
        <v>1313</v>
      </c>
      <c r="Q57" s="76"/>
      <c r="R57" s="155">
        <f>VLOOKUP($C$55,Errichtungskosten,4,0)*VLOOKUP(VLOOKUP($C$57,Errichtungskosten,8,0),ÖkodatenKonstruktionen,60,0)</f>
        <v>0</v>
      </c>
      <c r="S57" s="76" t="s">
        <v>1493</v>
      </c>
    </row>
    <row r="58" spans="1:19" ht="15" customHeight="1">
      <c r="A58" s="55"/>
      <c r="B58" s="290"/>
      <c r="C58" s="194" t="s">
        <v>1855</v>
      </c>
      <c r="D58" s="80" t="s">
        <v>1797</v>
      </c>
      <c r="E58" s="194"/>
      <c r="F58" s="194"/>
      <c r="G58" s="70"/>
      <c r="H58" s="76"/>
      <c r="I58" s="155">
        <f>VLOOKUP($C$55,Errichtungskosten,4,0)*VLOOKUP(VLOOKUP($C$58,Errichtungskosten,8,0),ÖkodatenKonstruktionen,14,0)</f>
        <v>0</v>
      </c>
      <c r="J58" s="76" t="s">
        <v>1311</v>
      </c>
      <c r="K58" s="155">
        <f>VLOOKUP($C$55,Errichtungskosten,4,0)*VLOOKUP(VLOOKUP($C$58,Errichtungskosten,8,0),ÖkodatenKonstruktionen,15,0)</f>
        <v>0</v>
      </c>
      <c r="L58" s="76" t="s">
        <v>1311</v>
      </c>
      <c r="M58" s="155">
        <f>VLOOKUP($C$55,Errichtungskosten,4,0)*VLOOKUP(VLOOKUP($C$58,Errichtungskosten,8,0),ÖkodatenKonstruktionen,16,0)</f>
        <v>0</v>
      </c>
      <c r="N58" s="76" t="s">
        <v>1311</v>
      </c>
      <c r="O58" s="155">
        <f>VLOOKUP($C$55,Errichtungskosten,4,0)*VLOOKUP(VLOOKUP($C$58,Errichtungskosten,8,0),ÖkodatenKonstruktionen,18,0)</f>
        <v>0</v>
      </c>
      <c r="P58" s="76" t="s">
        <v>1313</v>
      </c>
      <c r="Q58" s="76"/>
      <c r="R58" s="155">
        <f>VLOOKUP($C$55,Errichtungskosten,4,0)*VLOOKUP(VLOOKUP($C$58,Errichtungskosten,8,0),ÖkodatenKonstruktionen,60,0)</f>
        <v>0</v>
      </c>
      <c r="S58" s="76" t="s">
        <v>1493</v>
      </c>
    </row>
    <row r="59" spans="1:19" ht="15" customHeight="1">
      <c r="A59" s="55"/>
      <c r="B59" s="290"/>
      <c r="C59" s="194" t="s">
        <v>1189</v>
      </c>
      <c r="D59" s="194" t="s">
        <v>1190</v>
      </c>
      <c r="E59" s="194"/>
      <c r="F59" s="194"/>
      <c r="G59" s="115">
        <f t="shared" ref="G59:G89" si="1">VLOOKUP(C59,Errichtungskosten,12,0)</f>
        <v>0</v>
      </c>
      <c r="H59" s="194" t="s">
        <v>103</v>
      </c>
      <c r="I59" s="194"/>
      <c r="J59" s="194"/>
      <c r="K59" s="194"/>
      <c r="L59" s="194"/>
      <c r="M59" s="194"/>
      <c r="N59" s="194"/>
      <c r="O59" s="194"/>
      <c r="P59" s="194"/>
      <c r="Q59" s="194"/>
      <c r="R59" s="194"/>
      <c r="S59" s="194"/>
    </row>
    <row r="60" spans="1:19" ht="15" customHeight="1">
      <c r="A60" s="55">
        <v>2600</v>
      </c>
      <c r="B60" s="290" t="s">
        <v>728</v>
      </c>
      <c r="C60" s="194" t="s">
        <v>313</v>
      </c>
      <c r="D60" s="194" t="s">
        <v>312</v>
      </c>
      <c r="E60" s="254"/>
      <c r="F60" s="254"/>
      <c r="G60" s="115">
        <f t="shared" si="1"/>
        <v>0</v>
      </c>
      <c r="H60" s="194" t="s">
        <v>103</v>
      </c>
      <c r="I60" s="194"/>
      <c r="J60" s="194"/>
      <c r="K60" s="194"/>
      <c r="L60" s="194"/>
      <c r="M60" s="194"/>
      <c r="N60" s="194"/>
      <c r="O60" s="194"/>
      <c r="P60" s="194"/>
      <c r="Q60" s="194"/>
      <c r="R60" s="194"/>
      <c r="S60" s="194"/>
    </row>
    <row r="61" spans="1:19" ht="15" customHeight="1">
      <c r="A61" s="293">
        <v>2700</v>
      </c>
      <c r="B61" s="294" t="s">
        <v>743</v>
      </c>
      <c r="C61" s="172" t="s">
        <v>311</v>
      </c>
      <c r="D61" s="172" t="s">
        <v>310</v>
      </c>
      <c r="E61" s="172"/>
      <c r="F61" s="172"/>
      <c r="G61" s="157">
        <f t="shared" si="1"/>
        <v>0</v>
      </c>
      <c r="H61" s="172" t="s">
        <v>103</v>
      </c>
      <c r="I61" s="158">
        <f>SUM(I62,I67,I71,I72,I73)</f>
        <v>0</v>
      </c>
      <c r="J61" s="172" t="s">
        <v>1311</v>
      </c>
      <c r="K61" s="158">
        <f>SUM(K62,K67,K71,K72,K73)</f>
        <v>0</v>
      </c>
      <c r="L61" s="172" t="s">
        <v>1311</v>
      </c>
      <c r="M61" s="158">
        <f>SUM(M62,M67,M71,M72,M73)</f>
        <v>0</v>
      </c>
      <c r="N61" s="172" t="s">
        <v>1311</v>
      </c>
      <c r="O61" s="158">
        <f>SUM(O62,O67,O71,O72,O73)</f>
        <v>0</v>
      </c>
      <c r="P61" s="172" t="s">
        <v>1313</v>
      </c>
      <c r="Q61" s="172"/>
      <c r="R61" s="171"/>
      <c r="S61" s="172"/>
    </row>
    <row r="62" spans="1:19" ht="15" customHeight="1">
      <c r="A62" s="293">
        <v>2800</v>
      </c>
      <c r="B62" s="294" t="s">
        <v>743</v>
      </c>
      <c r="C62" s="172" t="s">
        <v>309</v>
      </c>
      <c r="D62" s="172" t="s">
        <v>308</v>
      </c>
      <c r="E62" s="172"/>
      <c r="F62" s="172"/>
      <c r="G62" s="157">
        <f t="shared" si="1"/>
        <v>0</v>
      </c>
      <c r="H62" s="172" t="s">
        <v>103</v>
      </c>
      <c r="I62" s="158">
        <f>SUM(I63:I66)</f>
        <v>0</v>
      </c>
      <c r="J62" s="172" t="s">
        <v>1311</v>
      </c>
      <c r="K62" s="158">
        <f>SUM(K63:K66)</f>
        <v>0</v>
      </c>
      <c r="L62" s="172" t="s">
        <v>1311</v>
      </c>
      <c r="M62" s="158">
        <f>SUM(M63:M66)</f>
        <v>0</v>
      </c>
      <c r="N62" s="172" t="s">
        <v>1311</v>
      </c>
      <c r="O62" s="158">
        <f>SUM(O63:O66)</f>
        <v>0</v>
      </c>
      <c r="P62" s="172" t="s">
        <v>1313</v>
      </c>
      <c r="Q62" s="172"/>
      <c r="R62" s="171"/>
      <c r="S62" s="172"/>
    </row>
    <row r="63" spans="1:19" ht="15" customHeight="1">
      <c r="A63" s="55">
        <v>2900</v>
      </c>
      <c r="B63" s="290" t="s">
        <v>728</v>
      </c>
      <c r="C63" s="194" t="s">
        <v>307</v>
      </c>
      <c r="D63" s="194" t="s">
        <v>2305</v>
      </c>
      <c r="E63" s="194"/>
      <c r="F63" s="194"/>
      <c r="G63" s="115">
        <f t="shared" si="1"/>
        <v>0</v>
      </c>
      <c r="H63" s="194" t="s">
        <v>103</v>
      </c>
      <c r="I63" s="155">
        <f>VLOOKUP(C63,Errichtungskosten,4,0)*VLOOKUP(VLOOKUP(C63,Errichtungskosten,8,0),ÖkodatenKonstruktionen,14,0)</f>
        <v>0</v>
      </c>
      <c r="J63" s="194" t="s">
        <v>1311</v>
      </c>
      <c r="K63" s="155">
        <f>VLOOKUP(C63,Errichtungskosten,4,0)*VLOOKUP(VLOOKUP(C63,Errichtungskosten,8,0),ÖkodatenKonstruktionen,15,0)</f>
        <v>0</v>
      </c>
      <c r="L63" s="194" t="s">
        <v>1311</v>
      </c>
      <c r="M63" s="155">
        <f>VLOOKUP(C63,Errichtungskosten,4,0)*VLOOKUP(VLOOKUP(C63,Errichtungskosten,8,0),ÖkodatenKonstruktionen,16,0)</f>
        <v>0</v>
      </c>
      <c r="N63" s="194" t="s">
        <v>1311</v>
      </c>
      <c r="O63" s="155">
        <f>VLOOKUP(C63,Errichtungskosten,4,0)*VLOOKUP(VLOOKUP(C63,Errichtungskosten,8,0),ÖkodatenKonstruktionen,18,0)</f>
        <v>0</v>
      </c>
      <c r="P63" s="194" t="s">
        <v>1313</v>
      </c>
      <c r="Q63" s="194"/>
      <c r="R63" s="155">
        <f>VLOOKUP(C63,Errichtungskosten,4,0)*VLOOKUP(VLOOKUP(C63,Errichtungskosten,8,0),ÖkodatenKonstruktionen,60,0)</f>
        <v>0</v>
      </c>
      <c r="S63" s="194" t="s">
        <v>1493</v>
      </c>
    </row>
    <row r="64" spans="1:19" ht="15" customHeight="1">
      <c r="A64" s="55">
        <v>3000</v>
      </c>
      <c r="B64" s="290" t="s">
        <v>728</v>
      </c>
      <c r="C64" s="194" t="s">
        <v>306</v>
      </c>
      <c r="D64" s="194" t="s">
        <v>2306</v>
      </c>
      <c r="E64" s="194"/>
      <c r="F64" s="194"/>
      <c r="G64" s="115">
        <f t="shared" si="1"/>
        <v>0</v>
      </c>
      <c r="H64" s="194" t="s">
        <v>103</v>
      </c>
      <c r="I64" s="155">
        <f>VLOOKUP(C64,Errichtungskosten,4,0)*VLOOKUP(VLOOKUP(C64,Errichtungskosten,8,0),ÖkodatenKonstruktionen,14,0)</f>
        <v>0</v>
      </c>
      <c r="J64" s="194" t="s">
        <v>1311</v>
      </c>
      <c r="K64" s="155">
        <f>VLOOKUP(C64,Errichtungskosten,4,0)*VLOOKUP(VLOOKUP(C64,Errichtungskosten,8,0),ÖkodatenKonstruktionen,15,0)</f>
        <v>0</v>
      </c>
      <c r="L64" s="194" t="s">
        <v>1311</v>
      </c>
      <c r="M64" s="155">
        <f>VLOOKUP(C64,Errichtungskosten,4,0)*VLOOKUP(VLOOKUP(C64,Errichtungskosten,8,0),ÖkodatenKonstruktionen,16,0)</f>
        <v>0</v>
      </c>
      <c r="N64" s="194" t="s">
        <v>1311</v>
      </c>
      <c r="O64" s="155">
        <f>VLOOKUP(C64,Errichtungskosten,4,0)*VLOOKUP(VLOOKUP(C64,Errichtungskosten,8,0),ÖkodatenKonstruktionen,18,0)</f>
        <v>0</v>
      </c>
      <c r="P64" s="194" t="s">
        <v>1313</v>
      </c>
      <c r="Q64" s="194"/>
      <c r="R64" s="155">
        <f>VLOOKUP(C64,Errichtungskosten,4,0)*VLOOKUP(VLOOKUP(C64,Errichtungskosten,8,0),ÖkodatenKonstruktionen,60,0)</f>
        <v>0</v>
      </c>
      <c r="S64" s="194" t="s">
        <v>1493</v>
      </c>
    </row>
    <row r="65" spans="1:19" ht="15" customHeight="1">
      <c r="A65" s="55"/>
      <c r="B65" s="290" t="s">
        <v>728</v>
      </c>
      <c r="C65" s="194" t="s">
        <v>304</v>
      </c>
      <c r="D65" s="194" t="s">
        <v>1752</v>
      </c>
      <c r="E65" s="194"/>
      <c r="F65" s="194"/>
      <c r="G65" s="115">
        <f t="shared" si="1"/>
        <v>0</v>
      </c>
      <c r="H65" s="194" t="s">
        <v>103</v>
      </c>
      <c r="I65" s="155">
        <f>VLOOKUP(C65,Errichtungskosten,4,0)*VLOOKUP(VLOOKUP(C65,Errichtungskosten,8,0),ÖkodatenKonstruktionen,14,0)+VLOOKUP(C65,Errichtungskosten,4,0)*0.01*VLOOKUP("E2.E.01.ds",Errichtungskosten,4,0)*VLOOKUP(VLOOKUP("E2.E.01.ds",Errichtungskosten,8,0),ÖkodatenKonstruktionen,14,0)</f>
        <v>0</v>
      </c>
      <c r="J65" s="194" t="s">
        <v>1311</v>
      </c>
      <c r="K65" s="155">
        <f>VLOOKUP(C65,Errichtungskosten,4,0)*VLOOKUP(VLOOKUP(C65,Errichtungskosten,8,0),ÖkodatenKonstruktionen,15,0)+VLOOKUP(C65,Errichtungskosten,4,0)*0.01*VLOOKUP("E2.E.01.ds",Errichtungskosten,4,0)*VLOOKUP(VLOOKUP("E2.E.01.ds",Errichtungskosten,8,0),ÖkodatenKonstruktionen,15,0)</f>
        <v>0</v>
      </c>
      <c r="L65" s="194" t="s">
        <v>1311</v>
      </c>
      <c r="M65" s="155">
        <f>VLOOKUP(C65,Errichtungskosten,4,0)*VLOOKUP(VLOOKUP(C65,Errichtungskosten,8,0),ÖkodatenKonstruktionen,16,0)+VLOOKUP(C65,Errichtungskosten,4,0)*0.01*VLOOKUP("E2.E.01.ds",Errichtungskosten,4,0)*VLOOKUP(VLOOKUP("E2.E.01.ds",Errichtungskosten,8,0),ÖkodatenKonstruktionen,16,0)</f>
        <v>0</v>
      </c>
      <c r="N65" s="194" t="s">
        <v>1311</v>
      </c>
      <c r="O65" s="155">
        <f>VLOOKUP(C65,Errichtungskosten,4,0)*VLOOKUP(VLOOKUP(C65,Errichtungskosten,8,0),ÖkodatenKonstruktionen,18,0)+VLOOKUP(C65,Errichtungskosten,4,0)*0.01*VLOOKUP("E2.E.01.ds",Errichtungskosten,4,0)*VLOOKUP(VLOOKUP("E2.E.01.ds",Errichtungskosten,8,0),ÖkodatenKonstruktionen,18,0)</f>
        <v>0</v>
      </c>
      <c r="P65" s="194" t="s">
        <v>1313</v>
      </c>
      <c r="Q65" s="194"/>
      <c r="R65" s="155">
        <f>VLOOKUP(C65,Errichtungskosten,4,0)*VLOOKUP(VLOOKUP(C65,Errichtungskosten,8,0),ÖkodatenKonstruktionen,60,0)+VLOOKUP(C65,Errichtungskosten,4,0)*0.01*VLOOKUP("E2.E.01.ds",Errichtungskosten,4,0)*VLOOKUP(VLOOKUP("E2.E.01.ds",Errichtungskosten,8,0),ÖkodatenKonstruktionen,60,0)</f>
        <v>0</v>
      </c>
      <c r="S65" s="194" t="s">
        <v>1493</v>
      </c>
    </row>
    <row r="66" spans="1:19" ht="15" customHeight="1">
      <c r="A66" s="55"/>
      <c r="B66" s="290"/>
      <c r="C66" s="194" t="s">
        <v>1796</v>
      </c>
      <c r="D66" s="194" t="s">
        <v>1472</v>
      </c>
      <c r="E66" s="194"/>
      <c r="F66" s="194"/>
      <c r="G66" s="115">
        <f t="shared" si="1"/>
        <v>0</v>
      </c>
      <c r="H66" s="194" t="s">
        <v>103</v>
      </c>
      <c r="I66" s="155">
        <f>VLOOKUP(C66,Errichtungskosten,4,0)*VLOOKUP(VLOOKUP(C66,Errichtungskosten,8,0),ÖkodatenKonstruktionen,14,0)</f>
        <v>0</v>
      </c>
      <c r="J66" s="194" t="s">
        <v>1311</v>
      </c>
      <c r="K66" s="155">
        <f>VLOOKUP(C66,Errichtungskosten,4,0)*VLOOKUP(VLOOKUP(C66,Errichtungskosten,8,0),ÖkodatenKonstruktionen,15,0)</f>
        <v>0</v>
      </c>
      <c r="L66" s="194" t="s">
        <v>1311</v>
      </c>
      <c r="M66" s="155">
        <f>VLOOKUP(C66,Errichtungskosten,4,0)*VLOOKUP(VLOOKUP(C66,Errichtungskosten,8,0),ÖkodatenKonstruktionen,16,0)</f>
        <v>0</v>
      </c>
      <c r="N66" s="194" t="s">
        <v>1311</v>
      </c>
      <c r="O66" s="155">
        <f>VLOOKUP(C66,Errichtungskosten,4,0)*VLOOKUP(VLOOKUP(C66,Errichtungskosten,8,0),ÖkodatenKonstruktionen,18,0)</f>
        <v>0</v>
      </c>
      <c r="P66" s="194" t="s">
        <v>1313</v>
      </c>
      <c r="Q66" s="194"/>
      <c r="R66" s="155">
        <f>VLOOKUP(C66,Errichtungskosten,4,0)*VLOOKUP(VLOOKUP(C66,Errichtungskosten,8,0),ÖkodatenKonstruktionen,60,0)</f>
        <v>0</v>
      </c>
      <c r="S66" s="194" t="s">
        <v>1493</v>
      </c>
    </row>
    <row r="67" spans="1:19" ht="15" customHeight="1">
      <c r="A67" s="293">
        <v>3400</v>
      </c>
      <c r="B67" s="294" t="s">
        <v>728</v>
      </c>
      <c r="C67" s="172" t="s">
        <v>303</v>
      </c>
      <c r="D67" s="172" t="s">
        <v>302</v>
      </c>
      <c r="E67" s="172"/>
      <c r="F67" s="172"/>
      <c r="G67" s="158">
        <f t="shared" si="1"/>
        <v>0</v>
      </c>
      <c r="H67" s="172" t="s">
        <v>103</v>
      </c>
      <c r="I67" s="158">
        <f>SUM(I68:I70)</f>
        <v>0</v>
      </c>
      <c r="J67" s="172" t="s">
        <v>1311</v>
      </c>
      <c r="K67" s="158">
        <f>SUM(K68:K70)</f>
        <v>0</v>
      </c>
      <c r="L67" s="172" t="s">
        <v>1311</v>
      </c>
      <c r="M67" s="158">
        <f>SUM(M68:M70)</f>
        <v>0</v>
      </c>
      <c r="N67" s="172" t="s">
        <v>1311</v>
      </c>
      <c r="O67" s="158">
        <f>SUM(O68:O70)</f>
        <v>0</v>
      </c>
      <c r="P67" s="172" t="s">
        <v>1313</v>
      </c>
      <c r="Q67" s="172"/>
      <c r="R67" s="171"/>
      <c r="S67" s="172"/>
    </row>
    <row r="68" spans="1:19" ht="15" customHeight="1">
      <c r="A68" s="55"/>
      <c r="B68" s="290"/>
      <c r="C68" s="194" t="s">
        <v>1569</v>
      </c>
      <c r="D68" s="80" t="s">
        <v>2308</v>
      </c>
      <c r="E68" s="194"/>
      <c r="F68" s="194"/>
      <c r="G68" s="115">
        <f t="shared" si="1"/>
        <v>0</v>
      </c>
      <c r="H68" s="76" t="s">
        <v>103</v>
      </c>
      <c r="I68" s="155">
        <f>VLOOKUP(C68,Errichtungskosten,4,0)*VLOOKUP(VLOOKUP(C68,Errichtungskosten,8,0),ÖkodatenKonstruktionen,14,0)</f>
        <v>0</v>
      </c>
      <c r="J68" s="76" t="s">
        <v>1311</v>
      </c>
      <c r="K68" s="155">
        <f>VLOOKUP(C68,Errichtungskosten,4,0)*VLOOKUP(VLOOKUP(C68,Errichtungskosten,8,0),ÖkodatenKonstruktionen,15,0)</f>
        <v>0</v>
      </c>
      <c r="L68" s="76" t="s">
        <v>1311</v>
      </c>
      <c r="M68" s="155">
        <f>VLOOKUP(C68,Errichtungskosten,4,0)*VLOOKUP(VLOOKUP(C68,Errichtungskosten,8,0),ÖkodatenKonstruktionen,16,0)</f>
        <v>0</v>
      </c>
      <c r="N68" s="76" t="s">
        <v>1311</v>
      </c>
      <c r="O68" s="155">
        <f>VLOOKUP(C68,Errichtungskosten,4,0)*VLOOKUP(VLOOKUP(C68,Errichtungskosten,8,0),ÖkodatenKonstruktionen,18,0)</f>
        <v>0</v>
      </c>
      <c r="P68" s="76" t="s">
        <v>1313</v>
      </c>
      <c r="Q68" s="76"/>
      <c r="R68" s="155">
        <f>VLOOKUP(C68,Errichtungskosten,4,0)*VLOOKUP(VLOOKUP(C68,Errichtungskosten,8,0),ÖkodatenKonstruktionen,60,0)</f>
        <v>0</v>
      </c>
      <c r="S68" s="76" t="s">
        <v>1493</v>
      </c>
    </row>
    <row r="69" spans="1:19" ht="15" customHeight="1">
      <c r="A69" s="55"/>
      <c r="B69" s="290"/>
      <c r="C69" s="194" t="s">
        <v>1570</v>
      </c>
      <c r="D69" s="80" t="s">
        <v>2309</v>
      </c>
      <c r="E69" s="194"/>
      <c r="F69" s="194"/>
      <c r="G69" s="115">
        <f t="shared" si="1"/>
        <v>0</v>
      </c>
      <c r="H69" s="76" t="s">
        <v>103</v>
      </c>
      <c r="I69" s="155">
        <f>VLOOKUP(C69,Errichtungskosten,4,0)*VLOOKUP(VLOOKUP(C69,Errichtungskosten,8,0),ÖkodatenKonstruktionen,14,0)</f>
        <v>0</v>
      </c>
      <c r="J69" s="76" t="s">
        <v>1311</v>
      </c>
      <c r="K69" s="155">
        <f>VLOOKUP(C69,Errichtungskosten,4,0)*VLOOKUP(VLOOKUP(C69,Errichtungskosten,8,0),ÖkodatenKonstruktionen,15,0)</f>
        <v>0</v>
      </c>
      <c r="L69" s="76" t="s">
        <v>1311</v>
      </c>
      <c r="M69" s="155">
        <f>VLOOKUP(C69,Errichtungskosten,4,0)*VLOOKUP(VLOOKUP(C69,Errichtungskosten,8,0),ÖkodatenKonstruktionen,16,0)</f>
        <v>0</v>
      </c>
      <c r="N69" s="76" t="s">
        <v>1311</v>
      </c>
      <c r="O69" s="155">
        <f>VLOOKUP(C69,Errichtungskosten,4,0)*VLOOKUP(VLOOKUP(C69,Errichtungskosten,8,0),ÖkodatenKonstruktionen,18,0)</f>
        <v>0</v>
      </c>
      <c r="P69" s="76" t="s">
        <v>1313</v>
      </c>
      <c r="Q69" s="76"/>
      <c r="R69" s="155">
        <f>VLOOKUP(C69,Errichtungskosten,4,0)*VLOOKUP(VLOOKUP(C69,Errichtungskosten,8,0),ÖkodatenKonstruktionen,60,0)</f>
        <v>0</v>
      </c>
      <c r="S69" s="76" t="s">
        <v>1493</v>
      </c>
    </row>
    <row r="70" spans="1:19" ht="15" customHeight="1">
      <c r="A70" s="55"/>
      <c r="B70" s="290"/>
      <c r="C70" s="194" t="s">
        <v>2330</v>
      </c>
      <c r="D70" s="80" t="s">
        <v>2310</v>
      </c>
      <c r="E70" s="194"/>
      <c r="F70" s="194"/>
      <c r="G70" s="115">
        <f t="shared" si="1"/>
        <v>0</v>
      </c>
      <c r="H70" s="76" t="s">
        <v>103</v>
      </c>
      <c r="I70" s="155">
        <f>VLOOKUP(C70,Errichtungskosten,4,0)*VLOOKUP(VLOOKUP(C70,Errichtungskosten,8,0),ÖkodatenKonstruktionen,14,0)</f>
        <v>0</v>
      </c>
      <c r="J70" s="76" t="s">
        <v>1311</v>
      </c>
      <c r="K70" s="155">
        <f>VLOOKUP(C70,Errichtungskosten,4,0)*VLOOKUP(VLOOKUP(C70,Errichtungskosten,8,0),ÖkodatenKonstruktionen,15,0)</f>
        <v>0</v>
      </c>
      <c r="L70" s="76" t="s">
        <v>1311</v>
      </c>
      <c r="M70" s="155">
        <f>VLOOKUP(C70,Errichtungskosten,4,0)*VLOOKUP(VLOOKUP(C70,Errichtungskosten,8,0),ÖkodatenKonstruktionen,16,0)</f>
        <v>0</v>
      </c>
      <c r="N70" s="76" t="s">
        <v>1311</v>
      </c>
      <c r="O70" s="155">
        <f>VLOOKUP(C70,Errichtungskosten,4,0)*VLOOKUP(VLOOKUP(C70,Errichtungskosten,8,0),ÖkodatenKonstruktionen,18,0)</f>
        <v>0</v>
      </c>
      <c r="P70" s="76" t="s">
        <v>1313</v>
      </c>
      <c r="Q70" s="76"/>
      <c r="R70" s="155">
        <f>VLOOKUP(C70,Errichtungskosten,4,0)*VLOOKUP(VLOOKUP(C70,Errichtungskosten,8,0),ÖkodatenKonstruktionen,60,0)</f>
        <v>0</v>
      </c>
      <c r="S70" s="76" t="s">
        <v>1493</v>
      </c>
    </row>
    <row r="71" spans="1:19" ht="15" customHeight="1">
      <c r="A71" s="55">
        <v>3500</v>
      </c>
      <c r="B71" s="290" t="s">
        <v>728</v>
      </c>
      <c r="C71" s="194" t="s">
        <v>301</v>
      </c>
      <c r="D71" s="194" t="s">
        <v>300</v>
      </c>
      <c r="E71" s="194"/>
      <c r="F71" s="194"/>
      <c r="G71" s="115">
        <f t="shared" si="1"/>
        <v>0</v>
      </c>
      <c r="H71" s="194" t="s">
        <v>103</v>
      </c>
      <c r="I71" s="115">
        <f>VLOOKUP(C71,Errichtungskosten,4,0)*VLOOKUP(VLOOKUP(C71,Errichtungskosten,8,0),ÖkodatenKonstruktionen,14,0)</f>
        <v>0</v>
      </c>
      <c r="J71" s="194" t="s">
        <v>1311</v>
      </c>
      <c r="K71" s="115">
        <f>VLOOKUP(C71,Errichtungskosten,4,0)*VLOOKUP(VLOOKUP(C71,Errichtungskosten,8,0),ÖkodatenKonstruktionen,15,0)</f>
        <v>0</v>
      </c>
      <c r="L71" s="194" t="s">
        <v>1311</v>
      </c>
      <c r="M71" s="115">
        <f>VLOOKUP(C71,Errichtungskosten,4,0)*VLOOKUP(VLOOKUP(C71,Errichtungskosten,8,0),ÖkodatenKonstruktionen,16,0)</f>
        <v>0</v>
      </c>
      <c r="N71" s="194" t="s">
        <v>1311</v>
      </c>
      <c r="O71" s="115">
        <f>VLOOKUP(C71,Errichtungskosten,4,0)*VLOOKUP(VLOOKUP(C71,Errichtungskosten,8,0),ÖkodatenKonstruktionen,18,0)</f>
        <v>0</v>
      </c>
      <c r="P71" s="194" t="s">
        <v>1313</v>
      </c>
      <c r="Q71" s="194"/>
      <c r="R71" s="115">
        <f>VLOOKUP(C71,Errichtungskosten,4,0)*VLOOKUP(VLOOKUP(C71,Errichtungskosten,8,0),ÖkodatenKonstruktionen,60,0)</f>
        <v>0</v>
      </c>
      <c r="S71" s="194" t="s">
        <v>1493</v>
      </c>
    </row>
    <row r="72" spans="1:19" ht="15" customHeight="1">
      <c r="A72" s="55">
        <v>3600</v>
      </c>
      <c r="B72" s="290" t="s">
        <v>728</v>
      </c>
      <c r="C72" s="194" t="s">
        <v>298</v>
      </c>
      <c r="D72" s="194" t="s">
        <v>297</v>
      </c>
      <c r="E72" s="194"/>
      <c r="F72" s="194"/>
      <c r="G72" s="115">
        <f t="shared" si="1"/>
        <v>0</v>
      </c>
      <c r="H72" s="194" t="s">
        <v>103</v>
      </c>
      <c r="I72" s="194"/>
      <c r="J72" s="194"/>
      <c r="K72" s="194"/>
      <c r="L72" s="194"/>
      <c r="M72" s="194"/>
      <c r="N72" s="194"/>
      <c r="O72" s="194"/>
      <c r="P72" s="194"/>
      <c r="Q72" s="194"/>
      <c r="R72" s="194"/>
      <c r="S72" s="194"/>
    </row>
    <row r="73" spans="1:19" ht="15" customHeight="1">
      <c r="A73" s="55">
        <v>3700</v>
      </c>
      <c r="B73" s="290" t="s">
        <v>728</v>
      </c>
      <c r="C73" s="194" t="s">
        <v>296</v>
      </c>
      <c r="D73" s="194" t="s">
        <v>295</v>
      </c>
      <c r="E73" s="194"/>
      <c r="F73" s="194"/>
      <c r="G73" s="115">
        <f t="shared" si="1"/>
        <v>0</v>
      </c>
      <c r="H73" s="194" t="s">
        <v>103</v>
      </c>
      <c r="I73" s="194"/>
      <c r="J73" s="194"/>
      <c r="K73" s="194"/>
      <c r="L73" s="194"/>
      <c r="M73" s="194"/>
      <c r="N73" s="194"/>
      <c r="O73" s="194"/>
      <c r="P73" s="194"/>
      <c r="Q73" s="194"/>
      <c r="R73" s="194"/>
      <c r="S73" s="194"/>
    </row>
    <row r="74" spans="1:19" ht="15" customHeight="1">
      <c r="A74" s="55"/>
      <c r="B74" s="290"/>
      <c r="C74" s="194" t="s">
        <v>1191</v>
      </c>
      <c r="D74" s="194" t="s">
        <v>1192</v>
      </c>
      <c r="E74" s="194"/>
      <c r="F74" s="194"/>
      <c r="G74" s="115">
        <f t="shared" si="1"/>
        <v>0</v>
      </c>
      <c r="H74" s="194" t="s">
        <v>103</v>
      </c>
      <c r="I74" s="194"/>
      <c r="J74" s="194"/>
      <c r="K74" s="194"/>
      <c r="L74" s="194"/>
      <c r="M74" s="194"/>
      <c r="N74" s="194"/>
      <c r="O74" s="194"/>
      <c r="P74" s="194"/>
      <c r="Q74" s="194"/>
      <c r="R74" s="194"/>
      <c r="S74" s="194"/>
    </row>
    <row r="75" spans="1:19" ht="15" customHeight="1">
      <c r="A75" s="55">
        <v>3800</v>
      </c>
      <c r="B75" s="290" t="s">
        <v>728</v>
      </c>
      <c r="C75" s="194" t="s">
        <v>294</v>
      </c>
      <c r="D75" s="194" t="s">
        <v>293</v>
      </c>
      <c r="E75" s="194"/>
      <c r="F75" s="194"/>
      <c r="G75" s="115">
        <f t="shared" si="1"/>
        <v>0</v>
      </c>
      <c r="H75" s="194" t="s">
        <v>103</v>
      </c>
      <c r="I75" s="194"/>
      <c r="J75" s="194"/>
      <c r="K75" s="194"/>
      <c r="L75" s="194"/>
      <c r="M75" s="194"/>
      <c r="N75" s="194"/>
      <c r="O75" s="194"/>
      <c r="P75" s="194"/>
      <c r="Q75" s="194"/>
      <c r="R75" s="194"/>
      <c r="S75" s="194"/>
    </row>
    <row r="76" spans="1:19" ht="15" customHeight="1">
      <c r="A76" s="172"/>
      <c r="B76" s="172"/>
      <c r="C76" s="172"/>
      <c r="D76" s="172" t="s">
        <v>1193</v>
      </c>
      <c r="E76" s="172"/>
      <c r="F76" s="172"/>
      <c r="G76" s="172"/>
      <c r="H76" s="172"/>
      <c r="I76" s="158">
        <f>$R$76*(VLOOKUP("LKW-Transport 28 t",ÖkodatenKonstruktionen,14,0))</f>
        <v>0</v>
      </c>
      <c r="J76" s="172" t="s">
        <v>1311</v>
      </c>
      <c r="K76" s="158">
        <f>$R$76*(VLOOKUP("LKW-Transport 28 t",ÖkodatenKonstruktionen,15,0))</f>
        <v>0</v>
      </c>
      <c r="L76" s="172" t="s">
        <v>1311</v>
      </c>
      <c r="M76" s="158">
        <f>$R$76*(VLOOKUP("LKW-Transport 28 t",ÖkodatenKonstruktionen,16,0))</f>
        <v>0</v>
      </c>
      <c r="N76" s="172" t="s">
        <v>1311</v>
      </c>
      <c r="O76" s="158">
        <f>$R$76*(VLOOKUP("LKW-Transport 28 t",ÖkodatenKonstruktionen,18,0))</f>
        <v>0</v>
      </c>
      <c r="P76" s="172" t="s">
        <v>1313</v>
      </c>
      <c r="Q76" s="172"/>
      <c r="R76" s="158">
        <f>SUM(R14:R75)</f>
        <v>0</v>
      </c>
      <c r="S76" s="172" t="s">
        <v>1493</v>
      </c>
    </row>
    <row r="77" spans="1:19" ht="15" customHeight="1">
      <c r="A77" s="293">
        <v>4000</v>
      </c>
      <c r="B77" s="294" t="s">
        <v>724</v>
      </c>
      <c r="C77" s="172" t="s">
        <v>291</v>
      </c>
      <c r="D77" s="172" t="s">
        <v>290</v>
      </c>
      <c r="E77" s="172"/>
      <c r="F77" s="172"/>
      <c r="G77" s="158">
        <f t="shared" si="1"/>
        <v>0</v>
      </c>
      <c r="H77" s="172" t="s">
        <v>103</v>
      </c>
      <c r="I77" s="158">
        <f>SUM(I78:I79,I80,I87,I94,I100,I111,I120,I123,I127)</f>
        <v>0</v>
      </c>
      <c r="J77" s="172" t="s">
        <v>1311</v>
      </c>
      <c r="K77" s="158">
        <f>SUM(K78:K79,K80,K87,K94,K100,K111,K120,K123,K127)</f>
        <v>0</v>
      </c>
      <c r="L77" s="172" t="s">
        <v>1311</v>
      </c>
      <c r="M77" s="158">
        <f>SUM(M78:M79,M80,M87,M94,M100,M111,M120,M123,M127)</f>
        <v>0</v>
      </c>
      <c r="N77" s="172" t="s">
        <v>1311</v>
      </c>
      <c r="O77" s="158">
        <f>SUM(O78:O79,O80,O87,O94,O100,O111,O120,O123,O127)</f>
        <v>0</v>
      </c>
      <c r="P77" s="172" t="s">
        <v>1313</v>
      </c>
      <c r="Q77" s="172"/>
      <c r="R77" s="171"/>
      <c r="S77" s="172"/>
    </row>
    <row r="78" spans="1:19" ht="15" customHeight="1">
      <c r="A78" s="55">
        <v>4100</v>
      </c>
      <c r="B78" s="290" t="s">
        <v>728</v>
      </c>
      <c r="C78" s="194" t="s">
        <v>289</v>
      </c>
      <c r="D78" s="194" t="s">
        <v>0</v>
      </c>
      <c r="E78" s="194"/>
      <c r="F78" s="194"/>
      <c r="G78" s="115">
        <f t="shared" si="1"/>
        <v>0</v>
      </c>
      <c r="H78" s="194" t="s">
        <v>103</v>
      </c>
      <c r="I78" s="194"/>
      <c r="J78" s="194"/>
      <c r="K78" s="194"/>
      <c r="L78" s="194"/>
      <c r="M78" s="194"/>
      <c r="N78" s="194"/>
      <c r="O78" s="194"/>
      <c r="P78" s="194"/>
      <c r="Q78" s="194"/>
      <c r="R78" s="194"/>
      <c r="S78" s="194"/>
    </row>
    <row r="79" spans="1:19" ht="15" customHeight="1">
      <c r="A79" s="55">
        <v>4200</v>
      </c>
      <c r="B79" s="290" t="s">
        <v>728</v>
      </c>
      <c r="C79" s="194" t="s">
        <v>288</v>
      </c>
      <c r="D79" s="194" t="s">
        <v>287</v>
      </c>
      <c r="E79" s="194"/>
      <c r="F79" s="194"/>
      <c r="G79" s="115">
        <f t="shared" si="1"/>
        <v>0</v>
      </c>
      <c r="H79" s="194" t="s">
        <v>103</v>
      </c>
      <c r="I79" s="194"/>
      <c r="J79" s="194"/>
      <c r="K79" s="194"/>
      <c r="L79" s="194"/>
      <c r="M79" s="194"/>
      <c r="N79" s="194"/>
      <c r="O79" s="194"/>
      <c r="P79" s="194"/>
      <c r="Q79" s="194"/>
      <c r="R79" s="194"/>
      <c r="S79" s="194"/>
    </row>
    <row r="80" spans="1:19" ht="15" customHeight="1">
      <c r="A80" s="293">
        <v>4300</v>
      </c>
      <c r="B80" s="294" t="s">
        <v>743</v>
      </c>
      <c r="C80" s="172" t="s">
        <v>286</v>
      </c>
      <c r="D80" s="172" t="s">
        <v>285</v>
      </c>
      <c r="E80" s="172"/>
      <c r="F80" s="172"/>
      <c r="G80" s="156">
        <f t="shared" si="1"/>
        <v>0</v>
      </c>
      <c r="H80" s="172" t="s">
        <v>103</v>
      </c>
      <c r="I80" s="158">
        <f>I81</f>
        <v>0</v>
      </c>
      <c r="J80" s="172" t="s">
        <v>1311</v>
      </c>
      <c r="K80" s="158">
        <f>K81</f>
        <v>0</v>
      </c>
      <c r="L80" s="172" t="s">
        <v>1311</v>
      </c>
      <c r="M80" s="158">
        <f>M81</f>
        <v>0</v>
      </c>
      <c r="N80" s="172" t="s">
        <v>1311</v>
      </c>
      <c r="O80" s="158">
        <f>O81</f>
        <v>0</v>
      </c>
      <c r="P80" s="172" t="s">
        <v>1313</v>
      </c>
      <c r="Q80" s="172"/>
      <c r="R80" s="171"/>
      <c r="S80" s="172"/>
    </row>
    <row r="81" spans="1:19" ht="15" customHeight="1">
      <c r="A81" s="55">
        <v>4400</v>
      </c>
      <c r="B81" s="290" t="s">
        <v>728</v>
      </c>
      <c r="C81" s="194" t="s">
        <v>284</v>
      </c>
      <c r="D81" s="194" t="s">
        <v>283</v>
      </c>
      <c r="E81" s="194"/>
      <c r="F81" s="194"/>
      <c r="G81" s="115">
        <f t="shared" si="1"/>
        <v>0</v>
      </c>
      <c r="H81" s="194" t="s">
        <v>103</v>
      </c>
      <c r="I81" s="115">
        <f>SUM(I82:I83)</f>
        <v>0</v>
      </c>
      <c r="J81" s="194" t="s">
        <v>1311</v>
      </c>
      <c r="K81" s="115">
        <f>SUM(K82:K83)</f>
        <v>0</v>
      </c>
      <c r="L81" s="194" t="s">
        <v>1311</v>
      </c>
      <c r="M81" s="115">
        <f>SUM(M82:M83)</f>
        <v>0</v>
      </c>
      <c r="N81" s="194" t="s">
        <v>1311</v>
      </c>
      <c r="O81" s="115">
        <f>SUM(O82:O83)</f>
        <v>0</v>
      </c>
      <c r="P81" s="194" t="s">
        <v>1313</v>
      </c>
      <c r="Q81" s="194"/>
      <c r="R81" s="194"/>
      <c r="S81" s="194"/>
    </row>
    <row r="82" spans="1:19" ht="15" customHeight="1">
      <c r="A82" s="55"/>
      <c r="B82" s="290"/>
      <c r="C82" s="194" t="s">
        <v>2299</v>
      </c>
      <c r="D82" s="80" t="s">
        <v>2303</v>
      </c>
      <c r="E82" s="194"/>
      <c r="F82" s="194"/>
      <c r="G82" s="70"/>
      <c r="H82" s="194"/>
      <c r="I82" s="115">
        <f>VLOOKUP($C$82,Errichtungskosten,4,0)*VLOOKUP(VLOOKUP($C$82,Errichtungskosten,8,0),ÖkodatenKonstruktionen,14,0)</f>
        <v>0</v>
      </c>
      <c r="J82" s="194" t="s">
        <v>1311</v>
      </c>
      <c r="K82" s="115">
        <f>VLOOKUP($C$82,Errichtungskosten,4,0)*VLOOKUP(VLOOKUP($C$82,Errichtungskosten,8,0),ÖkodatenKonstruktionen,15,0)</f>
        <v>0</v>
      </c>
      <c r="L82" s="194" t="s">
        <v>1311</v>
      </c>
      <c r="M82" s="115">
        <f>VLOOKUP($C$82,Errichtungskosten,4,0)*VLOOKUP(VLOOKUP($C$82,Errichtungskosten,8,0),ÖkodatenKonstruktionen,16,0)</f>
        <v>0</v>
      </c>
      <c r="N82" s="194" t="s">
        <v>1311</v>
      </c>
      <c r="O82" s="115">
        <f>VLOOKUP($C$82,Errichtungskosten,4,0)*VLOOKUP(VLOOKUP($C$82,Errichtungskosten,8,0),ÖkodatenKonstruktionen,18,0)</f>
        <v>0</v>
      </c>
      <c r="P82" s="194" t="s">
        <v>1313</v>
      </c>
      <c r="Q82" s="194"/>
      <c r="R82" s="194"/>
      <c r="S82" s="194"/>
    </row>
    <row r="83" spans="1:19" ht="15" customHeight="1">
      <c r="A83" s="55"/>
      <c r="B83" s="290"/>
      <c r="C83" s="194" t="s">
        <v>2300</v>
      </c>
      <c r="D83" s="80" t="s">
        <v>2304</v>
      </c>
      <c r="E83" s="194"/>
      <c r="F83" s="194"/>
      <c r="G83" s="70"/>
      <c r="H83" s="194"/>
      <c r="I83" s="115">
        <f>VLOOKUP($C$83,Errichtungskosten,4,0)*VLOOKUP(VLOOKUP($C$83,Errichtungskosten,8,0),ÖkodatenKonstruktionen,14,0)</f>
        <v>0</v>
      </c>
      <c r="J83" s="194" t="s">
        <v>1311</v>
      </c>
      <c r="K83" s="115">
        <f>VLOOKUP($C$83,Errichtungskosten,4,0)*VLOOKUP(VLOOKUP($C$83,Errichtungskosten,8,0),ÖkodatenKonstruktionen,15,0)</f>
        <v>0</v>
      </c>
      <c r="L83" s="194" t="s">
        <v>1311</v>
      </c>
      <c r="M83" s="115">
        <f>VLOOKUP($C$83,Errichtungskosten,4,0)*VLOOKUP(VLOOKUP($C$83,Errichtungskosten,8,0),ÖkodatenKonstruktionen,16,0)</f>
        <v>0</v>
      </c>
      <c r="N83" s="194" t="s">
        <v>1311</v>
      </c>
      <c r="O83" s="115">
        <f>VLOOKUP($C$83,Errichtungskosten,4,0)*VLOOKUP(VLOOKUP($C$83,Errichtungskosten,8,0),ÖkodatenKonstruktionen,18,0)</f>
        <v>0</v>
      </c>
      <c r="P83" s="194" t="s">
        <v>1313</v>
      </c>
      <c r="Q83" s="194"/>
      <c r="R83" s="194"/>
      <c r="S83" s="194"/>
    </row>
    <row r="84" spans="1:19" ht="15" customHeight="1">
      <c r="A84" s="55">
        <v>4500</v>
      </c>
      <c r="B84" s="290" t="s">
        <v>728</v>
      </c>
      <c r="C84" s="194" t="s">
        <v>282</v>
      </c>
      <c r="D84" s="194" t="s">
        <v>281</v>
      </c>
      <c r="E84" s="194"/>
      <c r="F84" s="194"/>
      <c r="G84" s="115">
        <f t="shared" si="1"/>
        <v>0</v>
      </c>
      <c r="H84" s="194" t="s">
        <v>103</v>
      </c>
      <c r="I84" s="194"/>
      <c r="J84" s="194"/>
      <c r="K84" s="194"/>
      <c r="L84" s="194"/>
      <c r="M84" s="194"/>
      <c r="N84" s="194"/>
      <c r="O84" s="194"/>
      <c r="P84" s="194"/>
      <c r="Q84" s="194"/>
      <c r="R84" s="194"/>
      <c r="S84" s="194"/>
    </row>
    <row r="85" spans="1:19" ht="15" customHeight="1">
      <c r="A85" s="55">
        <v>4600</v>
      </c>
      <c r="B85" s="290" t="s">
        <v>728</v>
      </c>
      <c r="C85" s="194" t="s">
        <v>280</v>
      </c>
      <c r="D85" s="194" t="s">
        <v>279</v>
      </c>
      <c r="E85" s="194"/>
      <c r="F85" s="254"/>
      <c r="G85" s="115">
        <f t="shared" si="1"/>
        <v>0</v>
      </c>
      <c r="H85" s="194" t="s">
        <v>103</v>
      </c>
      <c r="I85" s="194"/>
      <c r="J85" s="194"/>
      <c r="K85" s="194"/>
      <c r="L85" s="194"/>
      <c r="M85" s="194"/>
      <c r="N85" s="194"/>
      <c r="O85" s="194"/>
      <c r="P85" s="194"/>
      <c r="Q85" s="194"/>
      <c r="R85" s="194"/>
      <c r="S85" s="194"/>
    </row>
    <row r="86" spans="1:19" ht="15" customHeight="1">
      <c r="A86" s="55">
        <v>4700</v>
      </c>
      <c r="B86" s="290" t="s">
        <v>728</v>
      </c>
      <c r="C86" s="194" t="s">
        <v>278</v>
      </c>
      <c r="D86" s="194" t="s">
        <v>277</v>
      </c>
      <c r="E86" s="194"/>
      <c r="F86" s="194"/>
      <c r="G86" s="115">
        <f t="shared" si="1"/>
        <v>0</v>
      </c>
      <c r="H86" s="194" t="s">
        <v>103</v>
      </c>
      <c r="I86" s="194"/>
      <c r="J86" s="194"/>
      <c r="K86" s="194"/>
      <c r="L86" s="194"/>
      <c r="M86" s="194"/>
      <c r="N86" s="194"/>
      <c r="O86" s="194"/>
      <c r="P86" s="194"/>
      <c r="Q86" s="194"/>
      <c r="R86" s="194"/>
      <c r="S86" s="194"/>
    </row>
    <row r="87" spans="1:19" ht="15" customHeight="1">
      <c r="A87" s="293">
        <v>4800</v>
      </c>
      <c r="B87" s="294" t="s">
        <v>743</v>
      </c>
      <c r="C87" s="172" t="s">
        <v>275</v>
      </c>
      <c r="D87" s="172" t="s">
        <v>274</v>
      </c>
      <c r="E87" s="172"/>
      <c r="F87" s="172"/>
      <c r="G87" s="157">
        <f t="shared" si="1"/>
        <v>0</v>
      </c>
      <c r="H87" s="172" t="s">
        <v>103</v>
      </c>
      <c r="I87" s="171"/>
      <c r="J87" s="171"/>
      <c r="K87" s="171"/>
      <c r="L87" s="171"/>
      <c r="M87" s="171"/>
      <c r="N87" s="171"/>
      <c r="O87" s="171"/>
      <c r="P87" s="171"/>
      <c r="Q87" s="171"/>
      <c r="R87" s="171"/>
      <c r="S87" s="171"/>
    </row>
    <row r="88" spans="1:19" ht="15" customHeight="1">
      <c r="A88" s="55">
        <v>4900</v>
      </c>
      <c r="B88" s="290" t="s">
        <v>728</v>
      </c>
      <c r="C88" s="194" t="s">
        <v>273</v>
      </c>
      <c r="D88" s="194" t="s">
        <v>272</v>
      </c>
      <c r="E88" s="194"/>
      <c r="F88" s="194"/>
      <c r="G88" s="115">
        <f t="shared" si="1"/>
        <v>0</v>
      </c>
      <c r="H88" s="194" t="s">
        <v>103</v>
      </c>
      <c r="I88" s="194"/>
      <c r="J88" s="194"/>
      <c r="K88" s="194"/>
      <c r="L88" s="194"/>
      <c r="M88" s="194"/>
      <c r="N88" s="194"/>
      <c r="O88" s="194"/>
      <c r="P88" s="194"/>
      <c r="Q88" s="194"/>
      <c r="R88" s="194"/>
      <c r="S88" s="194"/>
    </row>
    <row r="89" spans="1:19" ht="15" customHeight="1">
      <c r="A89" s="55">
        <v>5000</v>
      </c>
      <c r="B89" s="290" t="s">
        <v>728</v>
      </c>
      <c r="C89" s="194" t="s">
        <v>271</v>
      </c>
      <c r="D89" s="194" t="s">
        <v>270</v>
      </c>
      <c r="E89" s="194"/>
      <c r="F89" s="194"/>
      <c r="G89" s="115">
        <f t="shared" si="1"/>
        <v>0</v>
      </c>
      <c r="H89" s="194" t="s">
        <v>103</v>
      </c>
      <c r="I89" s="194"/>
      <c r="J89" s="194"/>
      <c r="K89" s="194"/>
      <c r="L89" s="194"/>
      <c r="M89" s="194"/>
      <c r="N89" s="194"/>
      <c r="O89" s="194"/>
      <c r="P89" s="194"/>
      <c r="Q89" s="194"/>
      <c r="R89" s="194"/>
      <c r="S89" s="194"/>
    </row>
    <row r="90" spans="1:19" ht="15" customHeight="1">
      <c r="A90" s="55">
        <v>5100</v>
      </c>
      <c r="B90" s="290" t="s">
        <v>728</v>
      </c>
      <c r="C90" s="194" t="s">
        <v>269</v>
      </c>
      <c r="D90" s="194" t="s">
        <v>268</v>
      </c>
      <c r="E90" s="194"/>
      <c r="F90" s="194"/>
      <c r="G90" s="115">
        <f t="shared" ref="G90:G124" si="2">VLOOKUP(C90,Errichtungskosten,12,0)</f>
        <v>0</v>
      </c>
      <c r="H90" s="194" t="s">
        <v>103</v>
      </c>
      <c r="I90" s="194"/>
      <c r="J90" s="194"/>
      <c r="K90" s="194"/>
      <c r="L90" s="194"/>
      <c r="M90" s="194"/>
      <c r="N90" s="194"/>
      <c r="O90" s="194"/>
      <c r="P90" s="194"/>
      <c r="Q90" s="194"/>
      <c r="R90" s="194"/>
      <c r="S90" s="194"/>
    </row>
    <row r="91" spans="1:19" ht="15" customHeight="1">
      <c r="A91" s="55">
        <v>5200</v>
      </c>
      <c r="B91" s="290" t="s">
        <v>728</v>
      </c>
      <c r="C91" s="194" t="s">
        <v>267</v>
      </c>
      <c r="D91" s="194" t="s">
        <v>266</v>
      </c>
      <c r="E91" s="194"/>
      <c r="F91" s="194"/>
      <c r="G91" s="115">
        <f t="shared" si="2"/>
        <v>0</v>
      </c>
      <c r="H91" s="194" t="s">
        <v>103</v>
      </c>
      <c r="I91" s="194"/>
      <c r="J91" s="194"/>
      <c r="K91" s="194"/>
      <c r="L91" s="194"/>
      <c r="M91" s="194"/>
      <c r="N91" s="194"/>
      <c r="O91" s="194"/>
      <c r="P91" s="194"/>
      <c r="Q91" s="194"/>
      <c r="R91" s="194"/>
      <c r="S91" s="194"/>
    </row>
    <row r="92" spans="1:19" ht="15" customHeight="1">
      <c r="A92" s="55">
        <v>5300</v>
      </c>
      <c r="B92" s="290" t="s">
        <v>728</v>
      </c>
      <c r="C92" s="194" t="s">
        <v>265</v>
      </c>
      <c r="D92" s="194" t="s">
        <v>264</v>
      </c>
      <c r="E92" s="194"/>
      <c r="F92" s="194"/>
      <c r="G92" s="115">
        <f t="shared" si="2"/>
        <v>0</v>
      </c>
      <c r="H92" s="194" t="s">
        <v>103</v>
      </c>
      <c r="I92" s="194"/>
      <c r="J92" s="194"/>
      <c r="K92" s="194"/>
      <c r="L92" s="194"/>
      <c r="M92" s="194"/>
      <c r="N92" s="194"/>
      <c r="O92" s="194"/>
      <c r="P92" s="194"/>
      <c r="Q92" s="194"/>
      <c r="R92" s="194"/>
      <c r="S92" s="194"/>
    </row>
    <row r="93" spans="1:19" ht="15" customHeight="1">
      <c r="A93" s="55">
        <v>5400</v>
      </c>
      <c r="B93" s="290" t="s">
        <v>728</v>
      </c>
      <c r="C93" s="194" t="s">
        <v>263</v>
      </c>
      <c r="D93" s="194" t="s">
        <v>262</v>
      </c>
      <c r="E93" s="194"/>
      <c r="F93" s="194"/>
      <c r="G93" s="115">
        <f t="shared" si="2"/>
        <v>0</v>
      </c>
      <c r="H93" s="194" t="s">
        <v>103</v>
      </c>
      <c r="I93" s="194"/>
      <c r="J93" s="194"/>
      <c r="K93" s="194"/>
      <c r="L93" s="194"/>
      <c r="M93" s="194"/>
      <c r="N93" s="194"/>
      <c r="O93" s="194"/>
      <c r="P93" s="194"/>
      <c r="Q93" s="194"/>
      <c r="R93" s="194"/>
      <c r="S93" s="194"/>
    </row>
    <row r="94" spans="1:19" ht="15" customHeight="1">
      <c r="A94" s="293">
        <v>5500</v>
      </c>
      <c r="B94" s="294" t="s">
        <v>743</v>
      </c>
      <c r="C94" s="172" t="s">
        <v>260</v>
      </c>
      <c r="D94" s="172" t="s">
        <v>259</v>
      </c>
      <c r="E94" s="172"/>
      <c r="F94" s="172"/>
      <c r="G94" s="157">
        <f t="shared" si="2"/>
        <v>0</v>
      </c>
      <c r="H94" s="172" t="s">
        <v>103</v>
      </c>
      <c r="I94" s="171"/>
      <c r="J94" s="171"/>
      <c r="K94" s="171"/>
      <c r="L94" s="171"/>
      <c r="M94" s="171"/>
      <c r="N94" s="171"/>
      <c r="O94" s="171"/>
      <c r="P94" s="171"/>
      <c r="Q94" s="171"/>
      <c r="R94" s="171"/>
      <c r="S94" s="171"/>
    </row>
    <row r="95" spans="1:19" ht="15" customHeight="1">
      <c r="A95" s="55">
        <v>5600</v>
      </c>
      <c r="B95" s="290" t="s">
        <v>728</v>
      </c>
      <c r="C95" s="194" t="s">
        <v>258</v>
      </c>
      <c r="D95" s="194" t="s">
        <v>257</v>
      </c>
      <c r="E95" s="194"/>
      <c r="F95" s="194"/>
      <c r="G95" s="115">
        <f t="shared" si="2"/>
        <v>0</v>
      </c>
      <c r="H95" s="194" t="s">
        <v>103</v>
      </c>
      <c r="I95" s="194"/>
      <c r="J95" s="194"/>
      <c r="K95" s="194"/>
      <c r="L95" s="194"/>
      <c r="M95" s="194"/>
      <c r="N95" s="194"/>
      <c r="O95" s="194"/>
      <c r="P95" s="194"/>
      <c r="Q95" s="194"/>
      <c r="R95" s="194"/>
      <c r="S95" s="194"/>
    </row>
    <row r="96" spans="1:19" ht="15" customHeight="1">
      <c r="A96" s="55">
        <v>5700</v>
      </c>
      <c r="B96" s="290" t="s">
        <v>728</v>
      </c>
      <c r="C96" s="194" t="s">
        <v>256</v>
      </c>
      <c r="D96" s="194" t="s">
        <v>255</v>
      </c>
      <c r="E96" s="194"/>
      <c r="F96" s="194"/>
      <c r="G96" s="115">
        <f t="shared" si="2"/>
        <v>0</v>
      </c>
      <c r="H96" s="194" t="s">
        <v>103</v>
      </c>
      <c r="I96" s="194"/>
      <c r="J96" s="194"/>
      <c r="K96" s="194"/>
      <c r="L96" s="194"/>
      <c r="M96" s="194"/>
      <c r="N96" s="194"/>
      <c r="O96" s="194"/>
      <c r="P96" s="194"/>
      <c r="Q96" s="194"/>
      <c r="R96" s="194"/>
      <c r="S96" s="194"/>
    </row>
    <row r="97" spans="1:19" ht="15" customHeight="1">
      <c r="A97" s="55">
        <v>5800</v>
      </c>
      <c r="B97" s="290" t="s">
        <v>728</v>
      </c>
      <c r="C97" s="194" t="s">
        <v>254</v>
      </c>
      <c r="D97" s="194" t="s">
        <v>253</v>
      </c>
      <c r="E97" s="254"/>
      <c r="F97" s="254"/>
      <c r="G97" s="115">
        <f t="shared" si="2"/>
        <v>0</v>
      </c>
      <c r="H97" s="194" t="s">
        <v>103</v>
      </c>
      <c r="I97" s="194"/>
      <c r="J97" s="194"/>
      <c r="K97" s="194"/>
      <c r="L97" s="194"/>
      <c r="M97" s="194"/>
      <c r="N97" s="194"/>
      <c r="O97" s="194"/>
      <c r="P97" s="194"/>
      <c r="Q97" s="194"/>
      <c r="R97" s="194"/>
      <c r="S97" s="194"/>
    </row>
    <row r="98" spans="1:19" ht="15" customHeight="1">
      <c r="A98" s="55">
        <v>5900</v>
      </c>
      <c r="B98" s="290" t="s">
        <v>728</v>
      </c>
      <c r="C98" s="194" t="s">
        <v>252</v>
      </c>
      <c r="D98" s="194" t="s">
        <v>251</v>
      </c>
      <c r="E98" s="194"/>
      <c r="F98" s="194"/>
      <c r="G98" s="115">
        <f t="shared" si="2"/>
        <v>0</v>
      </c>
      <c r="H98" s="194" t="s">
        <v>103</v>
      </c>
      <c r="I98" s="194"/>
      <c r="J98" s="194"/>
      <c r="K98" s="194"/>
      <c r="L98" s="194"/>
      <c r="M98" s="194"/>
      <c r="N98" s="194"/>
      <c r="O98" s="194"/>
      <c r="P98" s="194"/>
      <c r="Q98" s="194"/>
      <c r="R98" s="194"/>
      <c r="S98" s="194"/>
    </row>
    <row r="99" spans="1:19" ht="15" customHeight="1">
      <c r="A99" s="55">
        <v>6000</v>
      </c>
      <c r="B99" s="290" t="s">
        <v>728</v>
      </c>
      <c r="C99" s="194" t="s">
        <v>250</v>
      </c>
      <c r="D99" s="194" t="s">
        <v>249</v>
      </c>
      <c r="E99" s="194"/>
      <c r="F99" s="194"/>
      <c r="G99" s="115">
        <f t="shared" si="2"/>
        <v>0</v>
      </c>
      <c r="H99" s="194" t="s">
        <v>103</v>
      </c>
      <c r="I99" s="194"/>
      <c r="J99" s="194"/>
      <c r="K99" s="194"/>
      <c r="L99" s="194"/>
      <c r="M99" s="194"/>
      <c r="N99" s="194"/>
      <c r="O99" s="194"/>
      <c r="P99" s="194"/>
      <c r="Q99" s="194"/>
      <c r="R99" s="194"/>
      <c r="S99" s="194"/>
    </row>
    <row r="100" spans="1:19" ht="15" customHeight="1">
      <c r="A100" s="293">
        <v>6100</v>
      </c>
      <c r="B100" s="294" t="s">
        <v>743</v>
      </c>
      <c r="C100" s="172" t="s">
        <v>247</v>
      </c>
      <c r="D100" s="172" t="s">
        <v>246</v>
      </c>
      <c r="E100" s="172"/>
      <c r="F100" s="172"/>
      <c r="G100" s="157">
        <f t="shared" si="2"/>
        <v>0</v>
      </c>
      <c r="H100" s="172" t="s">
        <v>103</v>
      </c>
      <c r="I100" s="160">
        <f>I102</f>
        <v>0</v>
      </c>
      <c r="J100" s="172" t="s">
        <v>1311</v>
      </c>
      <c r="K100" s="160">
        <f>K102</f>
        <v>0</v>
      </c>
      <c r="L100" s="172" t="s">
        <v>1311</v>
      </c>
      <c r="M100" s="160">
        <f>M102</f>
        <v>0</v>
      </c>
      <c r="N100" s="172" t="s">
        <v>1311</v>
      </c>
      <c r="O100" s="160">
        <f>O102</f>
        <v>0</v>
      </c>
      <c r="P100" s="172" t="s">
        <v>1313</v>
      </c>
      <c r="Q100" s="172"/>
      <c r="R100" s="171"/>
      <c r="S100" s="172"/>
    </row>
    <row r="101" spans="1:19" ht="15" customHeight="1">
      <c r="A101" s="55">
        <v>6200</v>
      </c>
      <c r="B101" s="290" t="s">
        <v>728</v>
      </c>
      <c r="C101" s="194" t="s">
        <v>245</v>
      </c>
      <c r="D101" s="194" t="s">
        <v>244</v>
      </c>
      <c r="E101" s="194"/>
      <c r="F101" s="194"/>
      <c r="G101" s="115">
        <f t="shared" si="2"/>
        <v>0</v>
      </c>
      <c r="H101" s="194" t="s">
        <v>103</v>
      </c>
      <c r="I101" s="194"/>
      <c r="J101" s="194"/>
      <c r="K101" s="194"/>
      <c r="L101" s="194"/>
      <c r="M101" s="194"/>
      <c r="N101" s="194"/>
      <c r="O101" s="194"/>
      <c r="P101" s="194"/>
      <c r="Q101" s="194"/>
      <c r="R101" s="194"/>
      <c r="S101" s="194"/>
    </row>
    <row r="102" spans="1:19" ht="15" customHeight="1">
      <c r="A102" s="55">
        <v>6300</v>
      </c>
      <c r="B102" s="290" t="s">
        <v>728</v>
      </c>
      <c r="C102" s="194" t="s">
        <v>243</v>
      </c>
      <c r="D102" s="194" t="s">
        <v>242</v>
      </c>
      <c r="E102" s="194"/>
      <c r="F102" s="194"/>
      <c r="G102" s="115">
        <f t="shared" si="2"/>
        <v>0</v>
      </c>
      <c r="H102" s="194" t="s">
        <v>103</v>
      </c>
      <c r="I102" s="115">
        <f>SUM(I103:I104)</f>
        <v>0</v>
      </c>
      <c r="J102" s="194" t="s">
        <v>1311</v>
      </c>
      <c r="K102" s="115">
        <f>SUM(K103:K104)</f>
        <v>0</v>
      </c>
      <c r="L102" s="194" t="s">
        <v>1311</v>
      </c>
      <c r="M102" s="115">
        <f>SUM(M103:M104)</f>
        <v>0</v>
      </c>
      <c r="N102" s="194" t="s">
        <v>1311</v>
      </c>
      <c r="O102" s="115">
        <f>SUM(O103:O104)</f>
        <v>0</v>
      </c>
      <c r="P102" s="194" t="s">
        <v>1313</v>
      </c>
      <c r="Q102" s="194"/>
      <c r="R102" s="194"/>
      <c r="S102" s="194"/>
    </row>
    <row r="103" spans="1:19" ht="15" customHeight="1">
      <c r="A103" s="55"/>
      <c r="B103" s="290"/>
      <c r="C103" s="194" t="s">
        <v>2296</v>
      </c>
      <c r="D103" s="80" t="s">
        <v>2552</v>
      </c>
      <c r="E103" s="194"/>
      <c r="F103" s="194"/>
      <c r="G103" s="115">
        <f t="shared" si="2"/>
        <v>0</v>
      </c>
      <c r="H103" s="194" t="s">
        <v>103</v>
      </c>
      <c r="I103" s="115">
        <f>VLOOKUP($C$103,Errichtungskosten,4,0)*VLOOKUP(VLOOKUP($C$103,Errichtungskosten,8,0),ÖkodatenKonstruktionen,14,0)</f>
        <v>0</v>
      </c>
      <c r="J103" s="194" t="s">
        <v>1311</v>
      </c>
      <c r="K103" s="115">
        <f>VLOOKUP($C$103,Errichtungskosten,4,0)*VLOOKUP(VLOOKUP($C$103,Errichtungskosten,8,0),ÖkodatenKonstruktionen,15,0)</f>
        <v>0</v>
      </c>
      <c r="L103" s="194" t="s">
        <v>1311</v>
      </c>
      <c r="M103" s="115">
        <f>VLOOKUP($C$103,Errichtungskosten,4,0)*VLOOKUP(VLOOKUP($C$103,Errichtungskosten,8,0),ÖkodatenKonstruktionen,16,0)</f>
        <v>0</v>
      </c>
      <c r="N103" s="194" t="s">
        <v>1311</v>
      </c>
      <c r="O103" s="115">
        <f>VLOOKUP($C$103,Errichtungskosten,4,0)*VLOOKUP(VLOOKUP($C$103,Errichtungskosten,8,0),ÖkodatenKonstruktionen,18,0)</f>
        <v>0</v>
      </c>
      <c r="P103" s="194" t="s">
        <v>1313</v>
      </c>
      <c r="Q103" s="194"/>
      <c r="R103" s="194"/>
      <c r="S103" s="194"/>
    </row>
    <row r="104" spans="1:19" ht="15" customHeight="1">
      <c r="A104" s="55"/>
      <c r="B104" s="290"/>
      <c r="C104" s="194" t="s">
        <v>2297</v>
      </c>
      <c r="D104" s="80" t="s">
        <v>2553</v>
      </c>
      <c r="E104" s="194"/>
      <c r="F104" s="194"/>
      <c r="G104" s="115">
        <f t="shared" si="2"/>
        <v>0</v>
      </c>
      <c r="H104" s="194" t="s">
        <v>103</v>
      </c>
      <c r="I104" s="115">
        <f>VLOOKUP($C$104,Errichtungskosten,4,0)*VLOOKUP(VLOOKUP($C$104,Errichtungskosten,8,0),ÖkodatenKonstruktionen,14,0)</f>
        <v>0</v>
      </c>
      <c r="J104" s="194" t="s">
        <v>1311</v>
      </c>
      <c r="K104" s="115">
        <f>VLOOKUP($C$104,Errichtungskosten,4,0)*VLOOKUP(VLOOKUP($C$104,Errichtungskosten,8,0),ÖkodatenKonstruktionen,15,0)</f>
        <v>0</v>
      </c>
      <c r="L104" s="194" t="s">
        <v>1311</v>
      </c>
      <c r="M104" s="115">
        <f>VLOOKUP($C$104,Errichtungskosten,4,0)*VLOOKUP(VLOOKUP($C$104,Errichtungskosten,8,0),ÖkodatenKonstruktionen,16,0)</f>
        <v>0</v>
      </c>
      <c r="N104" s="194" t="s">
        <v>1311</v>
      </c>
      <c r="O104" s="115">
        <f>VLOOKUP($C$104,Errichtungskosten,4,0)*VLOOKUP(VLOOKUP($C$104,Errichtungskosten,8,0),ÖkodatenKonstruktionen,18,0)</f>
        <v>0</v>
      </c>
      <c r="P104" s="194" t="s">
        <v>1313</v>
      </c>
      <c r="Q104" s="194"/>
      <c r="R104" s="194"/>
      <c r="S104" s="194"/>
    </row>
    <row r="105" spans="1:19" ht="15" customHeight="1">
      <c r="A105" s="55"/>
      <c r="B105" s="290"/>
      <c r="C105" s="194" t="s">
        <v>2331</v>
      </c>
      <c r="D105" s="80" t="s">
        <v>2332</v>
      </c>
      <c r="E105" s="194"/>
      <c r="F105" s="194"/>
      <c r="G105" s="115">
        <f t="shared" si="2"/>
        <v>0</v>
      </c>
      <c r="H105" s="194" t="s">
        <v>103</v>
      </c>
      <c r="I105" s="194"/>
      <c r="J105" s="194"/>
      <c r="K105" s="194"/>
      <c r="L105" s="194"/>
      <c r="M105" s="194"/>
      <c r="N105" s="194"/>
      <c r="O105" s="194"/>
      <c r="P105" s="194"/>
      <c r="Q105" s="194"/>
      <c r="R105" s="194"/>
      <c r="S105" s="194"/>
    </row>
    <row r="106" spans="1:19" ht="15" customHeight="1">
      <c r="A106" s="55">
        <v>6400</v>
      </c>
      <c r="B106" s="290" t="s">
        <v>728</v>
      </c>
      <c r="C106" s="194" t="s">
        <v>241</v>
      </c>
      <c r="D106" s="194" t="s">
        <v>240</v>
      </c>
      <c r="E106" s="194"/>
      <c r="F106" s="194"/>
      <c r="G106" s="115">
        <f t="shared" si="2"/>
        <v>0</v>
      </c>
      <c r="H106" s="194" t="s">
        <v>103</v>
      </c>
      <c r="I106" s="194"/>
      <c r="J106" s="194"/>
      <c r="K106" s="194"/>
      <c r="L106" s="194"/>
      <c r="M106" s="194"/>
      <c r="N106" s="194"/>
      <c r="O106" s="194"/>
      <c r="P106" s="194"/>
      <c r="Q106" s="194"/>
      <c r="R106" s="194"/>
      <c r="S106" s="194"/>
    </row>
    <row r="107" spans="1:19" ht="15" customHeight="1">
      <c r="A107" s="55">
        <v>6500</v>
      </c>
      <c r="B107" s="290" t="s">
        <v>728</v>
      </c>
      <c r="C107" s="194" t="s">
        <v>239</v>
      </c>
      <c r="D107" s="194" t="s">
        <v>238</v>
      </c>
      <c r="E107" s="194"/>
      <c r="F107" s="194"/>
      <c r="G107" s="115">
        <f t="shared" si="2"/>
        <v>0</v>
      </c>
      <c r="H107" s="194" t="s">
        <v>103</v>
      </c>
      <c r="I107" s="194"/>
      <c r="J107" s="194"/>
      <c r="K107" s="194"/>
      <c r="L107" s="194"/>
      <c r="M107" s="194"/>
      <c r="N107" s="194"/>
      <c r="O107" s="194"/>
      <c r="P107" s="194"/>
      <c r="Q107" s="194"/>
      <c r="R107" s="194"/>
      <c r="S107" s="194"/>
    </row>
    <row r="108" spans="1:19" ht="15" customHeight="1">
      <c r="A108" s="55">
        <v>6600</v>
      </c>
      <c r="B108" s="290" t="s">
        <v>728</v>
      </c>
      <c r="C108" s="194" t="s">
        <v>237</v>
      </c>
      <c r="D108" s="194" t="s">
        <v>236</v>
      </c>
      <c r="E108" s="194"/>
      <c r="F108" s="194"/>
      <c r="G108" s="115">
        <f t="shared" si="2"/>
        <v>0</v>
      </c>
      <c r="H108" s="194" t="s">
        <v>103</v>
      </c>
      <c r="I108" s="194"/>
      <c r="J108" s="194"/>
      <c r="K108" s="194"/>
      <c r="L108" s="194"/>
      <c r="M108" s="194"/>
      <c r="N108" s="194"/>
      <c r="O108" s="194"/>
      <c r="P108" s="194"/>
      <c r="Q108" s="194"/>
      <c r="R108" s="194"/>
      <c r="S108" s="194"/>
    </row>
    <row r="109" spans="1:19" ht="15" customHeight="1">
      <c r="A109" s="55">
        <v>6700</v>
      </c>
      <c r="B109" s="290" t="s">
        <v>728</v>
      </c>
      <c r="C109" s="194" t="s">
        <v>235</v>
      </c>
      <c r="D109" s="194" t="s">
        <v>234</v>
      </c>
      <c r="E109" s="194"/>
      <c r="F109" s="194"/>
      <c r="G109" s="115">
        <f t="shared" si="2"/>
        <v>0</v>
      </c>
      <c r="H109" s="194" t="s">
        <v>103</v>
      </c>
      <c r="I109" s="194"/>
      <c r="J109" s="194"/>
      <c r="K109" s="194"/>
      <c r="L109" s="194"/>
      <c r="M109" s="194"/>
      <c r="N109" s="194"/>
      <c r="O109" s="194"/>
      <c r="P109" s="194"/>
      <c r="Q109" s="194"/>
      <c r="R109" s="194"/>
      <c r="S109" s="194"/>
    </row>
    <row r="110" spans="1:19" ht="15" customHeight="1">
      <c r="A110" s="55">
        <v>6800</v>
      </c>
      <c r="B110" s="290" t="s">
        <v>728</v>
      </c>
      <c r="C110" s="194" t="s">
        <v>233</v>
      </c>
      <c r="D110" s="194" t="s">
        <v>232</v>
      </c>
      <c r="E110" s="194"/>
      <c r="F110" s="194"/>
      <c r="G110" s="115">
        <f t="shared" si="2"/>
        <v>0</v>
      </c>
      <c r="H110" s="194" t="s">
        <v>103</v>
      </c>
      <c r="I110" s="194"/>
      <c r="J110" s="194"/>
      <c r="K110" s="194"/>
      <c r="L110" s="194"/>
      <c r="M110" s="194"/>
      <c r="N110" s="194"/>
      <c r="O110" s="194"/>
      <c r="P110" s="194"/>
      <c r="Q110" s="194"/>
      <c r="R110" s="194"/>
      <c r="S110" s="194"/>
    </row>
    <row r="111" spans="1:19" ht="15" customHeight="1">
      <c r="A111" s="293">
        <v>6900</v>
      </c>
      <c r="B111" s="294" t="s">
        <v>743</v>
      </c>
      <c r="C111" s="172" t="s">
        <v>230</v>
      </c>
      <c r="D111" s="172" t="s">
        <v>229</v>
      </c>
      <c r="E111" s="172"/>
      <c r="F111" s="172"/>
      <c r="G111" s="157">
        <f t="shared" si="2"/>
        <v>0</v>
      </c>
      <c r="H111" s="172" t="s">
        <v>103</v>
      </c>
      <c r="I111" s="171"/>
      <c r="J111" s="171"/>
      <c r="K111" s="171"/>
      <c r="L111" s="171"/>
      <c r="M111" s="171"/>
      <c r="N111" s="171"/>
      <c r="O111" s="171"/>
      <c r="P111" s="171"/>
      <c r="Q111" s="171"/>
      <c r="R111" s="171"/>
      <c r="S111" s="171"/>
    </row>
    <row r="112" spans="1:19" ht="15" customHeight="1">
      <c r="A112" s="55">
        <v>7000</v>
      </c>
      <c r="B112" s="290" t="s">
        <v>728</v>
      </c>
      <c r="C112" s="194" t="s">
        <v>228</v>
      </c>
      <c r="D112" s="194" t="s">
        <v>227</v>
      </c>
      <c r="E112" s="194"/>
      <c r="F112" s="194"/>
      <c r="G112" s="115">
        <f t="shared" si="2"/>
        <v>0</v>
      </c>
      <c r="H112" s="194" t="s">
        <v>103</v>
      </c>
      <c r="I112" s="194"/>
      <c r="J112" s="194"/>
      <c r="K112" s="194"/>
      <c r="L112" s="194"/>
      <c r="M112" s="194"/>
      <c r="N112" s="194"/>
      <c r="O112" s="194"/>
      <c r="P112" s="194"/>
      <c r="Q112" s="194"/>
      <c r="R112" s="194"/>
      <c r="S112" s="194"/>
    </row>
    <row r="113" spans="1:19" ht="15" customHeight="1">
      <c r="A113" s="55">
        <v>7100</v>
      </c>
      <c r="B113" s="290" t="s">
        <v>728</v>
      </c>
      <c r="C113" s="194" t="s">
        <v>226</v>
      </c>
      <c r="D113" s="194" t="s">
        <v>225</v>
      </c>
      <c r="E113" s="194"/>
      <c r="F113" s="194"/>
      <c r="G113" s="115">
        <f t="shared" si="2"/>
        <v>0</v>
      </c>
      <c r="H113" s="194" t="s">
        <v>103</v>
      </c>
      <c r="I113" s="194"/>
      <c r="J113" s="194"/>
      <c r="K113" s="194"/>
      <c r="L113" s="194"/>
      <c r="M113" s="194"/>
      <c r="N113" s="194"/>
      <c r="O113" s="194"/>
      <c r="P113" s="194"/>
      <c r="Q113" s="194"/>
      <c r="R113" s="194"/>
      <c r="S113" s="194"/>
    </row>
    <row r="114" spans="1:19" ht="15" customHeight="1">
      <c r="A114" s="55">
        <v>7200</v>
      </c>
      <c r="B114" s="290" t="s">
        <v>728</v>
      </c>
      <c r="C114" s="194" t="s">
        <v>224</v>
      </c>
      <c r="D114" s="194" t="s">
        <v>223</v>
      </c>
      <c r="E114" s="194"/>
      <c r="F114" s="194"/>
      <c r="G114" s="115">
        <f t="shared" si="2"/>
        <v>0</v>
      </c>
      <c r="H114" s="194" t="s">
        <v>103</v>
      </c>
      <c r="I114" s="194"/>
      <c r="J114" s="194"/>
      <c r="K114" s="194"/>
      <c r="L114" s="194"/>
      <c r="M114" s="194"/>
      <c r="N114" s="194"/>
      <c r="O114" s="194"/>
      <c r="P114" s="194"/>
      <c r="Q114" s="194"/>
      <c r="R114" s="194"/>
      <c r="S114" s="194"/>
    </row>
    <row r="115" spans="1:19" ht="15" customHeight="1">
      <c r="A115" s="55">
        <v>7300</v>
      </c>
      <c r="B115" s="290" t="s">
        <v>728</v>
      </c>
      <c r="C115" s="194" t="s">
        <v>222</v>
      </c>
      <c r="D115" s="194" t="s">
        <v>221</v>
      </c>
      <c r="E115" s="194"/>
      <c r="F115" s="194"/>
      <c r="G115" s="115">
        <f t="shared" si="2"/>
        <v>0</v>
      </c>
      <c r="H115" s="194" t="s">
        <v>103</v>
      </c>
      <c r="I115" s="194"/>
      <c r="J115" s="194"/>
      <c r="K115" s="194"/>
      <c r="L115" s="194"/>
      <c r="M115" s="194"/>
      <c r="N115" s="194"/>
      <c r="O115" s="194"/>
      <c r="P115" s="194"/>
      <c r="Q115" s="194"/>
      <c r="R115" s="194"/>
      <c r="S115" s="194"/>
    </row>
    <row r="116" spans="1:19" ht="15" customHeight="1">
      <c r="A116" s="55">
        <v>7400</v>
      </c>
      <c r="B116" s="290" t="s">
        <v>728</v>
      </c>
      <c r="C116" s="194" t="s">
        <v>220</v>
      </c>
      <c r="D116" s="194" t="s">
        <v>219</v>
      </c>
      <c r="E116" s="194"/>
      <c r="F116" s="194"/>
      <c r="G116" s="115">
        <f t="shared" si="2"/>
        <v>0</v>
      </c>
      <c r="H116" s="194" t="s">
        <v>103</v>
      </c>
      <c r="I116" s="194"/>
      <c r="J116" s="194"/>
      <c r="K116" s="194"/>
      <c r="L116" s="194"/>
      <c r="M116" s="194"/>
      <c r="N116" s="194"/>
      <c r="O116" s="194"/>
      <c r="P116" s="194"/>
      <c r="Q116" s="194"/>
      <c r="R116" s="194"/>
      <c r="S116" s="194"/>
    </row>
    <row r="117" spans="1:19" ht="15" customHeight="1">
      <c r="A117" s="55">
        <v>7500</v>
      </c>
      <c r="B117" s="290" t="s">
        <v>728</v>
      </c>
      <c r="C117" s="194" t="s">
        <v>218</v>
      </c>
      <c r="D117" s="194" t="s">
        <v>217</v>
      </c>
      <c r="E117" s="194"/>
      <c r="F117" s="194"/>
      <c r="G117" s="115">
        <f t="shared" si="2"/>
        <v>0</v>
      </c>
      <c r="H117" s="194" t="s">
        <v>103</v>
      </c>
      <c r="I117" s="194"/>
      <c r="J117" s="194"/>
      <c r="K117" s="194"/>
      <c r="L117" s="194"/>
      <c r="M117" s="194"/>
      <c r="N117" s="194"/>
      <c r="O117" s="194"/>
      <c r="P117" s="194"/>
      <c r="Q117" s="194"/>
      <c r="R117" s="194"/>
      <c r="S117" s="194"/>
    </row>
    <row r="118" spans="1:19" ht="15" customHeight="1">
      <c r="A118" s="55">
        <v>7600</v>
      </c>
      <c r="B118" s="290" t="s">
        <v>728</v>
      </c>
      <c r="C118" s="194" t="s">
        <v>216</v>
      </c>
      <c r="D118" s="194" t="s">
        <v>215</v>
      </c>
      <c r="E118" s="194"/>
      <c r="F118" s="194"/>
      <c r="G118" s="115">
        <f t="shared" si="2"/>
        <v>0</v>
      </c>
      <c r="H118" s="194" t="s">
        <v>103</v>
      </c>
      <c r="I118" s="194"/>
      <c r="J118" s="194"/>
      <c r="K118" s="194"/>
      <c r="L118" s="194"/>
      <c r="M118" s="194"/>
      <c r="N118" s="194"/>
      <c r="O118" s="194"/>
      <c r="P118" s="194"/>
      <c r="Q118" s="194"/>
      <c r="R118" s="194"/>
      <c r="S118" s="194"/>
    </row>
    <row r="119" spans="1:19" ht="15" customHeight="1">
      <c r="A119" s="55">
        <v>7700</v>
      </c>
      <c r="B119" s="290" t="s">
        <v>728</v>
      </c>
      <c r="C119" s="194" t="s">
        <v>214</v>
      </c>
      <c r="D119" s="194" t="s">
        <v>213</v>
      </c>
      <c r="E119" s="194"/>
      <c r="F119" s="194"/>
      <c r="G119" s="115">
        <f t="shared" si="2"/>
        <v>0</v>
      </c>
      <c r="H119" s="194" t="s">
        <v>103</v>
      </c>
      <c r="I119" s="194"/>
      <c r="J119" s="194"/>
      <c r="K119" s="194"/>
      <c r="L119" s="194"/>
      <c r="M119" s="194"/>
      <c r="N119" s="194"/>
      <c r="O119" s="194"/>
      <c r="P119" s="194"/>
      <c r="Q119" s="194"/>
      <c r="R119" s="194"/>
      <c r="S119" s="194"/>
    </row>
    <row r="120" spans="1:19" ht="15" customHeight="1">
      <c r="A120" s="293">
        <v>7800</v>
      </c>
      <c r="B120" s="294" t="s">
        <v>743</v>
      </c>
      <c r="C120" s="172" t="s">
        <v>211</v>
      </c>
      <c r="D120" s="172" t="s">
        <v>210</v>
      </c>
      <c r="E120" s="172"/>
      <c r="F120" s="172"/>
      <c r="G120" s="157">
        <f t="shared" si="2"/>
        <v>0</v>
      </c>
      <c r="H120" s="172" t="s">
        <v>103</v>
      </c>
      <c r="I120" s="171"/>
      <c r="J120" s="171"/>
      <c r="K120" s="171"/>
      <c r="L120" s="171"/>
      <c r="M120" s="171"/>
      <c r="N120" s="171"/>
      <c r="O120" s="171"/>
      <c r="P120" s="171"/>
      <c r="Q120" s="171"/>
      <c r="R120" s="171"/>
      <c r="S120" s="171"/>
    </row>
    <row r="121" spans="1:19" ht="15" customHeight="1">
      <c r="A121" s="55">
        <v>7900</v>
      </c>
      <c r="B121" s="290" t="s">
        <v>728</v>
      </c>
      <c r="C121" s="194" t="s">
        <v>209</v>
      </c>
      <c r="D121" s="194" t="s">
        <v>208</v>
      </c>
      <c r="E121" s="194"/>
      <c r="F121" s="194"/>
      <c r="G121" s="115">
        <f t="shared" si="2"/>
        <v>0</v>
      </c>
      <c r="H121" s="194" t="s">
        <v>103</v>
      </c>
      <c r="I121" s="194"/>
      <c r="J121" s="194"/>
      <c r="K121" s="194"/>
      <c r="L121" s="194"/>
      <c r="M121" s="194"/>
      <c r="N121" s="194"/>
      <c r="O121" s="194"/>
      <c r="P121" s="194"/>
      <c r="Q121" s="194"/>
      <c r="R121" s="194"/>
      <c r="S121" s="194"/>
    </row>
    <row r="122" spans="1:19" ht="15" customHeight="1">
      <c r="A122" s="55">
        <v>8000</v>
      </c>
      <c r="B122" s="290" t="s">
        <v>728</v>
      </c>
      <c r="C122" s="194" t="s">
        <v>207</v>
      </c>
      <c r="D122" s="194" t="s">
        <v>198</v>
      </c>
      <c r="E122" s="194"/>
      <c r="F122" s="194"/>
      <c r="G122" s="115">
        <f t="shared" si="2"/>
        <v>0</v>
      </c>
      <c r="H122" s="194" t="s">
        <v>103</v>
      </c>
      <c r="I122" s="194"/>
      <c r="J122" s="194"/>
      <c r="K122" s="194"/>
      <c r="L122" s="194"/>
      <c r="M122" s="194"/>
      <c r="N122" s="194"/>
      <c r="O122" s="194"/>
      <c r="P122" s="194"/>
      <c r="Q122" s="194"/>
      <c r="R122" s="194"/>
      <c r="S122" s="194"/>
    </row>
    <row r="123" spans="1:19" ht="15" customHeight="1">
      <c r="A123" s="293">
        <v>8100</v>
      </c>
      <c r="B123" s="294" t="s">
        <v>743</v>
      </c>
      <c r="C123" s="172" t="s">
        <v>205</v>
      </c>
      <c r="D123" s="172" t="s">
        <v>204</v>
      </c>
      <c r="E123" s="172"/>
      <c r="F123" s="172"/>
      <c r="G123" s="157">
        <f t="shared" si="2"/>
        <v>0</v>
      </c>
      <c r="H123" s="172" t="s">
        <v>103</v>
      </c>
      <c r="I123" s="171"/>
      <c r="J123" s="171"/>
      <c r="K123" s="171"/>
      <c r="L123" s="171"/>
      <c r="M123" s="171"/>
      <c r="N123" s="171"/>
      <c r="O123" s="171"/>
      <c r="P123" s="171"/>
      <c r="Q123" s="171"/>
      <c r="R123" s="171"/>
      <c r="S123" s="171"/>
    </row>
    <row r="124" spans="1:19" ht="15" customHeight="1">
      <c r="A124" s="55">
        <v>8200</v>
      </c>
      <c r="B124" s="290" t="s">
        <v>728</v>
      </c>
      <c r="C124" s="194" t="s">
        <v>203</v>
      </c>
      <c r="D124" s="194" t="s">
        <v>202</v>
      </c>
      <c r="E124" s="194"/>
      <c r="F124" s="194"/>
      <c r="G124" s="115">
        <f t="shared" si="2"/>
        <v>0</v>
      </c>
      <c r="H124" s="194" t="s">
        <v>103</v>
      </c>
      <c r="I124" s="194"/>
      <c r="J124" s="194"/>
      <c r="K124" s="194"/>
      <c r="L124" s="194"/>
      <c r="M124" s="194"/>
      <c r="N124" s="194"/>
      <c r="O124" s="194"/>
      <c r="P124" s="194"/>
      <c r="Q124" s="194"/>
      <c r="R124" s="194"/>
      <c r="S124" s="194"/>
    </row>
    <row r="125" spans="1:19" ht="15" customHeight="1">
      <c r="A125" s="55">
        <v>8300</v>
      </c>
      <c r="B125" s="290" t="s">
        <v>728</v>
      </c>
      <c r="C125" s="194" t="s">
        <v>201</v>
      </c>
      <c r="D125" s="194" t="s">
        <v>200</v>
      </c>
      <c r="E125" s="194"/>
      <c r="F125" s="194"/>
      <c r="G125" s="115">
        <f t="shared" ref="G125:G135" si="3">VLOOKUP(C125,Errichtungskosten,12,0)</f>
        <v>0</v>
      </c>
      <c r="H125" s="194" t="s">
        <v>103</v>
      </c>
      <c r="I125" s="194"/>
      <c r="J125" s="194"/>
      <c r="K125" s="194"/>
      <c r="L125" s="194"/>
      <c r="M125" s="194"/>
      <c r="N125" s="194"/>
      <c r="O125" s="194"/>
      <c r="P125" s="194"/>
      <c r="Q125" s="194"/>
      <c r="R125" s="194"/>
      <c r="S125" s="194"/>
    </row>
    <row r="126" spans="1:19" ht="15" customHeight="1">
      <c r="A126" s="55">
        <v>8400</v>
      </c>
      <c r="B126" s="290" t="s">
        <v>728</v>
      </c>
      <c r="C126" s="194" t="s">
        <v>199</v>
      </c>
      <c r="D126" s="194" t="s">
        <v>198</v>
      </c>
      <c r="E126" s="194"/>
      <c r="F126" s="194"/>
      <c r="G126" s="115">
        <f t="shared" si="3"/>
        <v>0</v>
      </c>
      <c r="H126" s="194" t="s">
        <v>103</v>
      </c>
      <c r="I126" s="194"/>
      <c r="J126" s="194"/>
      <c r="K126" s="194"/>
      <c r="L126" s="194"/>
      <c r="M126" s="194"/>
      <c r="N126" s="194"/>
      <c r="O126" s="194"/>
      <c r="P126" s="194"/>
      <c r="Q126" s="194"/>
      <c r="R126" s="194"/>
      <c r="S126" s="194"/>
    </row>
    <row r="127" spans="1:19" ht="15" customHeight="1">
      <c r="A127" s="293">
        <v>8500</v>
      </c>
      <c r="B127" s="294" t="s">
        <v>743</v>
      </c>
      <c r="C127" s="172" t="s">
        <v>197</v>
      </c>
      <c r="D127" s="172" t="s">
        <v>196</v>
      </c>
      <c r="E127" s="172"/>
      <c r="F127" s="172"/>
      <c r="G127" s="157">
        <f t="shared" si="3"/>
        <v>0</v>
      </c>
      <c r="H127" s="172" t="s">
        <v>103</v>
      </c>
      <c r="I127" s="171"/>
      <c r="J127" s="171"/>
      <c r="K127" s="171"/>
      <c r="L127" s="171"/>
      <c r="M127" s="171"/>
      <c r="N127" s="171"/>
      <c r="O127" s="171"/>
      <c r="P127" s="171"/>
      <c r="Q127" s="171"/>
      <c r="R127" s="171"/>
      <c r="S127" s="171"/>
    </row>
    <row r="128" spans="1:19" ht="15" customHeight="1">
      <c r="A128" s="55">
        <v>8600</v>
      </c>
      <c r="B128" s="290" t="s">
        <v>743</v>
      </c>
      <c r="C128" s="194" t="s">
        <v>1056</v>
      </c>
      <c r="D128" s="194" t="s">
        <v>196</v>
      </c>
      <c r="E128" s="194"/>
      <c r="F128" s="194"/>
      <c r="G128" s="115">
        <f t="shared" si="3"/>
        <v>0</v>
      </c>
      <c r="H128" s="194" t="s">
        <v>103</v>
      </c>
      <c r="I128" s="194"/>
      <c r="J128" s="194"/>
      <c r="K128" s="194"/>
      <c r="L128" s="194"/>
      <c r="M128" s="194"/>
      <c r="N128" s="194"/>
      <c r="O128" s="194"/>
      <c r="P128" s="194"/>
      <c r="Q128" s="194"/>
      <c r="R128" s="194"/>
      <c r="S128" s="194"/>
    </row>
    <row r="129" spans="1:19" ht="15" customHeight="1">
      <c r="A129" s="293">
        <v>8700</v>
      </c>
      <c r="B129" s="294" t="s">
        <v>724</v>
      </c>
      <c r="C129" s="172" t="s">
        <v>194</v>
      </c>
      <c r="D129" s="172" t="s">
        <v>193</v>
      </c>
      <c r="E129" s="172"/>
      <c r="F129" s="172"/>
      <c r="G129" s="158">
        <f t="shared" si="3"/>
        <v>0</v>
      </c>
      <c r="H129" s="172" t="s">
        <v>103</v>
      </c>
      <c r="I129" s="158">
        <f>SUM(I130,I131,I140,I160,I177)</f>
        <v>0</v>
      </c>
      <c r="J129" s="172" t="s">
        <v>1311</v>
      </c>
      <c r="K129" s="158">
        <f>SUM(K130,K131,K140,K160,K177)</f>
        <v>0</v>
      </c>
      <c r="L129" s="172" t="s">
        <v>1311</v>
      </c>
      <c r="M129" s="158">
        <f>SUM(M130,M131,M140,M160,M177)</f>
        <v>0</v>
      </c>
      <c r="N129" s="172" t="s">
        <v>1311</v>
      </c>
      <c r="O129" s="158">
        <f>SUM(O130,O131,O140,O160,O177)</f>
        <v>0</v>
      </c>
      <c r="P129" s="172" t="s">
        <v>1313</v>
      </c>
      <c r="Q129" s="172"/>
      <c r="R129" s="171"/>
      <c r="S129" s="172"/>
    </row>
    <row r="130" spans="1:19" ht="15" customHeight="1">
      <c r="A130" s="55">
        <v>8800</v>
      </c>
      <c r="B130" s="290" t="s">
        <v>728</v>
      </c>
      <c r="C130" s="194" t="s">
        <v>192</v>
      </c>
      <c r="D130" s="194" t="s">
        <v>0</v>
      </c>
      <c r="E130" s="194"/>
      <c r="F130" s="194"/>
      <c r="G130" s="115">
        <f t="shared" si="3"/>
        <v>0</v>
      </c>
      <c r="H130" s="194" t="s">
        <v>103</v>
      </c>
      <c r="I130" s="194"/>
      <c r="J130" s="194"/>
      <c r="K130" s="194"/>
      <c r="L130" s="194"/>
      <c r="M130" s="194"/>
      <c r="N130" s="194"/>
      <c r="O130" s="194"/>
      <c r="P130" s="194"/>
      <c r="Q130" s="194"/>
      <c r="R130" s="194"/>
      <c r="S130" s="194"/>
    </row>
    <row r="131" spans="1:19" ht="15" customHeight="1">
      <c r="A131" s="293">
        <v>8900</v>
      </c>
      <c r="B131" s="294" t="s">
        <v>743</v>
      </c>
      <c r="C131" s="172" t="s">
        <v>191</v>
      </c>
      <c r="D131" s="172" t="s">
        <v>190</v>
      </c>
      <c r="E131" s="172"/>
      <c r="F131" s="172"/>
      <c r="G131" s="157">
        <f t="shared" si="3"/>
        <v>0</v>
      </c>
      <c r="H131" s="172" t="s">
        <v>103</v>
      </c>
      <c r="I131" s="158">
        <f>SUM(I132,I135)</f>
        <v>0</v>
      </c>
      <c r="J131" s="172" t="s">
        <v>1311</v>
      </c>
      <c r="K131" s="158">
        <f>SUM(K132,K135)</f>
        <v>0</v>
      </c>
      <c r="L131" s="172" t="s">
        <v>1311</v>
      </c>
      <c r="M131" s="158">
        <f>SUM(M132,M135)</f>
        <v>0</v>
      </c>
      <c r="N131" s="172" t="s">
        <v>1311</v>
      </c>
      <c r="O131" s="158">
        <f>SUM(O132,O135)</f>
        <v>0</v>
      </c>
      <c r="P131" s="172" t="s">
        <v>1313</v>
      </c>
      <c r="Q131" s="172"/>
      <c r="R131" s="171"/>
      <c r="S131" s="172"/>
    </row>
    <row r="132" spans="1:19" ht="15" customHeight="1">
      <c r="A132" s="293">
        <v>9000</v>
      </c>
      <c r="B132" s="294" t="s">
        <v>743</v>
      </c>
      <c r="C132" s="172" t="s">
        <v>189</v>
      </c>
      <c r="D132" s="172" t="s">
        <v>188</v>
      </c>
      <c r="E132" s="172"/>
      <c r="F132" s="172"/>
      <c r="G132" s="157">
        <f t="shared" si="3"/>
        <v>0</v>
      </c>
      <c r="H132" s="172" t="s">
        <v>103</v>
      </c>
      <c r="I132" s="158">
        <f>SUM(I133:I134)</f>
        <v>0</v>
      </c>
      <c r="J132" s="172" t="s">
        <v>1311</v>
      </c>
      <c r="K132" s="158">
        <f>SUM(K133:K134)</f>
        <v>0</v>
      </c>
      <c r="L132" s="172" t="s">
        <v>1311</v>
      </c>
      <c r="M132" s="158">
        <f>SUM(M133:M134)</f>
        <v>0</v>
      </c>
      <c r="N132" s="172" t="s">
        <v>1311</v>
      </c>
      <c r="O132" s="158">
        <f>SUM(O133:O134)</f>
        <v>0</v>
      </c>
      <c r="P132" s="172" t="s">
        <v>1313</v>
      </c>
      <c r="Q132" s="172"/>
      <c r="R132" s="171"/>
      <c r="S132" s="172"/>
    </row>
    <row r="133" spans="1:19" ht="15" customHeight="1">
      <c r="A133" s="55">
        <v>9100</v>
      </c>
      <c r="B133" s="290" t="s">
        <v>728</v>
      </c>
      <c r="C133" s="194" t="s">
        <v>187</v>
      </c>
      <c r="D133" s="80" t="s">
        <v>2301</v>
      </c>
      <c r="E133" s="194"/>
      <c r="F133" s="194"/>
      <c r="G133" s="115">
        <f t="shared" si="3"/>
        <v>0</v>
      </c>
      <c r="H133" s="194" t="s">
        <v>103</v>
      </c>
      <c r="I133" s="155">
        <f>VLOOKUP($C$133,Errichtungskosten,4,0)*VLOOKUP(VLOOKUP($C$133,Errichtungskosten,8,0),ÖkodatenKonstruktionen,14,0)</f>
        <v>0</v>
      </c>
      <c r="J133" s="194" t="s">
        <v>1311</v>
      </c>
      <c r="K133" s="155">
        <f>VLOOKUP($C$133,Errichtungskosten,4,0)*VLOOKUP(VLOOKUP($C$133,Errichtungskosten,8,0),ÖkodatenKonstruktionen,15,0)</f>
        <v>0</v>
      </c>
      <c r="L133" s="194" t="s">
        <v>1311</v>
      </c>
      <c r="M133" s="155">
        <f>VLOOKUP($C$133,Errichtungskosten,4,0)*VLOOKUP(VLOOKUP($C$133,Errichtungskosten,8,0),ÖkodatenKonstruktionen,16,0)</f>
        <v>0</v>
      </c>
      <c r="N133" s="194" t="s">
        <v>1311</v>
      </c>
      <c r="O133" s="155">
        <f>VLOOKUP($C$133,Errichtungskosten,4,0)*VLOOKUP(VLOOKUP($C$133,Errichtungskosten,8,0),ÖkodatenKonstruktionen,18,0)</f>
        <v>0</v>
      </c>
      <c r="P133" s="194" t="s">
        <v>1313</v>
      </c>
      <c r="Q133" s="194"/>
      <c r="R133" s="155">
        <f>VLOOKUP($C$133,Errichtungskosten,4,0)*VLOOKUP(VLOOKUP($C$133,Errichtungskosten,8,0),ÖkodatenKonstruktionen,60,0)</f>
        <v>0</v>
      </c>
      <c r="S133" s="194" t="s">
        <v>1493</v>
      </c>
    </row>
    <row r="134" spans="1:19" ht="15" customHeight="1">
      <c r="A134" s="55">
        <v>9200</v>
      </c>
      <c r="B134" s="290" t="s">
        <v>728</v>
      </c>
      <c r="C134" s="194" t="s">
        <v>186</v>
      </c>
      <c r="D134" s="80" t="s">
        <v>2302</v>
      </c>
      <c r="E134" s="194"/>
      <c r="F134" s="194"/>
      <c r="G134" s="115">
        <f>VLOOKUP(C134,Errichtungskosten,12,0)</f>
        <v>0</v>
      </c>
      <c r="H134" s="194" t="s">
        <v>103</v>
      </c>
      <c r="I134" s="155">
        <f>VLOOKUP($C$134,Errichtungskosten,4,0)*VLOOKUP(VLOOKUP($C$134,Errichtungskosten,8,0),ÖkodatenKonstruktionen,14,0)</f>
        <v>0</v>
      </c>
      <c r="J134" s="194" t="s">
        <v>1311</v>
      </c>
      <c r="K134" s="155">
        <f>VLOOKUP($C$134,Errichtungskosten,4,0)*VLOOKUP(VLOOKUP($C$134,Errichtungskosten,8,0),ÖkodatenKonstruktionen,15,0)</f>
        <v>0</v>
      </c>
      <c r="L134" s="194" t="s">
        <v>1311</v>
      </c>
      <c r="M134" s="155">
        <f>VLOOKUP($C$134,Errichtungskosten,4,0)*VLOOKUP(VLOOKUP($C$134,Errichtungskosten,8,0),ÖkodatenKonstruktionen,16,0)</f>
        <v>0</v>
      </c>
      <c r="N134" s="194" t="s">
        <v>1311</v>
      </c>
      <c r="O134" s="155">
        <f>VLOOKUP($C$134,Errichtungskosten,4,0)*VLOOKUP(VLOOKUP($C$134,Errichtungskosten,8,0),ÖkodatenKonstruktionen,18,0)</f>
        <v>0</v>
      </c>
      <c r="P134" s="194" t="s">
        <v>1313</v>
      </c>
      <c r="Q134" s="194"/>
      <c r="R134" s="155">
        <f>VLOOKUP($C$134,Errichtungskosten,4,0)*VLOOKUP(VLOOKUP($C$134,Errichtungskosten,8,0),ÖkodatenKonstruktionen,60,0)</f>
        <v>0</v>
      </c>
      <c r="S134" s="194" t="s">
        <v>1493</v>
      </c>
    </row>
    <row r="135" spans="1:19" ht="15" customHeight="1">
      <c r="A135" s="55">
        <v>9600</v>
      </c>
      <c r="B135" s="290" t="s">
        <v>728</v>
      </c>
      <c r="C135" s="194" t="s">
        <v>184</v>
      </c>
      <c r="D135" s="194" t="s">
        <v>183</v>
      </c>
      <c r="E135" s="161"/>
      <c r="F135" s="161"/>
      <c r="G135" s="115">
        <f t="shared" si="3"/>
        <v>0</v>
      </c>
      <c r="H135" s="194" t="s">
        <v>103</v>
      </c>
      <c r="I135" s="115">
        <f>SUM(I136:I137)</f>
        <v>0</v>
      </c>
      <c r="J135" s="194" t="s">
        <v>1311</v>
      </c>
      <c r="K135" s="115">
        <f>SUM(K136:K137)</f>
        <v>0</v>
      </c>
      <c r="L135" s="194" t="s">
        <v>1311</v>
      </c>
      <c r="M135" s="115">
        <f>SUM(M136:M137)</f>
        <v>0</v>
      </c>
      <c r="N135" s="194" t="s">
        <v>1311</v>
      </c>
      <c r="O135" s="115">
        <f>SUM(O136:O137)</f>
        <v>0</v>
      </c>
      <c r="P135" s="194" t="s">
        <v>1313</v>
      </c>
      <c r="Q135" s="194"/>
      <c r="R135" s="194"/>
      <c r="S135" s="194"/>
    </row>
    <row r="136" spans="1:19" ht="15" customHeight="1">
      <c r="A136" s="55"/>
      <c r="B136" s="290"/>
      <c r="C136" s="194" t="s">
        <v>1963</v>
      </c>
      <c r="D136" s="80" t="s">
        <v>1962</v>
      </c>
      <c r="E136" s="161"/>
      <c r="F136" s="161"/>
      <c r="G136" s="70"/>
      <c r="H136" s="76"/>
      <c r="I136" s="155">
        <f>VLOOKUP("E4.B.02",Errichtungskosten,4,0)*VLOOKUP($C$136,Errichtungskosten,4,0)*VLOOKUP(VLOOKUP($C$136,Errichtungskosten,8,0),ÖkodatenKonstruktionen,14,0)</f>
        <v>0</v>
      </c>
      <c r="J136" s="76" t="s">
        <v>1311</v>
      </c>
      <c r="K136" s="155">
        <f>VLOOKUP("E4.B.02",Errichtungskosten,4,0)*VLOOKUP($C$136,Errichtungskosten,4,0)*VLOOKUP(VLOOKUP($C$136,Errichtungskosten,8,0),ÖkodatenKonstruktionen,15,0)</f>
        <v>0</v>
      </c>
      <c r="L136" s="76" t="s">
        <v>1311</v>
      </c>
      <c r="M136" s="155">
        <f>VLOOKUP("E4.B.02",Errichtungskosten,4,0)*VLOOKUP($C$136,Errichtungskosten,4,0)*VLOOKUP(VLOOKUP($C$136,Errichtungskosten,8,0),ÖkodatenKonstruktionen,16,0)</f>
        <v>0</v>
      </c>
      <c r="N136" s="76" t="s">
        <v>1311</v>
      </c>
      <c r="O136" s="155">
        <f>VLOOKUP("E4.B.02",Errichtungskosten,4,0)*VLOOKUP($C$136,Errichtungskosten,4,0)*VLOOKUP(VLOOKUP($C$136,Errichtungskosten,8,0),ÖkodatenKonstruktionen,18,0)</f>
        <v>0</v>
      </c>
      <c r="P136" s="76" t="s">
        <v>1313</v>
      </c>
      <c r="Q136" s="76"/>
      <c r="R136" s="155">
        <f>VLOOKUP("E4.B.02",Errichtungskosten,4,0)*VLOOKUP($C$136,Errichtungskosten,4,0)*VLOOKUP(VLOOKUP($C$136,Errichtungskosten,8,0),ÖkodatenKonstruktionen,60,0)</f>
        <v>0</v>
      </c>
      <c r="S136" s="76" t="s">
        <v>1493</v>
      </c>
    </row>
    <row r="137" spans="1:19" ht="15" customHeight="1">
      <c r="A137" s="55"/>
      <c r="B137" s="290"/>
      <c r="C137" s="194" t="s">
        <v>1964</v>
      </c>
      <c r="D137" s="80" t="s">
        <v>1961</v>
      </c>
      <c r="E137" s="161"/>
      <c r="F137" s="161"/>
      <c r="G137" s="70"/>
      <c r="H137" s="76"/>
      <c r="I137" s="155">
        <f>VLOOKUP("E4.B.02",Errichtungskosten,4,0)*VLOOKUP($C$137,Errichtungskosten,4,0)*VLOOKUP(VLOOKUP($C$137,Errichtungskosten,8,0),ÖkodatenKonstruktionen,14,0)</f>
        <v>0</v>
      </c>
      <c r="J137" s="76" t="s">
        <v>1311</v>
      </c>
      <c r="K137" s="155">
        <f>VLOOKUP("E4.B.02",Errichtungskosten,4,0)*VLOOKUP($C$137,Errichtungskosten,4,0)*VLOOKUP(VLOOKUP($C$137,Errichtungskosten,8,0),ÖkodatenKonstruktionen,15,0)</f>
        <v>0</v>
      </c>
      <c r="L137" s="76" t="s">
        <v>1311</v>
      </c>
      <c r="M137" s="155">
        <f>VLOOKUP("E4.B.02",Errichtungskosten,4,0)*VLOOKUP($C$137,Errichtungskosten,4,0)*VLOOKUP(VLOOKUP($C$137,Errichtungskosten,8,0),ÖkodatenKonstruktionen,16,0)</f>
        <v>0</v>
      </c>
      <c r="N137" s="76" t="s">
        <v>1311</v>
      </c>
      <c r="O137" s="155">
        <f>VLOOKUP("E4.B.02",Errichtungskosten,4,0)*VLOOKUP($C$137,Errichtungskosten,4,0)*VLOOKUP(VLOOKUP($C$137,Errichtungskosten,8,0),ÖkodatenKonstruktionen,18,0)</f>
        <v>0</v>
      </c>
      <c r="P137" s="76" t="s">
        <v>1313</v>
      </c>
      <c r="Q137" s="76"/>
      <c r="R137" s="155">
        <f>VLOOKUP("E4.B.02",Errichtungskosten,4,0)*VLOOKUP($C$137,Errichtungskosten,4,0)*VLOOKUP(VLOOKUP($C$137,Errichtungskosten,8,0),ÖkodatenKonstruktionen,60,0)</f>
        <v>0</v>
      </c>
      <c r="S137" s="76" t="s">
        <v>1493</v>
      </c>
    </row>
    <row r="138" spans="1:19" ht="15" customHeight="1">
      <c r="A138" s="55">
        <v>9700</v>
      </c>
      <c r="B138" s="290" t="s">
        <v>728</v>
      </c>
      <c r="C138" s="194" t="s">
        <v>182</v>
      </c>
      <c r="D138" s="194" t="s">
        <v>181</v>
      </c>
      <c r="E138" s="194"/>
      <c r="F138" s="194"/>
      <c r="G138" s="115">
        <f t="shared" ref="G138:G143" si="4">VLOOKUP(C138,Errichtungskosten,12,0)</f>
        <v>0</v>
      </c>
      <c r="H138" s="194" t="s">
        <v>103</v>
      </c>
      <c r="I138" s="194"/>
      <c r="J138" s="194"/>
      <c r="K138" s="194"/>
      <c r="L138" s="194"/>
      <c r="M138" s="194"/>
      <c r="N138" s="194"/>
      <c r="O138" s="194"/>
      <c r="P138" s="194"/>
      <c r="Q138" s="194"/>
      <c r="R138" s="194"/>
      <c r="S138" s="194"/>
    </row>
    <row r="139" spans="1:19" ht="15" customHeight="1">
      <c r="A139" s="55">
        <v>9800</v>
      </c>
      <c r="B139" s="290" t="s">
        <v>728</v>
      </c>
      <c r="C139" s="194" t="s">
        <v>180</v>
      </c>
      <c r="D139" s="194" t="s">
        <v>179</v>
      </c>
      <c r="E139" s="194"/>
      <c r="F139" s="194"/>
      <c r="G139" s="115">
        <f t="shared" si="4"/>
        <v>0</v>
      </c>
      <c r="H139" s="194" t="s">
        <v>103</v>
      </c>
      <c r="I139" s="194"/>
      <c r="J139" s="194"/>
      <c r="K139" s="194"/>
      <c r="L139" s="194"/>
      <c r="M139" s="194"/>
      <c r="N139" s="194"/>
      <c r="O139" s="194"/>
      <c r="P139" s="194"/>
      <c r="Q139" s="194"/>
      <c r="R139" s="194"/>
      <c r="S139" s="194"/>
    </row>
    <row r="140" spans="1:19" ht="15" customHeight="1">
      <c r="A140" s="96">
        <v>9900</v>
      </c>
      <c r="B140" s="97" t="s">
        <v>743</v>
      </c>
      <c r="C140" s="98" t="s">
        <v>178</v>
      </c>
      <c r="D140" s="98" t="s">
        <v>177</v>
      </c>
      <c r="E140" s="346"/>
      <c r="F140" s="41"/>
      <c r="G140" s="157">
        <f t="shared" si="4"/>
        <v>0</v>
      </c>
      <c r="H140" s="172" t="s">
        <v>103</v>
      </c>
      <c r="I140" s="158">
        <f>SUM(I141,I146,I155,I156,I159)</f>
        <v>0</v>
      </c>
      <c r="J140" s="172" t="s">
        <v>1311</v>
      </c>
      <c r="K140" s="158">
        <f>SUM(K141,K146,K155,K156,K159)</f>
        <v>0</v>
      </c>
      <c r="L140" s="172" t="s">
        <v>1311</v>
      </c>
      <c r="M140" s="158">
        <f>SUM(M141,M146,M155,M156,M159)</f>
        <v>0</v>
      </c>
      <c r="N140" s="172" t="s">
        <v>1311</v>
      </c>
      <c r="O140" s="158">
        <f>SUM(O141,O146,O155,O156,O159)</f>
        <v>0</v>
      </c>
      <c r="P140" s="172" t="s">
        <v>1313</v>
      </c>
      <c r="Q140" s="172"/>
      <c r="R140" s="171"/>
      <c r="S140" s="172"/>
    </row>
    <row r="141" spans="1:19" ht="15" customHeight="1">
      <c r="A141" s="55">
        <v>10000</v>
      </c>
      <c r="B141" s="290" t="s">
        <v>728</v>
      </c>
      <c r="C141" s="194" t="s">
        <v>176</v>
      </c>
      <c r="D141" s="194" t="s">
        <v>175</v>
      </c>
      <c r="E141" s="161"/>
      <c r="F141" s="161"/>
      <c r="G141" s="115">
        <f t="shared" si="4"/>
        <v>0</v>
      </c>
      <c r="H141" s="194" t="s">
        <v>103</v>
      </c>
      <c r="I141" s="115">
        <f>SUM(I142:I143)</f>
        <v>0</v>
      </c>
      <c r="J141" s="194" t="s">
        <v>1311</v>
      </c>
      <c r="K141" s="115">
        <f>SUM(K142:K143)</f>
        <v>0</v>
      </c>
      <c r="L141" s="194" t="s">
        <v>1311</v>
      </c>
      <c r="M141" s="115">
        <f>SUM(M142:M143)</f>
        <v>0</v>
      </c>
      <c r="N141" s="194" t="s">
        <v>1311</v>
      </c>
      <c r="O141" s="115">
        <f>SUM(O142:O143)</f>
        <v>0</v>
      </c>
      <c r="P141" s="194" t="s">
        <v>1313</v>
      </c>
      <c r="Q141" s="194"/>
      <c r="R141" s="67"/>
      <c r="S141" s="194"/>
    </row>
    <row r="142" spans="1:19" ht="15" customHeight="1">
      <c r="A142" s="55"/>
      <c r="B142" s="290"/>
      <c r="C142" s="194" t="s">
        <v>2022</v>
      </c>
      <c r="D142" s="80" t="s">
        <v>1477</v>
      </c>
      <c r="E142" s="161"/>
      <c r="F142" s="161"/>
      <c r="G142" s="115">
        <f t="shared" si="4"/>
        <v>0</v>
      </c>
      <c r="H142" s="194" t="s">
        <v>103</v>
      </c>
      <c r="I142" s="115">
        <f>IF(VLOOKUP($C$142,Errichtungskosten,8,0)="Putz ohne Dämmung",VLOOKUP($C$142,Errichtungskosten,4,0)*VLOOKUP(VLOOKUP($C$142,Errichtungskosten,8,0),ÖkodatenKonstruktionen,14,0),VLOOKUP($C$142,Errichtungskosten,4,0)*0.01*VLOOKUP("E4.C.01a1",Errichtungskosten,4,0)*VLOOKUP(VLOOKUP($C$142,Errichtungskosten,8,0),ÖkodatenKonstruktionen,14,0))</f>
        <v>0</v>
      </c>
      <c r="J142" s="194" t="s">
        <v>1311</v>
      </c>
      <c r="K142" s="115">
        <f>IF(VLOOKUP($C$142,Errichtungskosten,8,0)="Putz ohne Dämmung",VLOOKUP($C$142,Errichtungskosten,4,0)*VLOOKUP(VLOOKUP($C$142,Errichtungskosten,8,0),ÖkodatenKonstruktionen,15,0),VLOOKUP($C$142,Errichtungskosten,4,0)*0.01*VLOOKUP("E4.C.01a1",Errichtungskosten,4,0)*VLOOKUP(VLOOKUP($C$142,Errichtungskosten,8,0),ÖkodatenKonstruktionen,15,0))</f>
        <v>0</v>
      </c>
      <c r="L142" s="194" t="s">
        <v>1311</v>
      </c>
      <c r="M142" s="115">
        <f>IF(VLOOKUP($C$142,Errichtungskosten,8,0)="Putz ohne Dämmung",VLOOKUP($C$142,Errichtungskosten,4,0)*VLOOKUP(VLOOKUP($C$142,Errichtungskosten,8,0),ÖkodatenKonstruktionen,16,0),VLOOKUP($C$142,Errichtungskosten,4,0)*0.01*VLOOKUP("E4.C.01a1",Errichtungskosten,4,0)*VLOOKUP(VLOOKUP($C$142,Errichtungskosten,8,0),ÖkodatenKonstruktionen,16,0))</f>
        <v>0</v>
      </c>
      <c r="N142" s="194" t="s">
        <v>1311</v>
      </c>
      <c r="O142" s="115">
        <f>IF(VLOOKUP($C$142,Errichtungskosten,8,0)="Putz ohne Dämmung",VLOOKUP($C$142,Errichtungskosten,4,0)*VLOOKUP(VLOOKUP($C$142,Errichtungskosten,8,0),ÖkodatenKonstruktionen,18,0),VLOOKUP($C$142,Errichtungskosten,4,0)*0.01*VLOOKUP("E4.C.01a1",Errichtungskosten,4,0)*VLOOKUP(VLOOKUP($C$142,Errichtungskosten,8,0),ÖkodatenKonstruktionen,18,0))</f>
        <v>0</v>
      </c>
      <c r="P142" s="194" t="s">
        <v>1313</v>
      </c>
      <c r="Q142" s="194"/>
      <c r="R142" s="115">
        <f>IF(VLOOKUP($C$142,Errichtungskosten,8,0)="Putz ohne Dämmung",VLOOKUP($C$142,Errichtungskosten,4,0)*VLOOKUP(VLOOKUP($C$142,Errichtungskosten,8,0),ÖkodatenKonstruktionen,60,0),VLOOKUP($C$142,Errichtungskosten,4,0)*0.01*VLOOKUP("E4.C.01a1",Errichtungskosten,4,0)*VLOOKUP(VLOOKUP($C$142,Errichtungskosten,8,0),ÖkodatenKonstruktionen,60,0))</f>
        <v>0</v>
      </c>
      <c r="S142" s="194" t="s">
        <v>1493</v>
      </c>
    </row>
    <row r="143" spans="1:19" ht="15" customHeight="1">
      <c r="A143" s="55"/>
      <c r="B143" s="290"/>
      <c r="C143" s="194" t="s">
        <v>2018</v>
      </c>
      <c r="D143" s="80" t="s">
        <v>1612</v>
      </c>
      <c r="E143" s="161"/>
      <c r="F143" s="161"/>
      <c r="G143" s="115">
        <f t="shared" si="4"/>
        <v>0</v>
      </c>
      <c r="H143" s="194" t="s">
        <v>103</v>
      </c>
      <c r="I143" s="115">
        <f>SUM(I144:I145)</f>
        <v>0</v>
      </c>
      <c r="J143" s="194" t="s">
        <v>1311</v>
      </c>
      <c r="K143" s="115">
        <f>SUM(K144:K145)</f>
        <v>0</v>
      </c>
      <c r="L143" s="194" t="s">
        <v>1311</v>
      </c>
      <c r="M143" s="115">
        <f>SUM(M144:M145)</f>
        <v>0</v>
      </c>
      <c r="N143" s="194" t="s">
        <v>1311</v>
      </c>
      <c r="O143" s="115">
        <f>SUM(O144:O145)</f>
        <v>0</v>
      </c>
      <c r="P143" s="194" t="s">
        <v>1313</v>
      </c>
      <c r="Q143" s="194"/>
      <c r="R143" s="67"/>
      <c r="S143" s="194"/>
    </row>
    <row r="144" spans="1:19" ht="15" customHeight="1">
      <c r="A144" s="55"/>
      <c r="B144" s="290"/>
      <c r="C144" s="194" t="s">
        <v>2020</v>
      </c>
      <c r="D144" s="347" t="s">
        <v>1478</v>
      </c>
      <c r="E144" s="161"/>
      <c r="F144" s="161"/>
      <c r="G144" s="70"/>
      <c r="H144" s="76"/>
      <c r="I144" s="155">
        <f>VLOOKUP($C$143,Errichtungskosten,4,0)*VLOOKUP(VLOOKUP($C$144,Errichtungskosten,8,0),ÖkodatenKonstruktionen,14,0)</f>
        <v>0</v>
      </c>
      <c r="J144" s="76" t="s">
        <v>1311</v>
      </c>
      <c r="K144" s="155">
        <f>VLOOKUP($C$143,Errichtungskosten,4,0)*VLOOKUP(VLOOKUP($C$144,Errichtungskosten,8,0),ÖkodatenKonstruktionen,15,0)</f>
        <v>0</v>
      </c>
      <c r="L144" s="76" t="s">
        <v>1311</v>
      </c>
      <c r="M144" s="155">
        <f>VLOOKUP($C$143,Errichtungskosten,4,0)*VLOOKUP(VLOOKUP($C$144,Errichtungskosten,8,0),ÖkodatenKonstruktionen,16,0)</f>
        <v>0</v>
      </c>
      <c r="N144" s="76" t="s">
        <v>1311</v>
      </c>
      <c r="O144" s="155">
        <f>VLOOKUP($C$143,Errichtungskosten,4,0)*VLOOKUP(VLOOKUP($C$144,Errichtungskosten,8,0),ÖkodatenKonstruktionen,18,0)</f>
        <v>0</v>
      </c>
      <c r="P144" s="76" t="s">
        <v>1313</v>
      </c>
      <c r="Q144" s="76"/>
      <c r="R144" s="155">
        <f>VLOOKUP($C$143,Errichtungskosten,4,0)*VLOOKUP(VLOOKUP($C$144,Errichtungskosten,8,0),ÖkodatenKonstruktionen,60,0)</f>
        <v>0</v>
      </c>
      <c r="S144" s="76" t="s">
        <v>1493</v>
      </c>
    </row>
    <row r="145" spans="1:20" ht="15" customHeight="1">
      <c r="A145" s="55"/>
      <c r="B145" s="290"/>
      <c r="C145" s="194" t="s">
        <v>2021</v>
      </c>
      <c r="D145" s="347" t="s">
        <v>1479</v>
      </c>
      <c r="E145" s="161"/>
      <c r="F145" s="161"/>
      <c r="G145" s="70"/>
      <c r="H145" s="76"/>
      <c r="I145" s="155">
        <f>VLOOKUP($C$143,Errichtungskosten,4,0)*0.01*VLOOKUP($C$145,Errichtungskosten,4,0)*VLOOKUP(VLOOKUP($C$145,Errichtungskosten,8,0),ÖkodatenKonstruktionen,14,0)</f>
        <v>0</v>
      </c>
      <c r="J145" s="76" t="s">
        <v>1311</v>
      </c>
      <c r="K145" s="155">
        <f>VLOOKUP($C$143,Errichtungskosten,4,0)*0.01*VLOOKUP($C$145,Errichtungskosten,4,0)*VLOOKUP(VLOOKUP($C$145,Errichtungskosten,8,0),ÖkodatenKonstruktionen,15,0)</f>
        <v>0</v>
      </c>
      <c r="L145" s="76" t="s">
        <v>1311</v>
      </c>
      <c r="M145" s="155">
        <f>VLOOKUP($C$143,Errichtungskosten,4,0)*0.01*VLOOKUP($C$145,Errichtungskosten,4,0)*VLOOKUP(VLOOKUP($C$145,Errichtungskosten,8,0),ÖkodatenKonstruktionen,16,0)</f>
        <v>0</v>
      </c>
      <c r="N145" s="76" t="s">
        <v>1311</v>
      </c>
      <c r="O145" s="155">
        <f>VLOOKUP($C$143,Errichtungskosten,4,0)*0.01*VLOOKUP($C$145,Errichtungskosten,4,0)*VLOOKUP(VLOOKUP($C$145,Errichtungskosten,8,0),ÖkodatenKonstruktionen,18,0)</f>
        <v>0</v>
      </c>
      <c r="P145" s="76" t="s">
        <v>1313</v>
      </c>
      <c r="Q145" s="76"/>
      <c r="R145" s="155">
        <f>VLOOKUP($C$143,Errichtungskosten,4,0)*0.01*VLOOKUP($C$145,Errichtungskosten,4,0)*VLOOKUP(VLOOKUP($C$145,Errichtungskosten,8,0),ÖkodatenKonstruktionen,60,0)</f>
        <v>0</v>
      </c>
      <c r="S145" s="76" t="s">
        <v>1493</v>
      </c>
    </row>
    <row r="146" spans="1:20" ht="15" customHeight="1">
      <c r="A146" s="293">
        <v>10100</v>
      </c>
      <c r="B146" s="294" t="s">
        <v>728</v>
      </c>
      <c r="C146" s="172" t="s">
        <v>173</v>
      </c>
      <c r="D146" s="172" t="s">
        <v>172</v>
      </c>
      <c r="E146" s="172"/>
      <c r="F146" s="172"/>
      <c r="G146" s="158">
        <f>VLOOKUP(C146,Errichtungskosten,12,0)</f>
        <v>0</v>
      </c>
      <c r="H146" s="172" t="s">
        <v>103</v>
      </c>
      <c r="I146" s="158">
        <f>SUM(I150,I147,I151)</f>
        <v>0</v>
      </c>
      <c r="J146" s="172" t="s">
        <v>1311</v>
      </c>
      <c r="K146" s="158">
        <f>SUM(K150,K147,K151)</f>
        <v>0</v>
      </c>
      <c r="L146" s="172" t="s">
        <v>1311</v>
      </c>
      <c r="M146" s="158">
        <f>SUM(M150,M147,M151)</f>
        <v>0</v>
      </c>
      <c r="N146" s="172" t="s">
        <v>1311</v>
      </c>
      <c r="O146" s="158">
        <f>SUM(O150,O147,O151)</f>
        <v>0</v>
      </c>
      <c r="P146" s="172" t="s">
        <v>1313</v>
      </c>
      <c r="Q146" s="172"/>
      <c r="R146" s="171"/>
      <c r="S146" s="172"/>
    </row>
    <row r="147" spans="1:20" ht="15" customHeight="1">
      <c r="A147" s="55"/>
      <c r="B147" s="290"/>
      <c r="C147" s="194" t="s">
        <v>1965</v>
      </c>
      <c r="D147" s="80" t="s">
        <v>1613</v>
      </c>
      <c r="E147" s="194"/>
      <c r="F147" s="194"/>
      <c r="G147" s="115">
        <f>VLOOKUP(C147,Errichtungskosten,12,0)</f>
        <v>0</v>
      </c>
      <c r="H147" s="194" t="s">
        <v>103</v>
      </c>
      <c r="I147" s="115">
        <f>SUM(I148:I149)</f>
        <v>0</v>
      </c>
      <c r="J147" s="194" t="s">
        <v>1311</v>
      </c>
      <c r="K147" s="115">
        <f>SUM(K148:K149)</f>
        <v>0</v>
      </c>
      <c r="L147" s="194" t="s">
        <v>1311</v>
      </c>
      <c r="M147" s="115">
        <f>SUM(M148:M149)</f>
        <v>0</v>
      </c>
      <c r="N147" s="194" t="s">
        <v>1311</v>
      </c>
      <c r="O147" s="115">
        <f>SUM(O148:O149)</f>
        <v>0</v>
      </c>
      <c r="P147" s="194" t="s">
        <v>1313</v>
      </c>
      <c r="Q147" s="194"/>
      <c r="R147" s="67"/>
      <c r="S147" s="194"/>
    </row>
    <row r="148" spans="1:20" ht="15" customHeight="1">
      <c r="A148" s="55"/>
      <c r="B148" s="290"/>
      <c r="C148" s="194" t="s">
        <v>1967</v>
      </c>
      <c r="D148" s="75" t="s">
        <v>1969</v>
      </c>
      <c r="E148" s="194"/>
      <c r="F148" s="194"/>
      <c r="G148" s="67"/>
      <c r="H148" s="76"/>
      <c r="I148" s="115">
        <f>VLOOKUP($C$147,Errichtungskosten,4,0)*VLOOKUP($C$148,Errichtungskosten,4,0)*VLOOKUP(VLOOKUP($C$148,Errichtungskosten,8,0),ÖkodatenKonstruktionen,14,0)</f>
        <v>0</v>
      </c>
      <c r="J148" s="76" t="s">
        <v>1311</v>
      </c>
      <c r="K148" s="115">
        <f>VLOOKUP($C$147,Errichtungskosten,4,0)*VLOOKUP($C$148,Errichtungskosten,4,0)*VLOOKUP(VLOOKUP($C$148,Errichtungskosten,8,0),ÖkodatenKonstruktionen,15,0)</f>
        <v>0</v>
      </c>
      <c r="L148" s="76" t="s">
        <v>1311</v>
      </c>
      <c r="M148" s="115">
        <f>VLOOKUP($C$147,Errichtungskosten,4,0)*VLOOKUP($C$148,Errichtungskosten,4,0)*VLOOKUP(VLOOKUP($C$148,Errichtungskosten,8,0),ÖkodatenKonstruktionen,16,0)</f>
        <v>0</v>
      </c>
      <c r="N148" s="76" t="s">
        <v>1311</v>
      </c>
      <c r="O148" s="115">
        <f>VLOOKUP($C$147,Errichtungskosten,4,0)*VLOOKUP($C$148,Errichtungskosten,4,0)*VLOOKUP(VLOOKUP($C$148,Errichtungskosten,8,0),ÖkodatenKonstruktionen,18,0)</f>
        <v>0</v>
      </c>
      <c r="P148" s="76" t="s">
        <v>1313</v>
      </c>
      <c r="Q148" s="76"/>
      <c r="R148" s="115">
        <f>VLOOKUP($C$147,Errichtungskosten,4,0)*VLOOKUP($C$148,Errichtungskosten,4,0)*VLOOKUP(VLOOKUP($C$148,Errichtungskosten,8,0),ÖkodatenKonstruktionen,60,0)</f>
        <v>0</v>
      </c>
      <c r="S148" s="76" t="s">
        <v>1493</v>
      </c>
    </row>
    <row r="149" spans="1:20" ht="15" customHeight="1">
      <c r="A149" s="55"/>
      <c r="B149" s="290"/>
      <c r="C149" s="194" t="s">
        <v>1968</v>
      </c>
      <c r="D149" s="75" t="s">
        <v>1970</v>
      </c>
      <c r="E149" s="194"/>
      <c r="F149" s="194"/>
      <c r="G149" s="67"/>
      <c r="H149" s="76"/>
      <c r="I149" s="115">
        <f>VLOOKUP($C$147,Errichtungskosten,4,0)*VLOOKUP($C$149,Errichtungskosten,4,0)*VLOOKUP(VLOOKUP($C$149,Errichtungskosten,8,0),ÖkodatenKonstruktionen,14,0)</f>
        <v>0</v>
      </c>
      <c r="J149" s="76" t="s">
        <v>1311</v>
      </c>
      <c r="K149" s="115">
        <f>VLOOKUP($C$147,Errichtungskosten,4,0)*VLOOKUP($C$149,Errichtungskosten,4,0)*VLOOKUP(VLOOKUP($C$149,Errichtungskosten,8,0),ÖkodatenKonstruktionen,15,0)</f>
        <v>0</v>
      </c>
      <c r="L149" s="76" t="s">
        <v>1311</v>
      </c>
      <c r="M149" s="115">
        <f>VLOOKUP($C$147,Errichtungskosten,4,0)*VLOOKUP($C$149,Errichtungskosten,4,0)*VLOOKUP(VLOOKUP($C$149,Errichtungskosten,8,0),ÖkodatenKonstruktionen,16,0)</f>
        <v>0</v>
      </c>
      <c r="N149" s="76" t="s">
        <v>1311</v>
      </c>
      <c r="O149" s="115">
        <f>VLOOKUP($C$147,Errichtungskosten,4,0)*VLOOKUP($C$149,Errichtungskosten,4,0)*VLOOKUP(VLOOKUP($C$149,Errichtungskosten,8,0),ÖkodatenKonstruktionen,18,0)</f>
        <v>0</v>
      </c>
      <c r="P149" s="76" t="s">
        <v>1313</v>
      </c>
      <c r="Q149" s="76"/>
      <c r="R149" s="115">
        <f>VLOOKUP($C$147,Errichtungskosten,4,0)*VLOOKUP($C$149,Errichtungskosten,4,0)*VLOOKUP(VLOOKUP($C$149,Errichtungskosten,8,0),ÖkodatenKonstruktionen,60,0)</f>
        <v>0</v>
      </c>
      <c r="S149" s="76" t="s">
        <v>1493</v>
      </c>
    </row>
    <row r="150" spans="1:20" ht="15" customHeight="1">
      <c r="A150" s="55"/>
      <c r="B150" s="290"/>
      <c r="C150" s="194" t="s">
        <v>1966</v>
      </c>
      <c r="D150" s="80" t="s">
        <v>1614</v>
      </c>
      <c r="E150" s="194"/>
      <c r="F150" s="194"/>
      <c r="G150" s="115">
        <f>VLOOKUP(C150,Errichtungskosten,12,0)</f>
        <v>0</v>
      </c>
      <c r="H150" s="194" t="s">
        <v>103</v>
      </c>
      <c r="I150" s="115">
        <f>VLOOKUP($C$150,Errichtungskosten,4,0)*VLOOKUP(VLOOKUP($C$150,Errichtungskosten,8,0),ÖkodatenKonstruktionen,14,0)</f>
        <v>0</v>
      </c>
      <c r="J150" s="194" t="s">
        <v>1311</v>
      </c>
      <c r="K150" s="115">
        <f>VLOOKUP($C$150,Errichtungskosten,4,0)*VLOOKUP(VLOOKUP($C$150,Errichtungskosten,8,0),ÖkodatenKonstruktionen,15,0)</f>
        <v>0</v>
      </c>
      <c r="L150" s="194" t="s">
        <v>1311</v>
      </c>
      <c r="M150" s="115">
        <f>VLOOKUP($C$150,Errichtungskosten,4,0)*VLOOKUP(VLOOKUP($C$150,Errichtungskosten,8,0),ÖkodatenKonstruktionen,16,0)</f>
        <v>0</v>
      </c>
      <c r="N150" s="194" t="s">
        <v>1311</v>
      </c>
      <c r="O150" s="115">
        <f>VLOOKUP($C$150,Errichtungskosten,4,0)*VLOOKUP(VLOOKUP($C$150,Errichtungskosten,8,0),ÖkodatenKonstruktionen,18,0)</f>
        <v>0</v>
      </c>
      <c r="P150" s="194" t="s">
        <v>1313</v>
      </c>
      <c r="Q150" s="194"/>
      <c r="R150" s="115">
        <f>VLOOKUP($C$150,Errichtungskosten,4,0)*VLOOKUP(VLOOKUP($C$150,Errichtungskosten,8,0),ÖkodatenKonstruktionen,60,0)</f>
        <v>0</v>
      </c>
      <c r="S150" s="194" t="s">
        <v>1493</v>
      </c>
      <c r="T150" s="399"/>
    </row>
    <row r="151" spans="1:20" ht="15" customHeight="1">
      <c r="A151" s="55"/>
      <c r="B151" s="290"/>
      <c r="C151" s="194" t="s">
        <v>2143</v>
      </c>
      <c r="D151" s="194" t="s">
        <v>2146</v>
      </c>
      <c r="E151" s="194"/>
      <c r="F151" s="194"/>
      <c r="G151" s="115">
        <f>VLOOKUP(C151,Errichtungskosten,12,0)</f>
        <v>0</v>
      </c>
      <c r="H151" s="194" t="s">
        <v>103</v>
      </c>
      <c r="I151" s="115">
        <f>SUM(I152:I153)</f>
        <v>0</v>
      </c>
      <c r="J151" s="194" t="s">
        <v>1311</v>
      </c>
      <c r="K151" s="115">
        <f>SUM(K152:K153)</f>
        <v>0</v>
      </c>
      <c r="L151" s="194" t="s">
        <v>1311</v>
      </c>
      <c r="M151" s="115">
        <f>SUM(M152:M153)</f>
        <v>0</v>
      </c>
      <c r="N151" s="194" t="s">
        <v>1311</v>
      </c>
      <c r="O151" s="115">
        <f>SUM(O152:O153)</f>
        <v>0</v>
      </c>
      <c r="P151" s="194" t="s">
        <v>1313</v>
      </c>
      <c r="Q151" s="194"/>
      <c r="R151" s="67"/>
      <c r="S151" s="194"/>
    </row>
    <row r="152" spans="1:20" ht="15" customHeight="1">
      <c r="A152" s="55"/>
      <c r="B152" s="290"/>
      <c r="C152" s="194" t="s">
        <v>2144</v>
      </c>
      <c r="D152" s="75" t="s">
        <v>1962</v>
      </c>
      <c r="E152" s="194"/>
      <c r="F152" s="194"/>
      <c r="G152" s="67"/>
      <c r="H152" s="76"/>
      <c r="I152" s="115">
        <f>VLOOKUP($C$151,Errichtungskosten,4,0)*VLOOKUP($C$152,Errichtungskosten,4,0)*VLOOKUP(VLOOKUP($C$152,Errichtungskosten,8,0),ÖkodatenKonstruktionen,14,0)</f>
        <v>0</v>
      </c>
      <c r="J152" s="76" t="s">
        <v>1311</v>
      </c>
      <c r="K152" s="115">
        <f>VLOOKUP($C$151,Errichtungskosten,4,0)*VLOOKUP($C$152,Errichtungskosten,4,0)*VLOOKUP(VLOOKUP($C$152,Errichtungskosten,8,0),ÖkodatenKonstruktionen,15,0)</f>
        <v>0</v>
      </c>
      <c r="L152" s="76" t="s">
        <v>1311</v>
      </c>
      <c r="M152" s="115">
        <f>VLOOKUP($C$151,Errichtungskosten,4,0)*VLOOKUP($C$152,Errichtungskosten,4,0)*VLOOKUP(VLOOKUP($C$152,Errichtungskosten,8,0),ÖkodatenKonstruktionen,16,0)</f>
        <v>0</v>
      </c>
      <c r="N152" s="76" t="s">
        <v>1311</v>
      </c>
      <c r="O152" s="115">
        <f>VLOOKUP($C$151,Errichtungskosten,4,0)*VLOOKUP($C$152,Errichtungskosten,4,0)*VLOOKUP(VLOOKUP($C$152,Errichtungskosten,8,0),ÖkodatenKonstruktionen,18,0)</f>
        <v>0</v>
      </c>
      <c r="P152" s="76" t="s">
        <v>1313</v>
      </c>
      <c r="Q152" s="194"/>
      <c r="R152" s="115">
        <f>VLOOKUP($C$151,Errichtungskosten,4,0)*VLOOKUP($C$152,Errichtungskosten,4,0)*VLOOKUP(VLOOKUP($C$152,Errichtungskosten,8,0),ÖkodatenKonstruktionen,60,0)</f>
        <v>0</v>
      </c>
      <c r="S152" s="76" t="s">
        <v>1493</v>
      </c>
    </row>
    <row r="153" spans="1:20" ht="15" customHeight="1">
      <c r="A153" s="55"/>
      <c r="B153" s="290"/>
      <c r="C153" s="194" t="s">
        <v>2145</v>
      </c>
      <c r="D153" s="75" t="s">
        <v>1961</v>
      </c>
      <c r="E153" s="194"/>
      <c r="F153" s="194"/>
      <c r="G153" s="67"/>
      <c r="H153" s="76"/>
      <c r="I153" s="115">
        <f>VLOOKUP($C$151,Errichtungskosten,4,0)*VLOOKUP($C$153,Errichtungskosten,4,0)*VLOOKUP(VLOOKUP($C$153,Errichtungskosten,8,0),ÖkodatenKonstruktionen,14,0)</f>
        <v>0</v>
      </c>
      <c r="J153" s="76" t="s">
        <v>1311</v>
      </c>
      <c r="K153" s="115">
        <f>VLOOKUP($C$151,Errichtungskosten,4,0)*VLOOKUP($C$153,Errichtungskosten,4,0)*VLOOKUP(VLOOKUP($C$153,Errichtungskosten,8,0),ÖkodatenKonstruktionen,15,0)</f>
        <v>0</v>
      </c>
      <c r="L153" s="76" t="s">
        <v>1311</v>
      </c>
      <c r="M153" s="115">
        <f>VLOOKUP($C$151,Errichtungskosten,4,0)*VLOOKUP($C$153,Errichtungskosten,4,0)*VLOOKUP(VLOOKUP($C$153,Errichtungskosten,8,0),ÖkodatenKonstruktionen,16,0)</f>
        <v>0</v>
      </c>
      <c r="N153" s="76" t="s">
        <v>1311</v>
      </c>
      <c r="O153" s="115">
        <f>VLOOKUP($C$151,Errichtungskosten,4,0)*VLOOKUP($C$153,Errichtungskosten,4,0)*VLOOKUP(VLOOKUP($C$153,Errichtungskosten,8,0),ÖkodatenKonstruktionen,18,0)</f>
        <v>0</v>
      </c>
      <c r="P153" s="76" t="s">
        <v>1313</v>
      </c>
      <c r="Q153" s="194"/>
      <c r="R153" s="115">
        <f>VLOOKUP($C$151,Errichtungskosten,4,0)*VLOOKUP($C$153,Errichtungskosten,4,0)*VLOOKUP(VLOOKUP($C$153,Errichtungskosten,8,0),ÖkodatenKonstruktionen,60,0)</f>
        <v>0</v>
      </c>
      <c r="S153" s="76" t="s">
        <v>1493</v>
      </c>
    </row>
    <row r="154" spans="1:20" ht="15" customHeight="1">
      <c r="A154" s="55"/>
      <c r="B154" s="290"/>
      <c r="C154" s="194" t="s">
        <v>2263</v>
      </c>
      <c r="D154" s="194" t="s">
        <v>2264</v>
      </c>
      <c r="E154" s="194"/>
      <c r="F154" s="194"/>
      <c r="G154" s="115">
        <f>VLOOKUP(C154,Errichtungskosten,12,0)</f>
        <v>0</v>
      </c>
      <c r="H154" s="194" t="s">
        <v>103</v>
      </c>
      <c r="I154" s="67"/>
      <c r="J154" s="194"/>
      <c r="K154" s="67"/>
      <c r="L154" s="194"/>
      <c r="M154" s="67"/>
      <c r="N154" s="194"/>
      <c r="O154" s="67"/>
      <c r="P154" s="194"/>
      <c r="Q154" s="194"/>
      <c r="R154" s="67"/>
      <c r="S154" s="194"/>
    </row>
    <row r="155" spans="1:20" ht="15" customHeight="1">
      <c r="A155" s="55">
        <v>10200</v>
      </c>
      <c r="B155" s="290" t="s">
        <v>728</v>
      </c>
      <c r="C155" s="194" t="s">
        <v>171</v>
      </c>
      <c r="D155" s="194" t="s">
        <v>170</v>
      </c>
      <c r="E155" s="68"/>
      <c r="F155" s="68"/>
      <c r="G155" s="115">
        <f t="shared" ref="G155:G203" si="5">VLOOKUP(C155,Errichtungskosten,12,0)</f>
        <v>0</v>
      </c>
      <c r="H155" s="194" t="s">
        <v>103</v>
      </c>
      <c r="I155" s="194"/>
      <c r="J155" s="194"/>
      <c r="K155" s="194"/>
      <c r="L155" s="194"/>
      <c r="M155" s="194"/>
      <c r="N155" s="194"/>
      <c r="O155" s="194"/>
      <c r="P155" s="194"/>
      <c r="Q155" s="194"/>
      <c r="R155" s="194"/>
      <c r="S155" s="194"/>
    </row>
    <row r="156" spans="1:20" ht="15" customHeight="1">
      <c r="A156" s="55">
        <v>10250</v>
      </c>
      <c r="B156" s="290" t="s">
        <v>728</v>
      </c>
      <c r="C156" s="194" t="s">
        <v>1486</v>
      </c>
      <c r="D156" s="194" t="s">
        <v>1176</v>
      </c>
      <c r="E156" s="194"/>
      <c r="F156" s="194"/>
      <c r="G156" s="115">
        <f t="shared" si="5"/>
        <v>0</v>
      </c>
      <c r="H156" s="194" t="s">
        <v>103</v>
      </c>
      <c r="I156" s="115">
        <f>SUM(I157:I158)</f>
        <v>0</v>
      </c>
      <c r="J156" s="194" t="s">
        <v>1311</v>
      </c>
      <c r="K156" s="115">
        <f>SUM(K157:K158)</f>
        <v>0</v>
      </c>
      <c r="L156" s="194" t="s">
        <v>1311</v>
      </c>
      <c r="M156" s="115">
        <f>SUM(M157:M158)</f>
        <v>0</v>
      </c>
      <c r="N156" s="194" t="s">
        <v>1311</v>
      </c>
      <c r="O156" s="115">
        <f>SUM(O157:O158)</f>
        <v>0</v>
      </c>
      <c r="P156" s="194" t="s">
        <v>1313</v>
      </c>
      <c r="Q156" s="194"/>
      <c r="R156" s="67"/>
      <c r="S156" s="194"/>
    </row>
    <row r="157" spans="1:20" ht="15" customHeight="1">
      <c r="A157" s="55"/>
      <c r="B157" s="290"/>
      <c r="C157" s="194" t="s">
        <v>1876</v>
      </c>
      <c r="D157" s="80" t="s">
        <v>1482</v>
      </c>
      <c r="E157" s="194"/>
      <c r="F157" s="194"/>
      <c r="G157" s="155">
        <f t="shared" si="5"/>
        <v>0</v>
      </c>
      <c r="H157" s="76" t="s">
        <v>103</v>
      </c>
      <c r="I157" s="155">
        <f>VLOOKUP($C$156,Errichtungskosten,4,0)*VLOOKUP($C$157,Errichtungskosten,4,0)*0.01*VLOOKUP(VLOOKUP($C$157,Errichtungskosten,8,0),ÖkodatenKonstruktionen,14,0)</f>
        <v>0</v>
      </c>
      <c r="J157" s="76" t="s">
        <v>1311</v>
      </c>
      <c r="K157" s="155">
        <f>VLOOKUP($C$156,Errichtungskosten,4,0)*VLOOKUP($C$157,Errichtungskosten,4,0)*0.01*VLOOKUP(VLOOKUP($C$157,Errichtungskosten,8,0),ÖkodatenKonstruktionen,15,0)</f>
        <v>0</v>
      </c>
      <c r="L157" s="76" t="s">
        <v>1311</v>
      </c>
      <c r="M157" s="155">
        <f>VLOOKUP($C$156,Errichtungskosten,4,0)*VLOOKUP($C$157,Errichtungskosten,4,0)*0.01*VLOOKUP(VLOOKUP($C$157,Errichtungskosten,8,0),ÖkodatenKonstruktionen,16,0)</f>
        <v>0</v>
      </c>
      <c r="N157" s="76" t="s">
        <v>1311</v>
      </c>
      <c r="O157" s="155">
        <f>VLOOKUP($C$156,Errichtungskosten,4,0)*VLOOKUP($C$157,Errichtungskosten,4,0)*0.01*VLOOKUP(VLOOKUP($C$157,Errichtungskosten,8,0),ÖkodatenKonstruktionen,18,0)</f>
        <v>0</v>
      </c>
      <c r="P157" s="76" t="s">
        <v>1313</v>
      </c>
      <c r="Q157" s="76"/>
      <c r="R157" s="155">
        <f>VLOOKUP($C$156,Errichtungskosten,4,0)*VLOOKUP($C$157,Errichtungskosten,4,0)*0.01*VLOOKUP(VLOOKUP($C$157,Errichtungskosten,8,0),ÖkodatenKonstruktionen,60,0)</f>
        <v>0</v>
      </c>
      <c r="S157" s="76" t="s">
        <v>1493</v>
      </c>
    </row>
    <row r="158" spans="1:20" ht="15" customHeight="1">
      <c r="A158" s="55"/>
      <c r="B158" s="290"/>
      <c r="C158" s="194" t="s">
        <v>1877</v>
      </c>
      <c r="D158" s="80" t="s">
        <v>1483</v>
      </c>
      <c r="E158" s="194"/>
      <c r="F158" s="194"/>
      <c r="G158" s="155">
        <f t="shared" si="5"/>
        <v>0</v>
      </c>
      <c r="H158" s="76" t="s">
        <v>103</v>
      </c>
      <c r="I158" s="155">
        <f>VLOOKUP($C$156,Errichtungskosten,4,0)*VLOOKUP($C$158,Errichtungskosten,4,0)*0.01*VLOOKUP(VLOOKUP($C$158,Errichtungskosten,8,0),ÖkodatenKonstruktionen,14,0)</f>
        <v>0</v>
      </c>
      <c r="J158" s="76" t="s">
        <v>1311</v>
      </c>
      <c r="K158" s="155">
        <f>VLOOKUP($C$156,Errichtungskosten,4,0)*VLOOKUP($C$158,Errichtungskosten,4,0)*0.01*VLOOKUP(VLOOKUP($C$158,Errichtungskosten,8,0),ÖkodatenKonstruktionen,15,0)</f>
        <v>0</v>
      </c>
      <c r="L158" s="76" t="s">
        <v>1311</v>
      </c>
      <c r="M158" s="155">
        <f>VLOOKUP($C$156,Errichtungskosten,4,0)*VLOOKUP($C$158,Errichtungskosten,4,0)*0.01*VLOOKUP(VLOOKUP($C$158,Errichtungskosten,8,0),ÖkodatenKonstruktionen,16,0)</f>
        <v>0</v>
      </c>
      <c r="N158" s="76" t="s">
        <v>1311</v>
      </c>
      <c r="O158" s="155">
        <f>VLOOKUP($C$156,Errichtungskosten,4,0)*VLOOKUP($C$158,Errichtungskosten,4,0)*0.01*VLOOKUP(VLOOKUP($C$158,Errichtungskosten,8,0),ÖkodatenKonstruktionen,18,0)</f>
        <v>0</v>
      </c>
      <c r="P158" s="76" t="s">
        <v>1313</v>
      </c>
      <c r="Q158" s="76"/>
      <c r="R158" s="155">
        <f>VLOOKUP($C$156,Errichtungskosten,4,0)*VLOOKUP($C$158,Errichtungskosten,4,0)*0.01*VLOOKUP(VLOOKUP($C$158,Errichtungskosten,8,0),ÖkodatenKonstruktionen,60,0)</f>
        <v>0</v>
      </c>
      <c r="S158" s="76" t="s">
        <v>1493</v>
      </c>
    </row>
    <row r="159" spans="1:20" ht="15" customHeight="1">
      <c r="A159" s="55">
        <v>10300</v>
      </c>
      <c r="B159" s="290" t="s">
        <v>728</v>
      </c>
      <c r="C159" s="194" t="s">
        <v>169</v>
      </c>
      <c r="D159" s="194" t="s">
        <v>168</v>
      </c>
      <c r="E159" s="161"/>
      <c r="F159" s="161"/>
      <c r="G159" s="115">
        <f t="shared" si="5"/>
        <v>0</v>
      </c>
      <c r="H159" s="194" t="s">
        <v>103</v>
      </c>
      <c r="I159" s="194"/>
      <c r="J159" s="194"/>
      <c r="K159" s="194"/>
      <c r="L159" s="194"/>
      <c r="M159" s="194"/>
      <c r="N159" s="194"/>
      <c r="O159" s="194"/>
      <c r="P159" s="194"/>
      <c r="Q159" s="194"/>
      <c r="R159" s="194"/>
      <c r="S159" s="194"/>
    </row>
    <row r="160" spans="1:20" ht="15" customHeight="1">
      <c r="A160" s="293">
        <v>10400</v>
      </c>
      <c r="B160" s="294" t="s">
        <v>743</v>
      </c>
      <c r="C160" s="172" t="s">
        <v>167</v>
      </c>
      <c r="D160" s="172" t="s">
        <v>166</v>
      </c>
      <c r="E160" s="172"/>
      <c r="F160" s="172"/>
      <c r="G160" s="157">
        <f t="shared" si="5"/>
        <v>0</v>
      </c>
      <c r="H160" s="172" t="s">
        <v>103</v>
      </c>
      <c r="I160" s="171">
        <f>SUM(I161,I165,I168,I172:I176)</f>
        <v>0</v>
      </c>
      <c r="J160" s="172" t="s">
        <v>1311</v>
      </c>
      <c r="K160" s="171">
        <f>SUM(K161,K165,K168,K172:K176)</f>
        <v>0</v>
      </c>
      <c r="L160" s="172" t="s">
        <v>1311</v>
      </c>
      <c r="M160" s="171">
        <f>SUM(M161,M165,M168,M172:M176)</f>
        <v>0</v>
      </c>
      <c r="N160" s="172" t="s">
        <v>1311</v>
      </c>
      <c r="O160" s="171">
        <f>SUM(O161,O165,O168,O172:O176)</f>
        <v>0</v>
      </c>
      <c r="P160" s="172" t="s">
        <v>1313</v>
      </c>
      <c r="Q160" s="172"/>
      <c r="R160" s="171"/>
      <c r="S160" s="172"/>
    </row>
    <row r="161" spans="1:19" ht="15" customHeight="1">
      <c r="A161" s="55">
        <v>10500</v>
      </c>
      <c r="B161" s="290" t="s">
        <v>728</v>
      </c>
      <c r="C161" s="194" t="s">
        <v>165</v>
      </c>
      <c r="D161" s="194" t="s">
        <v>164</v>
      </c>
      <c r="E161" s="194"/>
      <c r="F161" s="194"/>
      <c r="G161" s="115">
        <f t="shared" si="5"/>
        <v>0</v>
      </c>
      <c r="H161" s="194" t="s">
        <v>103</v>
      </c>
      <c r="I161" s="115">
        <f>SUM(I162:I164)</f>
        <v>0</v>
      </c>
      <c r="J161" s="194" t="s">
        <v>1311</v>
      </c>
      <c r="K161" s="115">
        <f>SUM(K162:K164)</f>
        <v>0</v>
      </c>
      <c r="L161" s="194" t="s">
        <v>1311</v>
      </c>
      <c r="M161" s="115">
        <f>SUM(M162:M164)</f>
        <v>0</v>
      </c>
      <c r="N161" s="194" t="s">
        <v>1311</v>
      </c>
      <c r="O161" s="115">
        <f>SUM(O162:O164)</f>
        <v>0</v>
      </c>
      <c r="P161" s="194" t="s">
        <v>1313</v>
      </c>
      <c r="Q161" s="194"/>
      <c r="R161" s="67"/>
      <c r="S161" s="194"/>
    </row>
    <row r="162" spans="1:19" ht="15" customHeight="1">
      <c r="A162" s="55"/>
      <c r="B162" s="290"/>
      <c r="C162" s="194" t="s">
        <v>1802</v>
      </c>
      <c r="D162" s="80" t="s">
        <v>1809</v>
      </c>
      <c r="E162" s="194"/>
      <c r="F162" s="194"/>
      <c r="G162" s="155">
        <f t="shared" si="5"/>
        <v>0</v>
      </c>
      <c r="H162" s="76" t="s">
        <v>103</v>
      </c>
      <c r="I162" s="155">
        <f>VLOOKUP($C$162,Errichtungskosten,4,0)*VLOOKUP(VLOOKUP($C$162,Errichtungskosten,8,0),ÖkodatenKonstruktionen,14,0)</f>
        <v>0</v>
      </c>
      <c r="J162" s="76" t="s">
        <v>1311</v>
      </c>
      <c r="K162" s="155">
        <f>VLOOKUP($C$162,Errichtungskosten,4,0)*VLOOKUP(VLOOKUP($C$162,Errichtungskosten,8,0),ÖkodatenKonstruktionen,15,0)</f>
        <v>0</v>
      </c>
      <c r="L162" s="76" t="s">
        <v>1311</v>
      </c>
      <c r="M162" s="155">
        <f>VLOOKUP($C$162,Errichtungskosten,4,0)*VLOOKUP(VLOOKUP($C$162,Errichtungskosten,8,0),ÖkodatenKonstruktionen,16,0)</f>
        <v>0</v>
      </c>
      <c r="N162" s="76" t="s">
        <v>1311</v>
      </c>
      <c r="O162" s="155">
        <f>VLOOKUP($C$162,Errichtungskosten,4,0)*VLOOKUP(VLOOKUP($C$162,Errichtungskosten,8,0),ÖkodatenKonstruktionen,18,0)</f>
        <v>0</v>
      </c>
      <c r="P162" s="76" t="s">
        <v>1313</v>
      </c>
      <c r="Q162" s="76"/>
      <c r="R162" s="155">
        <f>VLOOKUP($C$162,Errichtungskosten,4,0)*VLOOKUP(VLOOKUP($C$162,Errichtungskosten,8,0),ÖkodatenKonstruktionen,60,0)</f>
        <v>0</v>
      </c>
      <c r="S162" s="76" t="s">
        <v>1493</v>
      </c>
    </row>
    <row r="163" spans="1:19" ht="15" customHeight="1">
      <c r="A163" s="55"/>
      <c r="B163" s="290"/>
      <c r="C163" s="194" t="s">
        <v>1803</v>
      </c>
      <c r="D163" s="80" t="s">
        <v>1810</v>
      </c>
      <c r="E163" s="194"/>
      <c r="F163" s="194"/>
      <c r="G163" s="155">
        <f t="shared" si="5"/>
        <v>0</v>
      </c>
      <c r="H163" s="76" t="s">
        <v>103</v>
      </c>
      <c r="I163" s="155">
        <f>VLOOKUP($C$163,Errichtungskosten,4,0)*VLOOKUP(VLOOKUP($C$163,Errichtungskosten,8,0),ÖkodatenKonstruktionen,14,0)</f>
        <v>0</v>
      </c>
      <c r="J163" s="76" t="s">
        <v>1311</v>
      </c>
      <c r="K163" s="155">
        <f>VLOOKUP($C$163,Errichtungskosten,4,0)*VLOOKUP(VLOOKUP($C$163,Errichtungskosten,8,0),ÖkodatenKonstruktionen,15,0)</f>
        <v>0</v>
      </c>
      <c r="L163" s="76" t="s">
        <v>1311</v>
      </c>
      <c r="M163" s="155">
        <f>VLOOKUP($C$163,Errichtungskosten,4,0)*VLOOKUP(VLOOKUP($C$163,Errichtungskosten,8,0),ÖkodatenKonstruktionen,16,0)</f>
        <v>0</v>
      </c>
      <c r="N163" s="76" t="s">
        <v>1311</v>
      </c>
      <c r="O163" s="155">
        <f>VLOOKUP($C$163,Errichtungskosten,4,0)*VLOOKUP(VLOOKUP($C$163,Errichtungskosten,8,0),ÖkodatenKonstruktionen,18,0)</f>
        <v>0</v>
      </c>
      <c r="P163" s="76" t="s">
        <v>1313</v>
      </c>
      <c r="Q163" s="76"/>
      <c r="R163" s="155">
        <f>VLOOKUP($C$163,Errichtungskosten,4,0)*VLOOKUP(VLOOKUP($C$163,Errichtungskosten,8,0),ÖkodatenKonstruktionen,60,0)</f>
        <v>0</v>
      </c>
      <c r="S163" s="76" t="s">
        <v>1493</v>
      </c>
    </row>
    <row r="164" spans="1:19" ht="15" customHeight="1">
      <c r="A164" s="55"/>
      <c r="B164" s="290"/>
      <c r="C164" s="194" t="s">
        <v>1804</v>
      </c>
      <c r="D164" s="80" t="s">
        <v>1811</v>
      </c>
      <c r="E164" s="194"/>
      <c r="F164" s="194"/>
      <c r="G164" s="155">
        <f t="shared" si="5"/>
        <v>0</v>
      </c>
      <c r="H164" s="76" t="s">
        <v>103</v>
      </c>
      <c r="I164" s="155">
        <f>VLOOKUP($C$164,Errichtungskosten,4,0)*VLOOKUP(VLOOKUP($C$164,Errichtungskosten,8,0),ÖkodatenKonstruktionen,14,0)</f>
        <v>0</v>
      </c>
      <c r="J164" s="76" t="s">
        <v>1311</v>
      </c>
      <c r="K164" s="155">
        <f>VLOOKUP($C$164,Errichtungskosten,4,0)*VLOOKUP(VLOOKUP($C$164,Errichtungskosten,8,0),ÖkodatenKonstruktionen,15,0)</f>
        <v>0</v>
      </c>
      <c r="L164" s="76" t="s">
        <v>1311</v>
      </c>
      <c r="M164" s="155">
        <f>VLOOKUP($C$164,Errichtungskosten,4,0)*VLOOKUP(VLOOKUP($C$164,Errichtungskosten,8,0),ÖkodatenKonstruktionen,16,0)</f>
        <v>0</v>
      </c>
      <c r="N164" s="76" t="s">
        <v>1311</v>
      </c>
      <c r="O164" s="155">
        <f>VLOOKUP($C$164,Errichtungskosten,4,0)*VLOOKUP(VLOOKUP($C$164,Errichtungskosten,8,0),ÖkodatenKonstruktionen,18,0)</f>
        <v>0</v>
      </c>
      <c r="P164" s="76" t="s">
        <v>1313</v>
      </c>
      <c r="Q164" s="76"/>
      <c r="R164" s="155">
        <f>VLOOKUP($C$164,Errichtungskosten,4,0)*VLOOKUP(VLOOKUP($C$164,Errichtungskosten,8,0),ÖkodatenKonstruktionen,60,0)</f>
        <v>0</v>
      </c>
      <c r="S164" s="76" t="s">
        <v>1493</v>
      </c>
    </row>
    <row r="165" spans="1:19" ht="15" customHeight="1">
      <c r="A165" s="55">
        <v>10600</v>
      </c>
      <c r="B165" s="290" t="s">
        <v>728</v>
      </c>
      <c r="C165" s="194" t="s">
        <v>163</v>
      </c>
      <c r="D165" s="194" t="s">
        <v>162</v>
      </c>
      <c r="E165" s="194"/>
      <c r="F165" s="194"/>
      <c r="G165" s="115">
        <f t="shared" si="5"/>
        <v>0</v>
      </c>
      <c r="H165" s="194" t="s">
        <v>103</v>
      </c>
      <c r="I165" s="115">
        <f>SUM(I166:I167)</f>
        <v>0</v>
      </c>
      <c r="J165" s="194" t="s">
        <v>1311</v>
      </c>
      <c r="K165" s="115">
        <f>SUM(K166:K167)</f>
        <v>0</v>
      </c>
      <c r="L165" s="194" t="s">
        <v>1311</v>
      </c>
      <c r="M165" s="115">
        <f>SUM(M166:M167)</f>
        <v>0</v>
      </c>
      <c r="N165" s="194" t="s">
        <v>1311</v>
      </c>
      <c r="O165" s="115">
        <f>SUM(O166:O167)</f>
        <v>0</v>
      </c>
      <c r="P165" s="194" t="s">
        <v>1313</v>
      </c>
      <c r="Q165" s="194"/>
      <c r="R165" s="67"/>
      <c r="S165" s="194"/>
    </row>
    <row r="166" spans="1:19" ht="15" customHeight="1">
      <c r="A166" s="55"/>
      <c r="B166" s="290"/>
      <c r="C166" s="194" t="s">
        <v>1807</v>
      </c>
      <c r="D166" s="80" t="s">
        <v>1805</v>
      </c>
      <c r="E166" s="194"/>
      <c r="F166" s="194"/>
      <c r="G166" s="155">
        <f t="shared" si="5"/>
        <v>0</v>
      </c>
      <c r="H166" s="76" t="s">
        <v>103</v>
      </c>
      <c r="I166" s="155">
        <f>VLOOKUP($C$166,Errichtungskosten,4,0)*VLOOKUP(VLOOKUP($C$166,Errichtungskosten,8,0),ÖkodatenKonstruktionen,14,0)</f>
        <v>0</v>
      </c>
      <c r="J166" s="76" t="s">
        <v>1311</v>
      </c>
      <c r="K166" s="155">
        <f>VLOOKUP($C$166,Errichtungskosten,4,0)*VLOOKUP(VLOOKUP($C$166,Errichtungskosten,8,0),ÖkodatenKonstruktionen,15,0)</f>
        <v>0</v>
      </c>
      <c r="L166" s="76" t="s">
        <v>1311</v>
      </c>
      <c r="M166" s="155">
        <f>VLOOKUP($C$166,Errichtungskosten,4,0)*VLOOKUP(VLOOKUP($C$166,Errichtungskosten,8,0),ÖkodatenKonstruktionen,16,0)</f>
        <v>0</v>
      </c>
      <c r="N166" s="76" t="s">
        <v>1311</v>
      </c>
      <c r="O166" s="155">
        <f>VLOOKUP($C$166,Errichtungskosten,4,0)*VLOOKUP(VLOOKUP($C$166,Errichtungskosten,8,0),ÖkodatenKonstruktionen,18,0)</f>
        <v>0</v>
      </c>
      <c r="P166" s="76" t="s">
        <v>1313</v>
      </c>
      <c r="Q166" s="76"/>
      <c r="R166" s="155">
        <f>VLOOKUP($C$166,Errichtungskosten,4,0)*VLOOKUP(VLOOKUP($C$166,Errichtungskosten,8,0),ÖkodatenKonstruktionen,60,0)</f>
        <v>0</v>
      </c>
      <c r="S166" s="76" t="s">
        <v>1493</v>
      </c>
    </row>
    <row r="167" spans="1:19" ht="15" customHeight="1">
      <c r="A167" s="55"/>
      <c r="B167" s="290"/>
      <c r="C167" s="194" t="s">
        <v>1808</v>
      </c>
      <c r="D167" s="80" t="s">
        <v>1806</v>
      </c>
      <c r="E167" s="194"/>
      <c r="F167" s="194"/>
      <c r="G167" s="155">
        <f t="shared" si="5"/>
        <v>0</v>
      </c>
      <c r="H167" s="76" t="s">
        <v>103</v>
      </c>
      <c r="I167" s="155">
        <f>VLOOKUP($C$167,Errichtungskosten,4,0)*VLOOKUP(VLOOKUP($C$167,Errichtungskosten,8,0),ÖkodatenKonstruktionen,14,0)</f>
        <v>0</v>
      </c>
      <c r="J167" s="76" t="s">
        <v>1311</v>
      </c>
      <c r="K167" s="155">
        <f>VLOOKUP($C$167,Errichtungskosten,4,0)*VLOOKUP(VLOOKUP($C$167,Errichtungskosten,8,0),ÖkodatenKonstruktionen,15,0)</f>
        <v>0</v>
      </c>
      <c r="L167" s="76" t="s">
        <v>1311</v>
      </c>
      <c r="M167" s="155">
        <f>VLOOKUP($C$167,Errichtungskosten,4,0)*VLOOKUP(VLOOKUP($C$167,Errichtungskosten,8,0),ÖkodatenKonstruktionen,16,0)</f>
        <v>0</v>
      </c>
      <c r="N167" s="76" t="s">
        <v>1311</v>
      </c>
      <c r="O167" s="155">
        <f>VLOOKUP($C$167,Errichtungskosten,4,0)*VLOOKUP(VLOOKUP($C$167,Errichtungskosten,8,0),ÖkodatenKonstruktionen,18,0)</f>
        <v>0</v>
      </c>
      <c r="P167" s="76" t="s">
        <v>1313</v>
      </c>
      <c r="Q167" s="76"/>
      <c r="R167" s="155">
        <f>VLOOKUP($C$167,Errichtungskosten,4,0)*VLOOKUP(VLOOKUP($C$167,Errichtungskosten,8,0),ÖkodatenKonstruktionen,60,0)</f>
        <v>0</v>
      </c>
      <c r="S167" s="76" t="s">
        <v>1493</v>
      </c>
    </row>
    <row r="168" spans="1:19" ht="15" customHeight="1">
      <c r="A168" s="55">
        <v>10700</v>
      </c>
      <c r="B168" s="290" t="s">
        <v>728</v>
      </c>
      <c r="C168" s="194" t="s">
        <v>160</v>
      </c>
      <c r="D168" s="194" t="s">
        <v>159</v>
      </c>
      <c r="E168" s="194"/>
      <c r="F168" s="194"/>
      <c r="G168" s="115">
        <f t="shared" si="5"/>
        <v>0</v>
      </c>
      <c r="H168" s="194" t="s">
        <v>103</v>
      </c>
      <c r="I168" s="115">
        <f>SUM(I169:I171)</f>
        <v>0</v>
      </c>
      <c r="J168" s="194" t="s">
        <v>1311</v>
      </c>
      <c r="K168" s="115">
        <f>SUM(K169:K171)</f>
        <v>0</v>
      </c>
      <c r="L168" s="194" t="s">
        <v>1311</v>
      </c>
      <c r="M168" s="115">
        <f>SUM(M169:M171)</f>
        <v>0</v>
      </c>
      <c r="N168" s="194" t="s">
        <v>1311</v>
      </c>
      <c r="O168" s="115">
        <f>SUM(O169:O171)</f>
        <v>0</v>
      </c>
      <c r="P168" s="194" t="s">
        <v>1313</v>
      </c>
      <c r="Q168" s="194"/>
      <c r="R168" s="67"/>
      <c r="S168" s="194"/>
    </row>
    <row r="169" spans="1:19" ht="15" customHeight="1">
      <c r="A169" s="55"/>
      <c r="B169" s="290"/>
      <c r="C169" s="194" t="s">
        <v>1878</v>
      </c>
      <c r="D169" s="80" t="s">
        <v>1615</v>
      </c>
      <c r="E169" s="194"/>
      <c r="F169" s="194"/>
      <c r="G169" s="155">
        <f t="shared" si="5"/>
        <v>0</v>
      </c>
      <c r="H169" s="76" t="s">
        <v>103</v>
      </c>
      <c r="I169" s="155">
        <f>VLOOKUP($C$169,Errichtungskosten,4,0)*VLOOKUP(VLOOKUP($C$169,Errichtungskosten,8,0),ÖkodatenKonstruktionen,14,0)</f>
        <v>0</v>
      </c>
      <c r="J169" s="76" t="s">
        <v>1311</v>
      </c>
      <c r="K169" s="155">
        <f>VLOOKUP($C$169,Errichtungskosten,4,0)*VLOOKUP(VLOOKUP($C$169,Errichtungskosten,8,0),ÖkodatenKonstruktionen,15,0)</f>
        <v>0</v>
      </c>
      <c r="L169" s="76" t="s">
        <v>1311</v>
      </c>
      <c r="M169" s="155">
        <f>VLOOKUP($C$169,Errichtungskosten,4,0)*VLOOKUP(VLOOKUP($C$169,Errichtungskosten,8,0),ÖkodatenKonstruktionen,16,0)</f>
        <v>0</v>
      </c>
      <c r="N169" s="76" t="s">
        <v>1311</v>
      </c>
      <c r="O169" s="155">
        <f>VLOOKUP($C$169,Errichtungskosten,4,0)*VLOOKUP(VLOOKUP($C$169,Errichtungskosten,8,0),ÖkodatenKonstruktionen,18,0)</f>
        <v>0</v>
      </c>
      <c r="P169" s="76" t="s">
        <v>1313</v>
      </c>
      <c r="Q169" s="76"/>
      <c r="R169" s="155">
        <f>VLOOKUP($C$169,Errichtungskosten,4,0)*VLOOKUP(VLOOKUP($C$169,Errichtungskosten,8,0),ÖkodatenKonstruktionen,60,0)</f>
        <v>0</v>
      </c>
      <c r="S169" s="76" t="s">
        <v>1493</v>
      </c>
    </row>
    <row r="170" spans="1:19" ht="15" customHeight="1">
      <c r="A170" s="55"/>
      <c r="B170" s="290"/>
      <c r="C170" s="194" t="s">
        <v>1879</v>
      </c>
      <c r="D170" s="80" t="s">
        <v>1616</v>
      </c>
      <c r="E170" s="194"/>
      <c r="F170" s="194"/>
      <c r="G170" s="155">
        <f t="shared" si="5"/>
        <v>0</v>
      </c>
      <c r="H170" s="76" t="s">
        <v>103</v>
      </c>
      <c r="I170" s="155">
        <f>VLOOKUP($C$170,Errichtungskosten,4,0)*VLOOKUP(VLOOKUP($C$170,Errichtungskosten,8,0),ÖkodatenKonstruktionen,14,0)</f>
        <v>0</v>
      </c>
      <c r="J170" s="76" t="s">
        <v>1311</v>
      </c>
      <c r="K170" s="155">
        <f>VLOOKUP($C$170,Errichtungskosten,4,0)*VLOOKUP(VLOOKUP($C$170,Errichtungskosten,8,0),ÖkodatenKonstruktionen,15,0)</f>
        <v>0</v>
      </c>
      <c r="L170" s="76" t="s">
        <v>1311</v>
      </c>
      <c r="M170" s="155">
        <f>VLOOKUP($C$170,Errichtungskosten,4,0)*VLOOKUP(VLOOKUP($C$170,Errichtungskosten,8,0),ÖkodatenKonstruktionen,16,0)</f>
        <v>0</v>
      </c>
      <c r="N170" s="76" t="s">
        <v>1311</v>
      </c>
      <c r="O170" s="155">
        <f>VLOOKUP($C$170,Errichtungskosten,4,0)*VLOOKUP(VLOOKUP($C$170,Errichtungskosten,8,0),ÖkodatenKonstruktionen,18,0)</f>
        <v>0</v>
      </c>
      <c r="P170" s="76" t="s">
        <v>1313</v>
      </c>
      <c r="Q170" s="76"/>
      <c r="R170" s="155">
        <f>VLOOKUP($C$170,Errichtungskosten,4,0)*VLOOKUP(VLOOKUP($C$170,Errichtungskosten,8,0),ÖkodatenKonstruktionen,60,0)</f>
        <v>0</v>
      </c>
      <c r="S170" s="76" t="s">
        <v>1493</v>
      </c>
    </row>
    <row r="171" spans="1:19" ht="15" customHeight="1">
      <c r="A171" s="55"/>
      <c r="B171" s="290"/>
      <c r="C171" s="194" t="s">
        <v>1880</v>
      </c>
      <c r="D171" s="80" t="s">
        <v>1617</v>
      </c>
      <c r="E171" s="194"/>
      <c r="F171" s="194"/>
      <c r="G171" s="155">
        <f t="shared" si="5"/>
        <v>0</v>
      </c>
      <c r="H171" s="76" t="s">
        <v>103</v>
      </c>
      <c r="I171" s="155">
        <f>VLOOKUP($C$171,Errichtungskosten,4,0)*VLOOKUP(VLOOKUP($C$171,Errichtungskosten,8,0),ÖkodatenKonstruktionen,14,0)</f>
        <v>0</v>
      </c>
      <c r="J171" s="76" t="s">
        <v>1311</v>
      </c>
      <c r="K171" s="155">
        <f>VLOOKUP($C$171,Errichtungskosten,4,0)*VLOOKUP(VLOOKUP($C$171,Errichtungskosten,8,0),ÖkodatenKonstruktionen,15,0)</f>
        <v>0</v>
      </c>
      <c r="L171" s="76" t="s">
        <v>1311</v>
      </c>
      <c r="M171" s="155">
        <f>VLOOKUP($C$171,Errichtungskosten,4,0)*VLOOKUP(VLOOKUP($C$171,Errichtungskosten,8,0),ÖkodatenKonstruktionen,16,0)</f>
        <v>0</v>
      </c>
      <c r="N171" s="76" t="s">
        <v>1311</v>
      </c>
      <c r="O171" s="155">
        <f>VLOOKUP($C$171,Errichtungskosten,4,0)*VLOOKUP(VLOOKUP($C$171,Errichtungskosten,8,0),ÖkodatenKonstruktionen,18,0)</f>
        <v>0</v>
      </c>
      <c r="P171" s="76" t="s">
        <v>1313</v>
      </c>
      <c r="Q171" s="76"/>
      <c r="R171" s="155">
        <f>VLOOKUP($C$171,Errichtungskosten,4,0)*VLOOKUP(VLOOKUP($C$171,Errichtungskosten,8,0),ÖkodatenKonstruktionen,60,0)</f>
        <v>0</v>
      </c>
      <c r="S171" s="76" t="s">
        <v>1493</v>
      </c>
    </row>
    <row r="172" spans="1:19" ht="15" customHeight="1">
      <c r="A172" s="55">
        <v>10800</v>
      </c>
      <c r="B172" s="290" t="s">
        <v>728</v>
      </c>
      <c r="C172" s="194" t="s">
        <v>157</v>
      </c>
      <c r="D172" s="194" t="s">
        <v>156</v>
      </c>
      <c r="E172" s="194"/>
      <c r="F172" s="194"/>
      <c r="G172" s="115">
        <f t="shared" si="5"/>
        <v>0</v>
      </c>
      <c r="H172" s="194" t="s">
        <v>103</v>
      </c>
      <c r="I172" s="115">
        <f>SUM(I173:I174)</f>
        <v>0</v>
      </c>
      <c r="J172" s="194" t="s">
        <v>1311</v>
      </c>
      <c r="K172" s="115">
        <f>SUM(K173:K174)</f>
        <v>0</v>
      </c>
      <c r="L172" s="194" t="s">
        <v>1311</v>
      </c>
      <c r="M172" s="115">
        <f>SUM(M173:M174)</f>
        <v>0</v>
      </c>
      <c r="N172" s="194" t="s">
        <v>1311</v>
      </c>
      <c r="O172" s="115">
        <f>SUM(O173:O174)</f>
        <v>0</v>
      </c>
      <c r="P172" s="194" t="s">
        <v>1313</v>
      </c>
      <c r="Q172" s="194"/>
      <c r="R172" s="67"/>
      <c r="S172" s="194"/>
    </row>
    <row r="173" spans="1:19" ht="15" customHeight="1">
      <c r="A173" s="55"/>
      <c r="B173" s="290"/>
      <c r="C173" s="111" t="s">
        <v>2719</v>
      </c>
      <c r="D173" s="80" t="s">
        <v>2721</v>
      </c>
      <c r="E173" s="194"/>
      <c r="F173" s="194"/>
      <c r="G173" s="155">
        <f t="shared" si="5"/>
        <v>0</v>
      </c>
      <c r="H173" s="76" t="s">
        <v>103</v>
      </c>
      <c r="I173" s="155">
        <f>VLOOKUP($C$173,Errichtungskosten,4,0)*VLOOKUP(VLOOKUP($C$173,Errichtungskosten,8,0),ÖkodatenKonstruktionen,14,0)</f>
        <v>0</v>
      </c>
      <c r="J173" s="76" t="s">
        <v>1311</v>
      </c>
      <c r="K173" s="155">
        <f>VLOOKUP($C$173,Errichtungskosten,4,0)*VLOOKUP(VLOOKUP($C$173,Errichtungskosten,8,0),ÖkodatenKonstruktionen,15,0)</f>
        <v>0</v>
      </c>
      <c r="L173" s="76" t="s">
        <v>1311</v>
      </c>
      <c r="M173" s="155">
        <f>VLOOKUP($C$173,Errichtungskosten,4,0)*VLOOKUP(VLOOKUP($C$173,Errichtungskosten,8,0),ÖkodatenKonstruktionen,16,0)</f>
        <v>0</v>
      </c>
      <c r="N173" s="76" t="s">
        <v>1311</v>
      </c>
      <c r="O173" s="155">
        <f>VLOOKUP($C$173,Errichtungskosten,4,0)*VLOOKUP(VLOOKUP($C$173,Errichtungskosten,8,0),ÖkodatenKonstruktionen,18,0)</f>
        <v>0</v>
      </c>
      <c r="P173" s="76" t="s">
        <v>1313</v>
      </c>
      <c r="Q173" s="76"/>
      <c r="R173" s="155">
        <f>VLOOKUP($C$173,Errichtungskosten,4,0)*VLOOKUP(VLOOKUP($C$173,Errichtungskosten,8,0),ÖkodatenKonstruktionen,60,0)</f>
        <v>0</v>
      </c>
      <c r="S173" s="76" t="s">
        <v>1493</v>
      </c>
    </row>
    <row r="174" spans="1:19" ht="15" customHeight="1">
      <c r="A174" s="55"/>
      <c r="B174" s="290"/>
      <c r="C174" s="111" t="s">
        <v>2720</v>
      </c>
      <c r="D174" s="80" t="s">
        <v>2722</v>
      </c>
      <c r="E174" s="194"/>
      <c r="F174" s="194"/>
      <c r="G174" s="155">
        <f t="shared" si="5"/>
        <v>0</v>
      </c>
      <c r="H174" s="76" t="s">
        <v>103</v>
      </c>
      <c r="I174" s="155">
        <f>VLOOKUP($C$174,Errichtungskosten,4,0)*VLOOKUP(VLOOKUP($C$174,Errichtungskosten,8,0),ÖkodatenKonstruktionen,14,0)</f>
        <v>0</v>
      </c>
      <c r="J174" s="76" t="s">
        <v>1311</v>
      </c>
      <c r="K174" s="155">
        <f>VLOOKUP($C$174,Errichtungskosten,4,0)*VLOOKUP(VLOOKUP($C$174,Errichtungskosten,8,0),ÖkodatenKonstruktionen,15,0)</f>
        <v>0</v>
      </c>
      <c r="L174" s="76" t="s">
        <v>1311</v>
      </c>
      <c r="M174" s="155">
        <f>VLOOKUP($C$174,Errichtungskosten,4,0)*VLOOKUP(VLOOKUP($C$174,Errichtungskosten,8,0),ÖkodatenKonstruktionen,16,0)</f>
        <v>0</v>
      </c>
      <c r="N174" s="76" t="s">
        <v>1311</v>
      </c>
      <c r="O174" s="155">
        <f>VLOOKUP($C$174,Errichtungskosten,4,0)*VLOOKUP(VLOOKUP($C$174,Errichtungskosten,8,0),ÖkodatenKonstruktionen,18,0)</f>
        <v>0</v>
      </c>
      <c r="P174" s="76" t="s">
        <v>1313</v>
      </c>
      <c r="Q174" s="76"/>
      <c r="R174" s="155">
        <f>VLOOKUP($C$174,Errichtungskosten,4,0)*VLOOKUP(VLOOKUP($C$174,Errichtungskosten,8,0),ÖkodatenKonstruktionen,60,0)</f>
        <v>0</v>
      </c>
      <c r="S174" s="76" t="s">
        <v>1493</v>
      </c>
    </row>
    <row r="175" spans="1:19" ht="15" customHeight="1">
      <c r="A175" s="55">
        <v>10900</v>
      </c>
      <c r="B175" s="290" t="s">
        <v>728</v>
      </c>
      <c r="C175" s="194" t="s">
        <v>155</v>
      </c>
      <c r="D175" s="194" t="s">
        <v>154</v>
      </c>
      <c r="E175" s="194"/>
      <c r="F175" s="194"/>
      <c r="G175" s="115">
        <f t="shared" si="5"/>
        <v>0</v>
      </c>
      <c r="H175" s="194" t="s">
        <v>103</v>
      </c>
      <c r="I175" s="115">
        <f>VLOOKUP($C$175,Errichtungskosten,4,0)*VLOOKUP(VLOOKUP($C$175,Errichtungskosten,8,0),ÖkodatenKonstruktionen,14,0)</f>
        <v>0</v>
      </c>
      <c r="J175" s="194" t="s">
        <v>1311</v>
      </c>
      <c r="K175" s="115">
        <f>VLOOKUP($C$175,Errichtungskosten,4,0)*VLOOKUP(VLOOKUP($C$175,Errichtungskosten,8,0),ÖkodatenKonstruktionen,15,0)</f>
        <v>0</v>
      </c>
      <c r="L175" s="194" t="s">
        <v>1311</v>
      </c>
      <c r="M175" s="115">
        <f>VLOOKUP($C$175,Errichtungskosten,4,0)*VLOOKUP(VLOOKUP($C$175,Errichtungskosten,8,0),ÖkodatenKonstruktionen,16,0)</f>
        <v>0</v>
      </c>
      <c r="N175" s="194" t="s">
        <v>1311</v>
      </c>
      <c r="O175" s="115">
        <f>VLOOKUP($C$175,Errichtungskosten,4,0)*VLOOKUP(VLOOKUP($C$175,Errichtungskosten,8,0),ÖkodatenKonstruktionen,18,0)</f>
        <v>0</v>
      </c>
      <c r="P175" s="194" t="s">
        <v>1313</v>
      </c>
      <c r="Q175" s="194"/>
      <c r="R175" s="115">
        <f>VLOOKUP($C$175,Errichtungskosten,4,0)*VLOOKUP(VLOOKUP($C$175,Errichtungskosten,8,0),ÖkodatenKonstruktionen,60,0)</f>
        <v>0</v>
      </c>
      <c r="S175" s="194" t="s">
        <v>1493</v>
      </c>
    </row>
    <row r="176" spans="1:19" ht="15" customHeight="1">
      <c r="A176" s="55">
        <v>11000</v>
      </c>
      <c r="B176" s="290" t="s">
        <v>728</v>
      </c>
      <c r="C176" s="194" t="s">
        <v>153</v>
      </c>
      <c r="D176" s="194" t="s">
        <v>152</v>
      </c>
      <c r="E176" s="194"/>
      <c r="F176" s="194"/>
      <c r="G176" s="115">
        <f t="shared" si="5"/>
        <v>0</v>
      </c>
      <c r="H176" s="194" t="s">
        <v>103</v>
      </c>
      <c r="I176" s="194"/>
      <c r="J176" s="194"/>
      <c r="K176" s="194"/>
      <c r="L176" s="194"/>
      <c r="M176" s="194"/>
      <c r="N176" s="194"/>
      <c r="O176" s="194"/>
      <c r="P176" s="194"/>
      <c r="Q176" s="194"/>
      <c r="R176" s="194"/>
      <c r="S176" s="194"/>
    </row>
    <row r="177" spans="1:19" ht="15" customHeight="1">
      <c r="A177" s="421"/>
      <c r="B177" s="421"/>
      <c r="C177" s="421"/>
      <c r="D177" s="421" t="s">
        <v>1193</v>
      </c>
      <c r="E177" s="421"/>
      <c r="F177" s="421"/>
      <c r="G177" s="172"/>
      <c r="H177" s="172"/>
      <c r="I177" s="171">
        <f>$R$177*(VLOOKUP("LKW-Transport 28 t",ÖkodatenKonstruktionen,14,0))</f>
        <v>0</v>
      </c>
      <c r="J177" s="172" t="s">
        <v>1311</v>
      </c>
      <c r="K177" s="171">
        <f>$R$177*(VLOOKUP("LKW-Transport 28 t",ÖkodatenKonstruktionen,15,0))</f>
        <v>0</v>
      </c>
      <c r="L177" s="172" t="s">
        <v>1311</v>
      </c>
      <c r="M177" s="171">
        <f>$R$177*(VLOOKUP("LKW-Transport 28 t",ÖkodatenKonstruktionen,16,0))</f>
        <v>0</v>
      </c>
      <c r="N177" s="172" t="s">
        <v>1311</v>
      </c>
      <c r="O177" s="171">
        <f>$R$177*(VLOOKUP("LKW-Transport 28 t",ÖkodatenKonstruktionen,18,0))</f>
        <v>0</v>
      </c>
      <c r="P177" s="172" t="s">
        <v>1313</v>
      </c>
      <c r="Q177" s="172"/>
      <c r="R177" s="171">
        <f>SUM(R129:R176)</f>
        <v>0</v>
      </c>
      <c r="S177" s="172" t="s">
        <v>1493</v>
      </c>
    </row>
    <row r="178" spans="1:19" ht="15" customHeight="1">
      <c r="A178" s="293">
        <v>11200</v>
      </c>
      <c r="B178" s="294" t="s">
        <v>724</v>
      </c>
      <c r="C178" s="172" t="s">
        <v>151</v>
      </c>
      <c r="D178" s="172" t="s">
        <v>150</v>
      </c>
      <c r="E178" s="172"/>
      <c r="F178" s="172"/>
      <c r="G178" s="158">
        <f t="shared" si="5"/>
        <v>0</v>
      </c>
      <c r="H178" s="172" t="s">
        <v>103</v>
      </c>
      <c r="I178" s="171"/>
      <c r="J178" s="171"/>
      <c r="K178" s="171"/>
      <c r="L178" s="171"/>
      <c r="M178" s="171"/>
      <c r="N178" s="171"/>
      <c r="O178" s="171"/>
      <c r="P178" s="171"/>
      <c r="Q178" s="171"/>
      <c r="R178" s="171"/>
      <c r="S178" s="171"/>
    </row>
    <row r="179" spans="1:19" ht="15" customHeight="1">
      <c r="A179" s="55">
        <v>11300</v>
      </c>
      <c r="B179" s="290" t="s">
        <v>728</v>
      </c>
      <c r="C179" s="194" t="s">
        <v>149</v>
      </c>
      <c r="D179" s="194" t="s">
        <v>0</v>
      </c>
      <c r="E179" s="194"/>
      <c r="F179" s="194"/>
      <c r="G179" s="115">
        <f t="shared" si="5"/>
        <v>0</v>
      </c>
      <c r="H179" s="194" t="s">
        <v>103</v>
      </c>
      <c r="I179" s="194"/>
      <c r="J179" s="194"/>
      <c r="K179" s="194"/>
      <c r="L179" s="194"/>
      <c r="M179" s="194"/>
      <c r="N179" s="194"/>
      <c r="O179" s="194"/>
      <c r="P179" s="194"/>
      <c r="Q179" s="194"/>
      <c r="R179" s="194"/>
      <c r="S179" s="194"/>
    </row>
    <row r="180" spans="1:19" ht="15" customHeight="1">
      <c r="A180" s="55">
        <v>11400</v>
      </c>
      <c r="B180" s="290" t="s">
        <v>728</v>
      </c>
      <c r="C180" s="194" t="s">
        <v>148</v>
      </c>
      <c r="D180" s="194" t="s">
        <v>147</v>
      </c>
      <c r="E180" s="161"/>
      <c r="F180" s="161"/>
      <c r="G180" s="115">
        <f t="shared" si="5"/>
        <v>0</v>
      </c>
      <c r="H180" s="194" t="s">
        <v>103</v>
      </c>
      <c r="I180" s="194"/>
      <c r="J180" s="194"/>
      <c r="K180" s="194"/>
      <c r="L180" s="194"/>
      <c r="M180" s="194"/>
      <c r="N180" s="194"/>
      <c r="O180" s="194"/>
      <c r="P180" s="194"/>
      <c r="Q180" s="194"/>
      <c r="R180" s="194"/>
      <c r="S180" s="194"/>
    </row>
    <row r="181" spans="1:19" ht="15" customHeight="1">
      <c r="A181" s="55">
        <v>11500</v>
      </c>
      <c r="B181" s="290" t="s">
        <v>728</v>
      </c>
      <c r="C181" s="194" t="s">
        <v>146</v>
      </c>
      <c r="D181" s="194" t="s">
        <v>145</v>
      </c>
      <c r="E181" s="194"/>
      <c r="F181" s="194"/>
      <c r="G181" s="115">
        <f t="shared" si="5"/>
        <v>0</v>
      </c>
      <c r="H181" s="194" t="s">
        <v>103</v>
      </c>
      <c r="I181" s="194"/>
      <c r="J181" s="194"/>
      <c r="K181" s="194"/>
      <c r="L181" s="194"/>
      <c r="M181" s="194"/>
      <c r="N181" s="194"/>
      <c r="O181" s="194"/>
      <c r="P181" s="194"/>
      <c r="Q181" s="194"/>
      <c r="R181" s="194"/>
      <c r="S181" s="194"/>
    </row>
    <row r="182" spans="1:19" ht="15" customHeight="1">
      <c r="A182" s="55">
        <v>11600</v>
      </c>
      <c r="B182" s="290" t="s">
        <v>728</v>
      </c>
      <c r="C182" s="194" t="s">
        <v>144</v>
      </c>
      <c r="D182" s="194" t="s">
        <v>143</v>
      </c>
      <c r="E182" s="194"/>
      <c r="F182" s="194"/>
      <c r="G182" s="115">
        <f t="shared" si="5"/>
        <v>0</v>
      </c>
      <c r="H182" s="194" t="s">
        <v>103</v>
      </c>
      <c r="I182" s="194"/>
      <c r="J182" s="194"/>
      <c r="K182" s="194"/>
      <c r="L182" s="194"/>
      <c r="M182" s="194"/>
      <c r="N182" s="194"/>
      <c r="O182" s="194"/>
      <c r="P182" s="194"/>
      <c r="Q182" s="194"/>
      <c r="R182" s="194"/>
      <c r="S182" s="194"/>
    </row>
    <row r="183" spans="1:19" ht="15" customHeight="1">
      <c r="A183" s="293">
        <v>11800</v>
      </c>
      <c r="B183" s="294" t="s">
        <v>724</v>
      </c>
      <c r="C183" s="172" t="s">
        <v>142</v>
      </c>
      <c r="D183" s="172" t="s">
        <v>141</v>
      </c>
      <c r="E183" s="172"/>
      <c r="F183" s="172"/>
      <c r="G183" s="158">
        <f t="shared" si="5"/>
        <v>0</v>
      </c>
      <c r="H183" s="172" t="s">
        <v>103</v>
      </c>
      <c r="I183" s="171"/>
      <c r="J183" s="171"/>
      <c r="K183" s="171"/>
      <c r="L183" s="171"/>
      <c r="M183" s="171"/>
      <c r="N183" s="171"/>
      <c r="O183" s="171"/>
      <c r="P183" s="171"/>
      <c r="Q183" s="171"/>
      <c r="R183" s="171"/>
      <c r="S183" s="171"/>
    </row>
    <row r="184" spans="1:19" ht="15" customHeight="1">
      <c r="A184" s="55">
        <v>11900</v>
      </c>
      <c r="B184" s="290" t="s">
        <v>728</v>
      </c>
      <c r="C184" s="194" t="s">
        <v>140</v>
      </c>
      <c r="D184" s="194" t="s">
        <v>0</v>
      </c>
      <c r="E184" s="194"/>
      <c r="F184" s="194"/>
      <c r="G184" s="115">
        <f t="shared" si="5"/>
        <v>0</v>
      </c>
      <c r="H184" s="194" t="s">
        <v>103</v>
      </c>
      <c r="I184" s="194"/>
      <c r="J184" s="194"/>
      <c r="K184" s="194"/>
      <c r="L184" s="194"/>
      <c r="M184" s="194"/>
      <c r="N184" s="194"/>
      <c r="O184" s="194"/>
      <c r="P184" s="194"/>
      <c r="Q184" s="194"/>
      <c r="R184" s="194"/>
      <c r="S184" s="194"/>
    </row>
    <row r="185" spans="1:19" ht="15" customHeight="1">
      <c r="A185" s="55">
        <v>12000</v>
      </c>
      <c r="B185" s="290" t="s">
        <v>728</v>
      </c>
      <c r="C185" s="194" t="s">
        <v>139</v>
      </c>
      <c r="D185" s="194" t="s">
        <v>138</v>
      </c>
      <c r="E185" s="194"/>
      <c r="F185" s="194"/>
      <c r="G185" s="115">
        <f t="shared" si="5"/>
        <v>0</v>
      </c>
      <c r="H185" s="194" t="s">
        <v>103</v>
      </c>
      <c r="I185" s="194"/>
      <c r="J185" s="194"/>
      <c r="K185" s="194"/>
      <c r="L185" s="194"/>
      <c r="M185" s="194"/>
      <c r="N185" s="194"/>
      <c r="O185" s="194"/>
      <c r="P185" s="194"/>
      <c r="Q185" s="194"/>
      <c r="R185" s="194"/>
      <c r="S185" s="194"/>
    </row>
    <row r="186" spans="1:19" ht="15" customHeight="1">
      <c r="A186" s="55">
        <v>12100</v>
      </c>
      <c r="B186" s="290" t="s">
        <v>728</v>
      </c>
      <c r="C186" s="194" t="s">
        <v>137</v>
      </c>
      <c r="D186" s="194" t="s">
        <v>136</v>
      </c>
      <c r="E186" s="194"/>
      <c r="F186" s="194"/>
      <c r="G186" s="115">
        <f t="shared" si="5"/>
        <v>0</v>
      </c>
      <c r="H186" s="194" t="s">
        <v>103</v>
      </c>
      <c r="I186" s="194"/>
      <c r="J186" s="194"/>
      <c r="K186" s="194"/>
      <c r="L186" s="194"/>
      <c r="M186" s="194"/>
      <c r="N186" s="194"/>
      <c r="O186" s="194"/>
      <c r="P186" s="194"/>
      <c r="Q186" s="194"/>
      <c r="R186" s="194"/>
      <c r="S186" s="194"/>
    </row>
    <row r="187" spans="1:19" ht="15" customHeight="1">
      <c r="A187" s="55">
        <v>12200</v>
      </c>
      <c r="B187" s="290" t="s">
        <v>728</v>
      </c>
      <c r="C187" s="194" t="s">
        <v>135</v>
      </c>
      <c r="D187" s="194" t="s">
        <v>134</v>
      </c>
      <c r="E187" s="194"/>
      <c r="F187" s="194"/>
      <c r="G187" s="115">
        <f t="shared" si="5"/>
        <v>0</v>
      </c>
      <c r="H187" s="194" t="s">
        <v>103</v>
      </c>
      <c r="I187" s="194"/>
      <c r="J187" s="194"/>
      <c r="K187" s="194"/>
      <c r="L187" s="194"/>
      <c r="M187" s="194"/>
      <c r="N187" s="194"/>
      <c r="O187" s="194"/>
      <c r="P187" s="194"/>
      <c r="Q187" s="194"/>
      <c r="R187" s="194"/>
      <c r="S187" s="194"/>
    </row>
    <row r="188" spans="1:19" ht="15" customHeight="1">
      <c r="A188" s="55">
        <v>12300</v>
      </c>
      <c r="B188" s="290" t="s">
        <v>728</v>
      </c>
      <c r="C188" s="194" t="s">
        <v>133</v>
      </c>
      <c r="D188" s="194" t="s">
        <v>132</v>
      </c>
      <c r="E188" s="194"/>
      <c r="F188" s="194"/>
      <c r="G188" s="115">
        <f t="shared" si="5"/>
        <v>0</v>
      </c>
      <c r="H188" s="194" t="s">
        <v>103</v>
      </c>
      <c r="I188" s="194"/>
      <c r="J188" s="194"/>
      <c r="K188" s="194"/>
      <c r="L188" s="194"/>
      <c r="M188" s="194"/>
      <c r="N188" s="194"/>
      <c r="O188" s="194"/>
      <c r="P188" s="194"/>
      <c r="Q188" s="194"/>
      <c r="R188" s="194"/>
      <c r="S188" s="194"/>
    </row>
    <row r="189" spans="1:19" ht="15" customHeight="1">
      <c r="A189" s="293">
        <v>12500</v>
      </c>
      <c r="B189" s="294" t="s">
        <v>724</v>
      </c>
      <c r="C189" s="172" t="s">
        <v>131</v>
      </c>
      <c r="D189" s="172" t="s">
        <v>130</v>
      </c>
      <c r="E189" s="172"/>
      <c r="F189" s="172"/>
      <c r="G189" s="158">
        <f t="shared" si="5"/>
        <v>0</v>
      </c>
      <c r="H189" s="172" t="s">
        <v>103</v>
      </c>
      <c r="I189" s="171"/>
      <c r="J189" s="171"/>
      <c r="K189" s="171"/>
      <c r="L189" s="171"/>
      <c r="M189" s="171"/>
      <c r="N189" s="171"/>
      <c r="O189" s="171"/>
      <c r="P189" s="171"/>
      <c r="Q189" s="171"/>
      <c r="R189" s="171"/>
      <c r="S189" s="171"/>
    </row>
    <row r="190" spans="1:19" ht="15" customHeight="1">
      <c r="A190" s="55">
        <v>12600</v>
      </c>
      <c r="B190" s="290" t="s">
        <v>728</v>
      </c>
      <c r="C190" s="194" t="s">
        <v>129</v>
      </c>
      <c r="D190" s="194" t="s">
        <v>128</v>
      </c>
      <c r="E190" s="194"/>
      <c r="F190" s="194"/>
      <c r="G190" s="115">
        <f t="shared" si="5"/>
        <v>0</v>
      </c>
      <c r="H190" s="194" t="s">
        <v>103</v>
      </c>
      <c r="I190" s="194"/>
      <c r="J190" s="194"/>
      <c r="K190" s="194"/>
      <c r="L190" s="194"/>
      <c r="M190" s="194"/>
      <c r="N190" s="194"/>
      <c r="O190" s="194"/>
      <c r="P190" s="194"/>
      <c r="Q190" s="194"/>
      <c r="R190" s="194"/>
      <c r="S190" s="194"/>
    </row>
    <row r="191" spans="1:19" ht="15" customHeight="1">
      <c r="A191" s="55">
        <v>12700</v>
      </c>
      <c r="B191" s="290" t="s">
        <v>728</v>
      </c>
      <c r="C191" s="194" t="s">
        <v>127</v>
      </c>
      <c r="D191" s="194" t="s">
        <v>126</v>
      </c>
      <c r="E191" s="194"/>
      <c r="F191" s="194"/>
      <c r="G191" s="115">
        <f t="shared" si="5"/>
        <v>0</v>
      </c>
      <c r="H191" s="194" t="s">
        <v>103</v>
      </c>
      <c r="I191" s="194"/>
      <c r="J191" s="194"/>
      <c r="K191" s="194"/>
      <c r="L191" s="194"/>
      <c r="M191" s="194"/>
      <c r="N191" s="194"/>
      <c r="O191" s="194"/>
      <c r="P191" s="194"/>
      <c r="Q191" s="194"/>
      <c r="R191" s="194"/>
      <c r="S191" s="194"/>
    </row>
    <row r="192" spans="1:19" ht="15" customHeight="1">
      <c r="A192" s="293">
        <v>12900</v>
      </c>
      <c r="B192" s="294" t="s">
        <v>724</v>
      </c>
      <c r="C192" s="172" t="s">
        <v>125</v>
      </c>
      <c r="D192" s="172" t="s">
        <v>124</v>
      </c>
      <c r="E192" s="172"/>
      <c r="F192" s="172"/>
      <c r="G192" s="158">
        <f t="shared" si="5"/>
        <v>0</v>
      </c>
      <c r="H192" s="172" t="s">
        <v>103</v>
      </c>
      <c r="I192" s="171"/>
      <c r="J192" s="171"/>
      <c r="K192" s="171"/>
      <c r="L192" s="171"/>
      <c r="M192" s="171"/>
      <c r="N192" s="171"/>
      <c r="O192" s="171"/>
      <c r="P192" s="171"/>
      <c r="Q192" s="171"/>
      <c r="R192" s="171"/>
      <c r="S192" s="171"/>
    </row>
    <row r="193" spans="1:19" ht="15" customHeight="1">
      <c r="A193" s="55">
        <v>13000</v>
      </c>
      <c r="B193" s="290" t="s">
        <v>728</v>
      </c>
      <c r="C193" s="194" t="s">
        <v>123</v>
      </c>
      <c r="D193" s="194" t="s">
        <v>122</v>
      </c>
      <c r="E193" s="194"/>
      <c r="F193" s="194"/>
      <c r="G193" s="115">
        <f t="shared" si="5"/>
        <v>0</v>
      </c>
      <c r="H193" s="194" t="s">
        <v>103</v>
      </c>
      <c r="I193" s="194"/>
      <c r="J193" s="194"/>
      <c r="K193" s="194"/>
      <c r="L193" s="194"/>
      <c r="M193" s="194"/>
      <c r="N193" s="194"/>
      <c r="O193" s="194"/>
      <c r="P193" s="194"/>
      <c r="Q193" s="194"/>
      <c r="R193" s="194"/>
      <c r="S193" s="194"/>
    </row>
    <row r="194" spans="1:19" ht="15" customHeight="1">
      <c r="A194" s="55">
        <v>13100</v>
      </c>
      <c r="B194" s="290" t="s">
        <v>728</v>
      </c>
      <c r="C194" s="194" t="s">
        <v>121</v>
      </c>
      <c r="D194" s="194" t="s">
        <v>120</v>
      </c>
      <c r="E194" s="194"/>
      <c r="F194" s="194"/>
      <c r="G194" s="115">
        <f t="shared" si="5"/>
        <v>0</v>
      </c>
      <c r="H194" s="194" t="s">
        <v>103</v>
      </c>
      <c r="I194" s="194"/>
      <c r="J194" s="194"/>
      <c r="K194" s="194"/>
      <c r="L194" s="194"/>
      <c r="M194" s="194"/>
      <c r="N194" s="194"/>
      <c r="O194" s="194"/>
      <c r="P194" s="194"/>
      <c r="Q194" s="194"/>
      <c r="R194" s="194"/>
      <c r="S194" s="194"/>
    </row>
    <row r="195" spans="1:19" ht="15" customHeight="1">
      <c r="A195" s="293">
        <v>13300</v>
      </c>
      <c r="B195" s="294" t="s">
        <v>724</v>
      </c>
      <c r="C195" s="172" t="s">
        <v>119</v>
      </c>
      <c r="D195" s="172" t="s">
        <v>118</v>
      </c>
      <c r="E195" s="172"/>
      <c r="F195" s="172"/>
      <c r="G195" s="158">
        <f t="shared" si="5"/>
        <v>0</v>
      </c>
      <c r="H195" s="172" t="s">
        <v>103</v>
      </c>
      <c r="I195" s="171"/>
      <c r="J195" s="171"/>
      <c r="K195" s="171"/>
      <c r="L195" s="171"/>
      <c r="M195" s="171"/>
      <c r="N195" s="171"/>
      <c r="O195" s="171"/>
      <c r="P195" s="171"/>
      <c r="Q195" s="171"/>
      <c r="R195" s="171"/>
      <c r="S195" s="171"/>
    </row>
    <row r="196" spans="1:19" ht="15" customHeight="1">
      <c r="A196" s="55">
        <v>13400</v>
      </c>
      <c r="B196" s="290" t="s">
        <v>728</v>
      </c>
      <c r="C196" s="194" t="s">
        <v>116</v>
      </c>
      <c r="D196" s="194" t="s">
        <v>0</v>
      </c>
      <c r="E196" s="161"/>
      <c r="F196" s="161"/>
      <c r="G196" s="115">
        <f t="shared" si="5"/>
        <v>0</v>
      </c>
      <c r="H196" s="194" t="s">
        <v>103</v>
      </c>
      <c r="I196" s="194"/>
      <c r="J196" s="194"/>
      <c r="K196" s="194"/>
      <c r="L196" s="194"/>
      <c r="M196" s="194"/>
      <c r="N196" s="194"/>
      <c r="O196" s="194"/>
      <c r="P196" s="194"/>
      <c r="Q196" s="194"/>
      <c r="R196" s="194"/>
      <c r="S196" s="194"/>
    </row>
    <row r="197" spans="1:19" ht="15" customHeight="1">
      <c r="A197" s="55">
        <v>13500</v>
      </c>
      <c r="B197" s="290" t="s">
        <v>728</v>
      </c>
      <c r="C197" s="194" t="s">
        <v>115</v>
      </c>
      <c r="D197" s="194" t="s">
        <v>114</v>
      </c>
      <c r="E197" s="194"/>
      <c r="F197" s="194"/>
      <c r="G197" s="115">
        <f t="shared" si="5"/>
        <v>0</v>
      </c>
      <c r="H197" s="194" t="s">
        <v>103</v>
      </c>
      <c r="I197" s="194"/>
      <c r="J197" s="194"/>
      <c r="K197" s="194"/>
      <c r="L197" s="194"/>
      <c r="M197" s="194"/>
      <c r="N197" s="194"/>
      <c r="O197" s="194"/>
      <c r="P197" s="194"/>
      <c r="Q197" s="194"/>
      <c r="R197" s="194"/>
      <c r="S197" s="194"/>
    </row>
    <row r="198" spans="1:19" ht="15" customHeight="1">
      <c r="A198" s="55">
        <v>13600</v>
      </c>
      <c r="B198" s="290" t="s">
        <v>728</v>
      </c>
      <c r="C198" s="194" t="s">
        <v>113</v>
      </c>
      <c r="D198" s="194" t="s">
        <v>112</v>
      </c>
      <c r="E198" s="194"/>
      <c r="F198" s="194"/>
      <c r="G198" s="115">
        <f t="shared" si="5"/>
        <v>0</v>
      </c>
      <c r="H198" s="194" t="s">
        <v>103</v>
      </c>
      <c r="I198" s="194"/>
      <c r="J198" s="194"/>
      <c r="K198" s="194"/>
      <c r="L198" s="194"/>
      <c r="M198" s="194"/>
      <c r="N198" s="194"/>
      <c r="O198" s="194"/>
      <c r="P198" s="194"/>
      <c r="Q198" s="194"/>
      <c r="R198" s="194"/>
      <c r="S198" s="194"/>
    </row>
    <row r="199" spans="1:19" ht="15" customHeight="1">
      <c r="A199" s="293">
        <v>13700</v>
      </c>
      <c r="B199" s="496" t="s">
        <v>721</v>
      </c>
      <c r="C199" s="497"/>
      <c r="D199" s="497" t="s">
        <v>2699</v>
      </c>
      <c r="E199" s="497"/>
      <c r="F199" s="497"/>
      <c r="G199" s="497"/>
      <c r="H199" s="497"/>
      <c r="I199" s="363" t="s">
        <v>2701</v>
      </c>
      <c r="J199" s="498"/>
      <c r="K199" s="498"/>
      <c r="L199" s="498"/>
      <c r="M199" s="498"/>
      <c r="N199" s="498"/>
      <c r="O199" s="498"/>
      <c r="P199" s="498"/>
      <c r="Q199" s="498"/>
      <c r="R199" s="498"/>
      <c r="S199" s="498"/>
    </row>
    <row r="200" spans="1:19" ht="15" customHeight="1">
      <c r="A200" s="293">
        <v>13800</v>
      </c>
      <c r="B200" s="294" t="s">
        <v>966</v>
      </c>
      <c r="C200" s="172" t="s">
        <v>111</v>
      </c>
      <c r="D200" s="172" t="s">
        <v>110</v>
      </c>
      <c r="E200" s="172"/>
      <c r="F200" s="172"/>
      <c r="G200" s="158">
        <f>VLOOKUP(C200,Errichtungskosten,12,0)</f>
        <v>0</v>
      </c>
      <c r="H200" s="172" t="s">
        <v>103</v>
      </c>
      <c r="I200" s="158">
        <f>SUM(I14,I77,I129)</f>
        <v>0</v>
      </c>
      <c r="J200" s="172" t="s">
        <v>1311</v>
      </c>
      <c r="K200" s="158">
        <f>SUM(K14,K77,K129)</f>
        <v>0</v>
      </c>
      <c r="L200" s="172" t="s">
        <v>1311</v>
      </c>
      <c r="M200" s="158">
        <f>SUM(M14,M77,M129)</f>
        <v>0</v>
      </c>
      <c r="N200" s="172" t="s">
        <v>1311</v>
      </c>
      <c r="O200" s="158">
        <f>SUM(O14,O77,O129)</f>
        <v>0</v>
      </c>
      <c r="P200" s="172" t="s">
        <v>1313</v>
      </c>
      <c r="Q200" s="172"/>
      <c r="R200" s="171"/>
      <c r="S200" s="172"/>
    </row>
    <row r="201" spans="1:19" ht="15" customHeight="1">
      <c r="A201" s="293">
        <v>13900</v>
      </c>
      <c r="B201" s="294" t="s">
        <v>966</v>
      </c>
      <c r="C201" s="172" t="s">
        <v>109</v>
      </c>
      <c r="D201" s="172" t="s">
        <v>108</v>
      </c>
      <c r="E201" s="172"/>
      <c r="F201" s="172"/>
      <c r="G201" s="158">
        <f t="shared" si="5"/>
        <v>0</v>
      </c>
      <c r="H201" s="172" t="s">
        <v>103</v>
      </c>
      <c r="I201" s="158">
        <f>SUM(I7,I14,I77,I129,I178,I183)</f>
        <v>0</v>
      </c>
      <c r="J201" s="172" t="s">
        <v>1311</v>
      </c>
      <c r="K201" s="158">
        <f>SUM(K7,K14,K77,K129,K178,K183)</f>
        <v>0</v>
      </c>
      <c r="L201" s="172" t="s">
        <v>1311</v>
      </c>
      <c r="M201" s="158">
        <f>SUM(M7,M14,M77,M129,M178,M183)</f>
        <v>0</v>
      </c>
      <c r="N201" s="172" t="s">
        <v>1311</v>
      </c>
      <c r="O201" s="158">
        <f>SUM(O7,O14,O77,O129,O178,O183)</f>
        <v>0</v>
      </c>
      <c r="P201" s="172" t="s">
        <v>1313</v>
      </c>
      <c r="Q201" s="172"/>
      <c r="R201" s="171"/>
      <c r="S201" s="172"/>
    </row>
    <row r="202" spans="1:19" ht="15" customHeight="1">
      <c r="A202" s="293">
        <v>14000</v>
      </c>
      <c r="B202" s="294" t="s">
        <v>966</v>
      </c>
      <c r="C202" s="172" t="s">
        <v>107</v>
      </c>
      <c r="D202" s="172" t="s">
        <v>106</v>
      </c>
      <c r="E202" s="172"/>
      <c r="F202" s="172"/>
      <c r="G202" s="158">
        <f t="shared" si="5"/>
        <v>0</v>
      </c>
      <c r="H202" s="172" t="s">
        <v>103</v>
      </c>
      <c r="I202" s="158">
        <f>SUM(I7,I14,I77,I129,I178,I183,I189,I192,I195)</f>
        <v>0</v>
      </c>
      <c r="J202" s="172" t="s">
        <v>1311</v>
      </c>
      <c r="K202" s="158">
        <f>SUM(K7,K14,K77,K129,K178,K183,K189,K192,K195)</f>
        <v>0</v>
      </c>
      <c r="L202" s="172" t="s">
        <v>1311</v>
      </c>
      <c r="M202" s="158">
        <f>SUM(M7,M14,M77,M129,M178,M183,M189,M192,M195)</f>
        <v>0</v>
      </c>
      <c r="N202" s="172" t="s">
        <v>1311</v>
      </c>
      <c r="O202" s="158">
        <f>SUM(O7,O14,O77,O129,O178,O183,O189,O192,O195)</f>
        <v>0</v>
      </c>
      <c r="P202" s="172" t="s">
        <v>1313</v>
      </c>
      <c r="Q202" s="172"/>
      <c r="R202" s="171"/>
      <c r="S202" s="172"/>
    </row>
    <row r="203" spans="1:19" ht="15" customHeight="1">
      <c r="A203" s="293">
        <v>14100</v>
      </c>
      <c r="B203" s="294" t="s">
        <v>966</v>
      </c>
      <c r="C203" s="172" t="s">
        <v>105</v>
      </c>
      <c r="D203" s="172" t="s">
        <v>104</v>
      </c>
      <c r="E203" s="172"/>
      <c r="F203" s="172"/>
      <c r="G203" s="158">
        <f t="shared" si="5"/>
        <v>0</v>
      </c>
      <c r="H203" s="172" t="s">
        <v>103</v>
      </c>
      <c r="I203" s="158">
        <f>SUM(I3,I7,I14,I77,I129,I178,I183,I189,I192,I195)</f>
        <v>0</v>
      </c>
      <c r="J203" s="172" t="s">
        <v>1311</v>
      </c>
      <c r="K203" s="158">
        <f>SUM(K3,K7,K14,K77,K129,K178,K183,K189,K192,K195)</f>
        <v>0</v>
      </c>
      <c r="L203" s="172" t="s">
        <v>1311</v>
      </c>
      <c r="M203" s="158">
        <f>SUM(M3,M7,M14,M77,M129,M178,M183,M189,M192,M195)</f>
        <v>0</v>
      </c>
      <c r="N203" s="172" t="s">
        <v>1311</v>
      </c>
      <c r="O203" s="158">
        <f>SUM(O3,O7,O14,O77,O129,O178,O183,O189,O192,O195)</f>
        <v>0</v>
      </c>
      <c r="P203" s="172" t="s">
        <v>1313</v>
      </c>
      <c r="Q203" s="172"/>
      <c r="R203" s="171"/>
      <c r="S203" s="172"/>
    </row>
  </sheetData>
  <sheetProtection password="FDAF" sheet="1" objects="1" scenarios="1"/>
  <pageMargins left="0.70866141732283472" right="0.70866141732283472" top="0.78740157480314965" bottom="0.78740157480314965" header="0.31496062992125984" footer="0.31496062992125984"/>
  <pageSetup paperSize="8" fitToHeight="0" orientation="landscape" r:id="rId1"/>
  <headerFooter>
    <oddFooter>&amp;L&amp;F&amp;C&amp;A&amp;R&amp;P von &amp;N</oddFooter>
  </headerFooter>
  <rowBreaks count="1" manualBreakCount="1">
    <brk id="176" max="16383" man="1"/>
  </rowBreaks>
</worksheet>
</file>

<file path=xl/worksheets/sheet9.xml><?xml version="1.0" encoding="utf-8"?>
<worksheet xmlns="http://schemas.openxmlformats.org/spreadsheetml/2006/main" xmlns:r="http://schemas.openxmlformats.org/officeDocument/2006/relationships">
  <sheetPr codeName="Tabelle7">
    <tabColor theme="6"/>
  </sheetPr>
  <dimension ref="A1:AN246"/>
  <sheetViews>
    <sheetView zoomScaleNormal="100" zoomScaleSheetLayoutView="100" workbookViewId="0">
      <pane xSplit="6" ySplit="2" topLeftCell="G3" activePane="bottomRight" state="frozenSplit"/>
      <selection activeCell="C23" sqref="C23:M24"/>
      <selection pane="topRight" activeCell="C23" sqref="C23:M24"/>
      <selection pane="bottomLeft" activeCell="C23" sqref="C23:M24"/>
      <selection pane="bottomRight" activeCell="G4" sqref="G4"/>
    </sheetView>
  </sheetViews>
  <sheetFormatPr baseColWidth="10" defaultRowHeight="15" customHeight="1" outlineLevelRow="1"/>
  <cols>
    <col min="1" max="1" width="6.83203125" style="193" hidden="1" customWidth="1"/>
    <col min="2" max="2" width="4.83203125" style="193" hidden="1" customWidth="1"/>
    <col min="3" max="3" width="12.6640625" style="193" customWidth="1"/>
    <col min="4" max="4" width="41" style="193" customWidth="1"/>
    <col min="5" max="5" width="24.1640625" style="193" hidden="1" customWidth="1"/>
    <col min="6" max="6" width="21.5" style="193" hidden="1" customWidth="1"/>
    <col min="7" max="7" width="17.33203125" style="193" customWidth="1"/>
    <col min="8" max="8" width="16.83203125" style="193" customWidth="1"/>
    <col min="9" max="9" width="10.6640625" style="193" hidden="1" customWidth="1"/>
    <col min="10" max="10" width="16" style="193" hidden="1" customWidth="1"/>
    <col min="11" max="11" width="9.5" style="193" hidden="1" customWidth="1"/>
    <col min="12" max="12" width="13.1640625" style="193" hidden="1" customWidth="1"/>
    <col min="13" max="13" width="17.33203125" style="193" customWidth="1"/>
    <col min="14" max="14" width="5.83203125" style="193" customWidth="1"/>
    <col min="15" max="22" width="0" hidden="1" customWidth="1"/>
    <col min="23" max="23" width="7.83203125" style="193" hidden="1" customWidth="1"/>
    <col min="24" max="24" width="7.1640625" style="193" hidden="1" customWidth="1"/>
    <col min="25" max="25" width="15.83203125" style="594" customWidth="1"/>
    <col min="26" max="26" width="11" style="193" bestFit="1" customWidth="1"/>
    <col min="27" max="27" width="15.83203125" style="193" customWidth="1"/>
    <col min="28" max="28" width="11" style="193" bestFit="1" customWidth="1"/>
    <col min="29" max="29" width="15.83203125" style="193" customWidth="1"/>
    <col min="30" max="30" width="11" style="193" bestFit="1" customWidth="1"/>
    <col min="31" max="31" width="15.83203125" style="193" customWidth="1"/>
    <col min="32" max="32" width="5.83203125" style="193" customWidth="1"/>
    <col min="33" max="33" width="16.33203125" style="193" customWidth="1"/>
    <col min="34" max="34" width="10.6640625" style="193" customWidth="1"/>
    <col min="35" max="35" width="15.83203125" style="193" customWidth="1"/>
    <col min="36" max="36" width="10.5" style="193" customWidth="1"/>
    <col min="37" max="37" width="15.83203125" style="193" customWidth="1"/>
    <col min="38" max="38" width="16.33203125" style="193" customWidth="1"/>
    <col min="39" max="39" width="15.83203125" style="193" customWidth="1"/>
    <col min="40" max="40" width="12.6640625" style="193" customWidth="1"/>
    <col min="41" max="16384" width="12" style="193"/>
  </cols>
  <sheetData>
    <row r="1" spans="1:40" s="37" customFormat="1" ht="15" customHeight="1">
      <c r="A1" s="619"/>
      <c r="B1" s="619"/>
      <c r="C1" s="619"/>
      <c r="D1" s="619"/>
      <c r="E1" s="619"/>
      <c r="F1" s="348"/>
      <c r="G1" s="348" t="s">
        <v>2558</v>
      </c>
      <c r="H1" s="349"/>
      <c r="I1" s="344" t="s">
        <v>2293</v>
      </c>
      <c r="J1" s="348" t="s">
        <v>2295</v>
      </c>
      <c r="K1" s="348"/>
      <c r="L1" s="348"/>
      <c r="M1" s="348" t="s">
        <v>2292</v>
      </c>
      <c r="N1" s="350"/>
      <c r="W1" s="350"/>
      <c r="X1" s="348"/>
      <c r="Y1" s="571" t="s">
        <v>2696</v>
      </c>
      <c r="Z1" s="348"/>
      <c r="AA1" s="348" t="s">
        <v>2697</v>
      </c>
      <c r="AB1" s="348"/>
      <c r="AC1" s="348" t="s">
        <v>2698</v>
      </c>
      <c r="AD1" s="348"/>
      <c r="AE1" s="348" t="s">
        <v>1525</v>
      </c>
      <c r="AF1" s="348"/>
      <c r="AG1" s="570" t="s">
        <v>2559</v>
      </c>
      <c r="AH1" s="348"/>
      <c r="AI1" s="352" t="s">
        <v>1523</v>
      </c>
      <c r="AJ1" s="348"/>
      <c r="AK1" s="352" t="s">
        <v>2710</v>
      </c>
      <c r="AL1" s="348"/>
      <c r="AM1" s="352" t="s">
        <v>2711</v>
      </c>
      <c r="AN1" s="582"/>
    </row>
    <row r="2" spans="1:40" s="37" customFormat="1" ht="15" customHeight="1">
      <c r="A2" s="344" t="s">
        <v>1</v>
      </c>
      <c r="B2" s="344" t="s">
        <v>719</v>
      </c>
      <c r="C2" s="344" t="s">
        <v>2</v>
      </c>
      <c r="D2" s="344" t="s">
        <v>66</v>
      </c>
      <c r="E2" s="344" t="s">
        <v>89</v>
      </c>
      <c r="F2" s="344" t="s">
        <v>90</v>
      </c>
      <c r="G2" s="348" t="s">
        <v>2557</v>
      </c>
      <c r="H2" s="349"/>
      <c r="I2" s="344" t="s">
        <v>2294</v>
      </c>
      <c r="J2" s="344" t="s">
        <v>2291</v>
      </c>
      <c r="K2" s="344"/>
      <c r="L2" s="344"/>
      <c r="M2" s="559">
        <f>VLOOKUP("LEBENT",Allgemeine_Angaben,5,0)</f>
        <v>30</v>
      </c>
      <c r="N2" s="344"/>
      <c r="W2" s="353"/>
      <c r="X2" s="344"/>
      <c r="Y2" s="590">
        <f>VLOOKUP("LEBENT",Allgemeine_Angaben,5,0)</f>
        <v>30</v>
      </c>
      <c r="Z2" s="344"/>
      <c r="AA2" s="425">
        <f>VLOOKUP("LEBENT",Allgemeine_Angaben,5,0)</f>
        <v>30</v>
      </c>
      <c r="AB2" s="344"/>
      <c r="AC2" s="425">
        <f>VLOOKUP("LEBENT",Allgemeine_Angaben,5,0)</f>
        <v>30</v>
      </c>
      <c r="AD2" s="344"/>
      <c r="AE2" s="425">
        <f>VLOOKUP("LEBENT",Allgemeine_Angaben,5,0)</f>
        <v>30</v>
      </c>
      <c r="AF2" s="344"/>
      <c r="AG2" s="571" t="s">
        <v>2557</v>
      </c>
      <c r="AH2" s="344"/>
      <c r="AI2" s="348" t="s">
        <v>2377</v>
      </c>
      <c r="AJ2" s="344"/>
      <c r="AK2" s="348" t="s">
        <v>2557</v>
      </c>
      <c r="AL2" s="344"/>
      <c r="AM2" s="348" t="s">
        <v>2557</v>
      </c>
      <c r="AN2" s="582"/>
    </row>
    <row r="3" spans="1:40" s="37" customFormat="1" ht="15" hidden="1" customHeight="1">
      <c r="A3" s="293">
        <v>100</v>
      </c>
      <c r="B3" s="172" t="s">
        <v>721</v>
      </c>
      <c r="C3" s="172" t="s">
        <v>722</v>
      </c>
      <c r="D3" s="172" t="s">
        <v>723</v>
      </c>
      <c r="E3" s="172"/>
      <c r="F3" s="172"/>
      <c r="G3" s="295"/>
      <c r="H3" s="172"/>
      <c r="I3" s="172"/>
      <c r="J3" s="172"/>
      <c r="K3" s="293"/>
      <c r="L3" s="293"/>
      <c r="M3" s="295"/>
      <c r="N3" s="293"/>
      <c r="W3" s="293"/>
      <c r="X3" s="172"/>
      <c r="Y3" s="591"/>
      <c r="Z3" s="172"/>
      <c r="AA3" s="293"/>
      <c r="AB3" s="172"/>
      <c r="AC3" s="293"/>
      <c r="AD3" s="172"/>
      <c r="AE3" s="293"/>
      <c r="AF3" s="172"/>
      <c r="AG3" s="572"/>
      <c r="AH3" s="172"/>
      <c r="AI3" s="171"/>
      <c r="AJ3" s="172"/>
      <c r="AK3" s="171"/>
      <c r="AL3" s="172"/>
      <c r="AM3" s="171"/>
      <c r="AN3" s="583"/>
    </row>
    <row r="4" spans="1:40" s="37" customFormat="1" ht="15" customHeight="1">
      <c r="A4" s="293">
        <v>200</v>
      </c>
      <c r="B4" s="172" t="s">
        <v>724</v>
      </c>
      <c r="C4" s="172" t="s">
        <v>725</v>
      </c>
      <c r="D4" s="172" t="s">
        <v>726</v>
      </c>
      <c r="E4" s="172"/>
      <c r="F4" s="172"/>
      <c r="G4" s="158">
        <f t="shared" ref="G4:G35" si="0">VLOOKUP(C4,Folgekosten,5,0)</f>
        <v>0</v>
      </c>
      <c r="H4" s="172" t="s">
        <v>727</v>
      </c>
      <c r="I4" s="172"/>
      <c r="J4" s="172"/>
      <c r="K4" s="293"/>
      <c r="L4" s="293"/>
      <c r="M4" s="158">
        <f t="shared" ref="M4:M67" si="1">VLOOKUP(C4,Folgekosten,13,0)</f>
        <v>0</v>
      </c>
      <c r="N4" s="172" t="s">
        <v>103</v>
      </c>
      <c r="W4" s="293"/>
      <c r="X4" s="172"/>
      <c r="Y4" s="513">
        <f>SUM(Y5,Y7)</f>
        <v>0</v>
      </c>
      <c r="Z4" s="172" t="s">
        <v>1311</v>
      </c>
      <c r="AA4" s="171"/>
      <c r="AB4" s="172"/>
      <c r="AC4" s="158">
        <f>SUM(AC5,AC7)</f>
        <v>0</v>
      </c>
      <c r="AD4" s="172" t="s">
        <v>1311</v>
      </c>
      <c r="AE4" s="158">
        <f>SUM(AE5,AE7)</f>
        <v>0</v>
      </c>
      <c r="AF4" s="172" t="s">
        <v>1313</v>
      </c>
      <c r="AG4" s="513">
        <f>SUM(AG5,AG7)</f>
        <v>0</v>
      </c>
      <c r="AH4" s="172" t="s">
        <v>1526</v>
      </c>
      <c r="AI4" s="172"/>
      <c r="AJ4" s="172"/>
      <c r="AK4" s="158">
        <f>SUM(AK5,AK7)</f>
        <v>0</v>
      </c>
      <c r="AL4" s="172" t="s">
        <v>1526</v>
      </c>
      <c r="AM4" s="158">
        <f>SUM(AM5,AM7)</f>
        <v>0</v>
      </c>
      <c r="AN4" s="583" t="s">
        <v>1991</v>
      </c>
    </row>
    <row r="5" spans="1:40" s="37" customFormat="1" ht="15" customHeight="1">
      <c r="A5" s="55">
        <v>300</v>
      </c>
      <c r="B5" s="194" t="s">
        <v>728</v>
      </c>
      <c r="C5" s="194" t="s">
        <v>729</v>
      </c>
      <c r="D5" s="194" t="s">
        <v>730</v>
      </c>
      <c r="E5" s="194"/>
      <c r="F5" s="194"/>
      <c r="G5" s="165">
        <f t="shared" si="0"/>
        <v>0</v>
      </c>
      <c r="H5" s="194" t="s">
        <v>727</v>
      </c>
      <c r="I5" s="354" t="s">
        <v>732</v>
      </c>
      <c r="J5" s="194"/>
      <c r="K5" s="55"/>
      <c r="L5" s="55"/>
      <c r="M5" s="165">
        <f t="shared" si="1"/>
        <v>0</v>
      </c>
      <c r="N5" s="74" t="s">
        <v>103</v>
      </c>
      <c r="W5" s="69"/>
      <c r="X5" s="194"/>
      <c r="Y5" s="573">
        <f>AG5*Y2</f>
        <v>0</v>
      </c>
      <c r="Z5" s="194" t="s">
        <v>1311</v>
      </c>
      <c r="AA5" s="69"/>
      <c r="AB5" s="194"/>
      <c r="AC5" s="165">
        <f>AK5*AC2</f>
        <v>0</v>
      </c>
      <c r="AD5" s="194" t="s">
        <v>1311</v>
      </c>
      <c r="AE5" s="165">
        <f>AM5*AE2</f>
        <v>0</v>
      </c>
      <c r="AF5" s="194" t="s">
        <v>1313</v>
      </c>
      <c r="AG5" s="573">
        <f>VLOOKUP(C5,Gebäudedienste,17,0)</f>
        <v>0</v>
      </c>
      <c r="AH5" s="194" t="s">
        <v>1526</v>
      </c>
      <c r="AI5" s="69"/>
      <c r="AJ5" s="194"/>
      <c r="AK5" s="165">
        <f>VLOOKUP(C5,Gebäudedienste,17,0)</f>
        <v>0</v>
      </c>
      <c r="AL5" s="194" t="s">
        <v>1526</v>
      </c>
      <c r="AM5" s="165">
        <f>VLOOKUP(C5,Gebäudedienste,24,0)</f>
        <v>0</v>
      </c>
      <c r="AN5" s="584" t="s">
        <v>1991</v>
      </c>
    </row>
    <row r="6" spans="1:40" s="37" customFormat="1" ht="15" customHeight="1">
      <c r="A6" s="55">
        <v>400</v>
      </c>
      <c r="B6" s="194" t="s">
        <v>728</v>
      </c>
      <c r="C6" s="194" t="s">
        <v>733</v>
      </c>
      <c r="D6" s="194" t="s">
        <v>734</v>
      </c>
      <c r="E6" s="194"/>
      <c r="F6" s="104"/>
      <c r="G6" s="165">
        <f t="shared" si="0"/>
        <v>0</v>
      </c>
      <c r="H6" s="194" t="s">
        <v>727</v>
      </c>
      <c r="I6" s="354" t="s">
        <v>732</v>
      </c>
      <c r="J6" s="194"/>
      <c r="K6" s="55"/>
      <c r="L6" s="55"/>
      <c r="M6" s="165">
        <f t="shared" si="1"/>
        <v>0</v>
      </c>
      <c r="N6" s="74" t="s">
        <v>103</v>
      </c>
      <c r="W6" s="69"/>
      <c r="X6" s="194"/>
      <c r="Y6" s="532"/>
      <c r="Z6" s="194"/>
      <c r="AA6" s="194"/>
      <c r="AB6" s="194"/>
      <c r="AC6" s="194"/>
      <c r="AD6" s="194"/>
      <c r="AE6" s="194"/>
      <c r="AF6" s="194"/>
      <c r="AG6" s="532"/>
      <c r="AH6" s="194"/>
      <c r="AI6" s="194"/>
      <c r="AJ6" s="194"/>
      <c r="AK6" s="194"/>
      <c r="AL6" s="194"/>
      <c r="AM6" s="194"/>
      <c r="AN6" s="584"/>
    </row>
    <row r="7" spans="1:40" s="37" customFormat="1" ht="15" customHeight="1">
      <c r="A7" s="55">
        <v>500</v>
      </c>
      <c r="B7" s="194" t="s">
        <v>728</v>
      </c>
      <c r="C7" s="194" t="s">
        <v>735</v>
      </c>
      <c r="D7" s="194" t="s">
        <v>736</v>
      </c>
      <c r="E7" s="194"/>
      <c r="F7" s="194"/>
      <c r="G7" s="165">
        <f t="shared" si="0"/>
        <v>0</v>
      </c>
      <c r="H7" s="194" t="s">
        <v>727</v>
      </c>
      <c r="I7" s="354" t="s">
        <v>732</v>
      </c>
      <c r="J7" s="194"/>
      <c r="K7" s="55"/>
      <c r="L7" s="55"/>
      <c r="M7" s="165">
        <f t="shared" si="1"/>
        <v>0</v>
      </c>
      <c r="N7" s="74" t="s">
        <v>103</v>
      </c>
      <c r="W7" s="69"/>
      <c r="X7" s="194"/>
      <c r="Y7" s="573">
        <f>AG7*$Y$2</f>
        <v>0</v>
      </c>
      <c r="Z7" s="194" t="s">
        <v>1311</v>
      </c>
      <c r="AA7" s="69"/>
      <c r="AB7" s="194"/>
      <c r="AC7" s="165">
        <f>AK7*$AC$2</f>
        <v>0</v>
      </c>
      <c r="AD7" s="194" t="s">
        <v>1311</v>
      </c>
      <c r="AE7" s="165">
        <f>AM7*$AE$2</f>
        <v>0</v>
      </c>
      <c r="AF7" s="194" t="s">
        <v>1313</v>
      </c>
      <c r="AG7" s="573">
        <f>VLOOKUP(C7,Gebäudedienste,17,0)</f>
        <v>0</v>
      </c>
      <c r="AH7" s="194" t="s">
        <v>1526</v>
      </c>
      <c r="AI7" s="69"/>
      <c r="AJ7" s="194"/>
      <c r="AK7" s="165">
        <f>VLOOKUP(C7,Gebäudedienste,17,0)</f>
        <v>0</v>
      </c>
      <c r="AL7" s="194" t="s">
        <v>1526</v>
      </c>
      <c r="AM7" s="165">
        <f>VLOOKUP(C7,Gebäudedienste,24,0)</f>
        <v>0</v>
      </c>
      <c r="AN7" s="584" t="s">
        <v>1991</v>
      </c>
    </row>
    <row r="8" spans="1:40" s="37" customFormat="1" ht="15" customHeight="1">
      <c r="A8" s="55">
        <v>600</v>
      </c>
      <c r="B8" s="194" t="s">
        <v>728</v>
      </c>
      <c r="C8" s="194" t="s">
        <v>737</v>
      </c>
      <c r="D8" s="194" t="s">
        <v>198</v>
      </c>
      <c r="E8" s="194"/>
      <c r="F8" s="194"/>
      <c r="G8" s="165">
        <f t="shared" si="0"/>
        <v>0</v>
      </c>
      <c r="H8" s="194" t="s">
        <v>727</v>
      </c>
      <c r="I8" s="354" t="s">
        <v>732</v>
      </c>
      <c r="J8" s="194"/>
      <c r="K8" s="55"/>
      <c r="L8" s="55"/>
      <c r="M8" s="165">
        <f t="shared" si="1"/>
        <v>0</v>
      </c>
      <c r="N8" s="74" t="s">
        <v>103</v>
      </c>
      <c r="W8" s="69"/>
      <c r="X8" s="194"/>
      <c r="Y8" s="522"/>
      <c r="Z8" s="194"/>
      <c r="AA8" s="67"/>
      <c r="AB8" s="194"/>
      <c r="AC8" s="67"/>
      <c r="AD8" s="194"/>
      <c r="AE8" s="67"/>
      <c r="AF8" s="194"/>
      <c r="AG8" s="532"/>
      <c r="AH8" s="194"/>
      <c r="AI8" s="194"/>
      <c r="AJ8" s="194"/>
      <c r="AK8" s="194"/>
      <c r="AL8" s="194"/>
      <c r="AM8" s="194"/>
      <c r="AN8" s="584"/>
    </row>
    <row r="9" spans="1:40" s="37" customFormat="1" ht="15" customHeight="1">
      <c r="A9" s="293">
        <v>800</v>
      </c>
      <c r="B9" s="172" t="s">
        <v>724</v>
      </c>
      <c r="C9" s="172" t="s">
        <v>738</v>
      </c>
      <c r="D9" s="172" t="s">
        <v>365</v>
      </c>
      <c r="E9" s="172"/>
      <c r="F9" s="172"/>
      <c r="G9" s="158">
        <f t="shared" si="0"/>
        <v>0</v>
      </c>
      <c r="H9" s="172" t="s">
        <v>727</v>
      </c>
      <c r="I9" s="172"/>
      <c r="J9" s="172"/>
      <c r="K9" s="293"/>
      <c r="L9" s="293"/>
      <c r="M9" s="158">
        <f t="shared" si="1"/>
        <v>0</v>
      </c>
      <c r="N9" s="295" t="s">
        <v>103</v>
      </c>
      <c r="W9" s="171"/>
      <c r="X9" s="172"/>
      <c r="Y9" s="513">
        <f>SUM(Y10:Y12,Y28)</f>
        <v>0</v>
      </c>
      <c r="Z9" s="172" t="s">
        <v>1311</v>
      </c>
      <c r="AA9" s="171"/>
      <c r="AB9" s="172"/>
      <c r="AC9" s="158">
        <f>SUM(AC10:AC12,AC28)</f>
        <v>0</v>
      </c>
      <c r="AD9" s="172" t="s">
        <v>1311</v>
      </c>
      <c r="AE9" s="158">
        <f>SUM(AE10:AE12,AE28)</f>
        <v>0</v>
      </c>
      <c r="AF9" s="172" t="s">
        <v>1313</v>
      </c>
      <c r="AG9" s="513">
        <f>SUM(AG10:AG12,AG28)</f>
        <v>0</v>
      </c>
      <c r="AH9" s="172" t="s">
        <v>1526</v>
      </c>
      <c r="AI9" s="172"/>
      <c r="AJ9" s="172"/>
      <c r="AK9" s="158">
        <f>SUM(AK10:AK12,AK28)</f>
        <v>0</v>
      </c>
      <c r="AL9" s="172" t="s">
        <v>1526</v>
      </c>
      <c r="AM9" s="158">
        <f>SUM(AM10:AM12,AM28)</f>
        <v>0</v>
      </c>
      <c r="AN9" s="583" t="s">
        <v>1991</v>
      </c>
    </row>
    <row r="10" spans="1:40" s="37" customFormat="1" ht="15" customHeight="1">
      <c r="A10" s="55">
        <v>900</v>
      </c>
      <c r="B10" s="194" t="s">
        <v>728</v>
      </c>
      <c r="C10" s="194" t="s">
        <v>739</v>
      </c>
      <c r="D10" s="194" t="s">
        <v>367</v>
      </c>
      <c r="E10" s="194"/>
      <c r="F10" s="194"/>
      <c r="G10" s="165">
        <f t="shared" si="0"/>
        <v>0</v>
      </c>
      <c r="H10" s="194" t="s">
        <v>727</v>
      </c>
      <c r="I10" s="354">
        <v>1</v>
      </c>
      <c r="J10" s="194"/>
      <c r="K10" s="55"/>
      <c r="L10" s="55"/>
      <c r="M10" s="165">
        <f t="shared" si="1"/>
        <v>0</v>
      </c>
      <c r="N10" s="74" t="s">
        <v>103</v>
      </c>
      <c r="W10" s="69"/>
      <c r="X10" s="194"/>
      <c r="Y10" s="573">
        <f>AG10*$Y$2</f>
        <v>0</v>
      </c>
      <c r="Z10" s="194" t="s">
        <v>1311</v>
      </c>
      <c r="AA10" s="69"/>
      <c r="AB10" s="194"/>
      <c r="AC10" s="165">
        <f>AK10*$AC$2</f>
        <v>0</v>
      </c>
      <c r="AD10" s="194" t="s">
        <v>1311</v>
      </c>
      <c r="AE10" s="165">
        <f>AM10*$AE$2</f>
        <v>0</v>
      </c>
      <c r="AF10" s="194" t="s">
        <v>1313</v>
      </c>
      <c r="AG10" s="573">
        <f>VLOOKUP(C10,Gebäudedienste,17,0)</f>
        <v>0</v>
      </c>
      <c r="AH10" s="194" t="s">
        <v>1526</v>
      </c>
      <c r="AI10" s="69"/>
      <c r="AJ10" s="194"/>
      <c r="AK10" s="165">
        <f>VLOOKUP(C10,Gebäudedienste,17,0)</f>
        <v>0</v>
      </c>
      <c r="AL10" s="194" t="s">
        <v>1526</v>
      </c>
      <c r="AM10" s="165">
        <f>VLOOKUP(C10,Gebäudedienste,24,0)</f>
        <v>0</v>
      </c>
      <c r="AN10" s="584" t="s">
        <v>1991</v>
      </c>
    </row>
    <row r="11" spans="1:40" s="37" customFormat="1" ht="15" customHeight="1">
      <c r="A11" s="55">
        <v>1000</v>
      </c>
      <c r="B11" s="194" t="s">
        <v>728</v>
      </c>
      <c r="C11" s="194" t="s">
        <v>741</v>
      </c>
      <c r="D11" s="194" t="s">
        <v>742</v>
      </c>
      <c r="E11" s="194"/>
      <c r="F11" s="194"/>
      <c r="G11" s="165">
        <f t="shared" si="0"/>
        <v>0</v>
      </c>
      <c r="H11" s="194" t="s">
        <v>727</v>
      </c>
      <c r="I11" s="354" t="s">
        <v>732</v>
      </c>
      <c r="J11" s="194"/>
      <c r="K11" s="55"/>
      <c r="L11" s="55"/>
      <c r="M11" s="165">
        <f t="shared" si="1"/>
        <v>0</v>
      </c>
      <c r="N11" s="74" t="s">
        <v>103</v>
      </c>
      <c r="W11" s="69"/>
      <c r="X11" s="194"/>
      <c r="Y11" s="573">
        <f>AG11*$Y$2</f>
        <v>0</v>
      </c>
      <c r="Z11" s="194" t="s">
        <v>1311</v>
      </c>
      <c r="AA11" s="69"/>
      <c r="AB11" s="194"/>
      <c r="AC11" s="165">
        <f>AK11*$AC$2</f>
        <v>0</v>
      </c>
      <c r="AD11" s="194" t="s">
        <v>1311</v>
      </c>
      <c r="AE11" s="165">
        <f>AM11*$AE$2</f>
        <v>0</v>
      </c>
      <c r="AF11" s="194" t="s">
        <v>1313</v>
      </c>
      <c r="AG11" s="573">
        <f>VLOOKUP(C11,Gebäudedienste,17,0)</f>
        <v>0</v>
      </c>
      <c r="AH11" s="194" t="s">
        <v>1526</v>
      </c>
      <c r="AI11" s="69"/>
      <c r="AJ11" s="194"/>
      <c r="AK11" s="165">
        <f>VLOOKUP(C11,Gebäudedienste,17,0)</f>
        <v>0</v>
      </c>
      <c r="AL11" s="194" t="s">
        <v>1526</v>
      </c>
      <c r="AM11" s="165">
        <f>VLOOKUP(C11,Gebäudedienste,24,0)</f>
        <v>0</v>
      </c>
      <c r="AN11" s="584" t="s">
        <v>1991</v>
      </c>
    </row>
    <row r="12" spans="1:40" s="37" customFormat="1" ht="15" customHeight="1">
      <c r="A12" s="293">
        <v>1200</v>
      </c>
      <c r="B12" s="172" t="s">
        <v>743</v>
      </c>
      <c r="C12" s="172" t="s">
        <v>744</v>
      </c>
      <c r="D12" s="172" t="s">
        <v>745</v>
      </c>
      <c r="E12" s="172"/>
      <c r="F12" s="172"/>
      <c r="G12" s="158">
        <f t="shared" si="0"/>
        <v>0</v>
      </c>
      <c r="H12" s="172" t="s">
        <v>727</v>
      </c>
      <c r="I12" s="172"/>
      <c r="J12" s="172"/>
      <c r="K12" s="293"/>
      <c r="L12" s="293"/>
      <c r="M12" s="158">
        <f t="shared" si="1"/>
        <v>0</v>
      </c>
      <c r="N12" s="295" t="s">
        <v>103</v>
      </c>
      <c r="W12" s="171"/>
      <c r="X12" s="172"/>
      <c r="Y12" s="574">
        <f>AG12*$Y$2</f>
        <v>0</v>
      </c>
      <c r="Z12" s="172" t="s">
        <v>1311</v>
      </c>
      <c r="AA12" s="171"/>
      <c r="AB12" s="172"/>
      <c r="AC12" s="355">
        <f>AK12*$AC$2</f>
        <v>0</v>
      </c>
      <c r="AD12" s="172" t="s">
        <v>1311</v>
      </c>
      <c r="AE12" s="355">
        <f>AM12*$AE$2</f>
        <v>0</v>
      </c>
      <c r="AF12" s="172" t="s">
        <v>1313</v>
      </c>
      <c r="AG12" s="574">
        <f>VLOOKUP(C12,Gebäudedienste,17,0)</f>
        <v>0</v>
      </c>
      <c r="AH12" s="172" t="s">
        <v>1526</v>
      </c>
      <c r="AI12" s="356"/>
      <c r="AJ12" s="172"/>
      <c r="AK12" s="355">
        <f>VLOOKUP(C12,Gebäudedienste,17,0)</f>
        <v>0</v>
      </c>
      <c r="AL12" s="172" t="s">
        <v>1526</v>
      </c>
      <c r="AM12" s="355">
        <f>VLOOKUP(C12,Gebäudedienste,24,0)</f>
        <v>0</v>
      </c>
      <c r="AN12" s="583" t="s">
        <v>1991</v>
      </c>
    </row>
    <row r="13" spans="1:40" s="37" customFormat="1" ht="15" customHeight="1">
      <c r="A13" s="55">
        <v>1300</v>
      </c>
      <c r="B13" s="194" t="s">
        <v>728</v>
      </c>
      <c r="C13" s="194" t="s">
        <v>746</v>
      </c>
      <c r="D13" s="194" t="s">
        <v>287</v>
      </c>
      <c r="E13" s="194"/>
      <c r="F13" s="194"/>
      <c r="G13" s="165">
        <f t="shared" si="0"/>
        <v>0</v>
      </c>
      <c r="H13" s="194" t="s">
        <v>727</v>
      </c>
      <c r="I13" s="354" t="s">
        <v>732</v>
      </c>
      <c r="J13" s="194"/>
      <c r="K13" s="55"/>
      <c r="L13" s="55"/>
      <c r="M13" s="165">
        <f t="shared" si="1"/>
        <v>0</v>
      </c>
      <c r="N13" s="74" t="s">
        <v>103</v>
      </c>
      <c r="W13" s="69"/>
      <c r="X13" s="194"/>
      <c r="Y13" s="522"/>
      <c r="Z13" s="194"/>
      <c r="AA13" s="67"/>
      <c r="AB13" s="194"/>
      <c r="AC13" s="67"/>
      <c r="AD13" s="194"/>
      <c r="AE13" s="67"/>
      <c r="AF13" s="194"/>
      <c r="AG13" s="532"/>
      <c r="AH13" s="194"/>
      <c r="AI13" s="194"/>
      <c r="AJ13" s="194"/>
      <c r="AK13" s="194"/>
      <c r="AL13" s="194"/>
      <c r="AM13" s="194"/>
      <c r="AN13" s="584"/>
    </row>
    <row r="14" spans="1:40" s="37" customFormat="1" ht="15" customHeight="1">
      <c r="A14" s="55">
        <v>1400</v>
      </c>
      <c r="B14" s="194" t="s">
        <v>728</v>
      </c>
      <c r="C14" s="194" t="s">
        <v>747</v>
      </c>
      <c r="D14" s="194" t="s">
        <v>285</v>
      </c>
      <c r="E14" s="194"/>
      <c r="F14" s="194"/>
      <c r="G14" s="165">
        <f t="shared" si="0"/>
        <v>0</v>
      </c>
      <c r="H14" s="194" t="s">
        <v>727</v>
      </c>
      <c r="I14" s="354" t="s">
        <v>732</v>
      </c>
      <c r="J14" s="194"/>
      <c r="K14" s="55"/>
      <c r="L14" s="55"/>
      <c r="M14" s="165">
        <f t="shared" si="1"/>
        <v>0</v>
      </c>
      <c r="N14" s="74" t="s">
        <v>103</v>
      </c>
      <c r="W14" s="69"/>
      <c r="X14" s="194"/>
      <c r="Y14" s="522"/>
      <c r="Z14" s="194"/>
      <c r="AA14" s="67"/>
      <c r="AB14" s="194"/>
      <c r="AC14" s="67"/>
      <c r="AD14" s="194"/>
      <c r="AE14" s="67"/>
      <c r="AF14" s="194"/>
      <c r="AG14" s="532"/>
      <c r="AH14" s="194"/>
      <c r="AI14" s="194"/>
      <c r="AJ14" s="194"/>
      <c r="AK14" s="194"/>
      <c r="AL14" s="194"/>
      <c r="AM14" s="194"/>
      <c r="AN14" s="584"/>
    </row>
    <row r="15" spans="1:40" s="37" customFormat="1" ht="15" customHeight="1">
      <c r="A15" s="55">
        <v>1500</v>
      </c>
      <c r="B15" s="194" t="s">
        <v>728</v>
      </c>
      <c r="C15" s="194" t="s">
        <v>748</v>
      </c>
      <c r="D15" s="194" t="s">
        <v>274</v>
      </c>
      <c r="E15" s="194"/>
      <c r="F15" s="194"/>
      <c r="G15" s="165">
        <f t="shared" si="0"/>
        <v>0</v>
      </c>
      <c r="H15" s="194" t="s">
        <v>727</v>
      </c>
      <c r="I15" s="354" t="s">
        <v>732</v>
      </c>
      <c r="J15" s="194"/>
      <c r="K15" s="55"/>
      <c r="L15" s="55"/>
      <c r="M15" s="165">
        <f t="shared" si="1"/>
        <v>0</v>
      </c>
      <c r="N15" s="74" t="s">
        <v>103</v>
      </c>
      <c r="W15" s="69"/>
      <c r="X15" s="194"/>
      <c r="Y15" s="522"/>
      <c r="Z15" s="194"/>
      <c r="AA15" s="67"/>
      <c r="AB15" s="194"/>
      <c r="AC15" s="67"/>
      <c r="AD15" s="194"/>
      <c r="AE15" s="67"/>
      <c r="AF15" s="194"/>
      <c r="AG15" s="532"/>
      <c r="AH15" s="194"/>
      <c r="AI15" s="194"/>
      <c r="AJ15" s="194"/>
      <c r="AK15" s="194"/>
      <c r="AL15" s="194"/>
      <c r="AM15" s="194"/>
      <c r="AN15" s="584"/>
    </row>
    <row r="16" spans="1:40" s="37" customFormat="1" ht="15" customHeight="1">
      <c r="A16" s="55">
        <v>1600</v>
      </c>
      <c r="B16" s="194" t="s">
        <v>728</v>
      </c>
      <c r="C16" s="194" t="s">
        <v>749</v>
      </c>
      <c r="D16" s="194" t="s">
        <v>259</v>
      </c>
      <c r="E16" s="194"/>
      <c r="F16" s="194"/>
      <c r="G16" s="165">
        <f t="shared" si="0"/>
        <v>0</v>
      </c>
      <c r="H16" s="194" t="s">
        <v>727</v>
      </c>
      <c r="I16" s="354" t="s">
        <v>732</v>
      </c>
      <c r="J16" s="194"/>
      <c r="K16" s="55"/>
      <c r="L16" s="55"/>
      <c r="M16" s="165">
        <f t="shared" si="1"/>
        <v>0</v>
      </c>
      <c r="N16" s="74" t="s">
        <v>103</v>
      </c>
      <c r="W16" s="69"/>
      <c r="X16" s="194"/>
      <c r="Y16" s="522"/>
      <c r="Z16" s="194"/>
      <c r="AA16" s="67"/>
      <c r="AB16" s="194"/>
      <c r="AC16" s="67"/>
      <c r="AD16" s="194"/>
      <c r="AE16" s="67"/>
      <c r="AF16" s="194"/>
      <c r="AG16" s="532"/>
      <c r="AH16" s="194"/>
      <c r="AI16" s="194"/>
      <c r="AJ16" s="194"/>
      <c r="AK16" s="194"/>
      <c r="AL16" s="194"/>
      <c r="AM16" s="194"/>
      <c r="AN16" s="584"/>
    </row>
    <row r="17" spans="1:40" s="37" customFormat="1" ht="15" customHeight="1">
      <c r="A17" s="55">
        <v>1700</v>
      </c>
      <c r="B17" s="194" t="s">
        <v>728</v>
      </c>
      <c r="C17" s="194" t="s">
        <v>750</v>
      </c>
      <c r="D17" s="194" t="s">
        <v>246</v>
      </c>
      <c r="E17" s="194"/>
      <c r="F17" s="194"/>
      <c r="G17" s="165">
        <f t="shared" si="0"/>
        <v>0</v>
      </c>
      <c r="H17" s="194" t="s">
        <v>727</v>
      </c>
      <c r="I17" s="354" t="s">
        <v>732</v>
      </c>
      <c r="J17" s="194"/>
      <c r="K17" s="55"/>
      <c r="L17" s="55"/>
      <c r="M17" s="165">
        <f t="shared" si="1"/>
        <v>0</v>
      </c>
      <c r="N17" s="74" t="s">
        <v>103</v>
      </c>
      <c r="W17" s="69"/>
      <c r="X17" s="194"/>
      <c r="Y17" s="522"/>
      <c r="Z17" s="194"/>
      <c r="AA17" s="67"/>
      <c r="AB17" s="194"/>
      <c r="AC17" s="67"/>
      <c r="AD17" s="194"/>
      <c r="AE17" s="67"/>
      <c r="AF17" s="194"/>
      <c r="AG17" s="532"/>
      <c r="AH17" s="194"/>
      <c r="AI17" s="194"/>
      <c r="AJ17" s="194"/>
      <c r="AK17" s="194"/>
      <c r="AL17" s="194"/>
      <c r="AM17" s="194"/>
      <c r="AN17" s="584"/>
    </row>
    <row r="18" spans="1:40" s="37" customFormat="1" ht="15" customHeight="1">
      <c r="A18" s="55">
        <v>1800</v>
      </c>
      <c r="B18" s="194" t="s">
        <v>728</v>
      </c>
      <c r="C18" s="194" t="s">
        <v>751</v>
      </c>
      <c r="D18" s="194" t="s">
        <v>229</v>
      </c>
      <c r="E18" s="194"/>
      <c r="F18" s="194"/>
      <c r="G18" s="165">
        <f t="shared" si="0"/>
        <v>0</v>
      </c>
      <c r="H18" s="194" t="s">
        <v>727</v>
      </c>
      <c r="I18" s="354" t="s">
        <v>732</v>
      </c>
      <c r="J18" s="194"/>
      <c r="K18" s="55"/>
      <c r="L18" s="55"/>
      <c r="M18" s="165">
        <f t="shared" si="1"/>
        <v>0</v>
      </c>
      <c r="N18" s="74" t="s">
        <v>103</v>
      </c>
      <c r="W18" s="69"/>
      <c r="X18" s="194"/>
      <c r="Y18" s="522"/>
      <c r="Z18" s="194"/>
      <c r="AA18" s="67"/>
      <c r="AB18" s="194"/>
      <c r="AC18" s="67"/>
      <c r="AD18" s="194"/>
      <c r="AE18" s="67"/>
      <c r="AF18" s="194"/>
      <c r="AG18" s="532"/>
      <c r="AH18" s="194"/>
      <c r="AI18" s="194"/>
      <c r="AJ18" s="194"/>
      <c r="AK18" s="194"/>
      <c r="AL18" s="194"/>
      <c r="AM18" s="194"/>
      <c r="AN18" s="584"/>
    </row>
    <row r="19" spans="1:40" s="37" customFormat="1" ht="15" customHeight="1">
      <c r="A19" s="55">
        <v>1900</v>
      </c>
      <c r="B19" s="194" t="s">
        <v>728</v>
      </c>
      <c r="C19" s="194" t="s">
        <v>752</v>
      </c>
      <c r="D19" s="194" t="s">
        <v>210</v>
      </c>
      <c r="E19" s="194"/>
      <c r="F19" s="194"/>
      <c r="G19" s="165">
        <f t="shared" si="0"/>
        <v>0</v>
      </c>
      <c r="H19" s="194" t="s">
        <v>727</v>
      </c>
      <c r="I19" s="354" t="s">
        <v>732</v>
      </c>
      <c r="J19" s="194"/>
      <c r="K19" s="55"/>
      <c r="L19" s="55"/>
      <c r="M19" s="165">
        <f t="shared" si="1"/>
        <v>0</v>
      </c>
      <c r="N19" s="74" t="s">
        <v>103</v>
      </c>
      <c r="W19" s="69"/>
      <c r="X19" s="194"/>
      <c r="Y19" s="522"/>
      <c r="Z19" s="194"/>
      <c r="AA19" s="67"/>
      <c r="AB19" s="194"/>
      <c r="AC19" s="67"/>
      <c r="AD19" s="194"/>
      <c r="AE19" s="67"/>
      <c r="AF19" s="194"/>
      <c r="AG19" s="532"/>
      <c r="AH19" s="194"/>
      <c r="AI19" s="194"/>
      <c r="AJ19" s="194"/>
      <c r="AK19" s="194"/>
      <c r="AL19" s="194"/>
      <c r="AM19" s="194"/>
      <c r="AN19" s="584"/>
    </row>
    <row r="20" spans="1:40" s="37" customFormat="1" ht="15" customHeight="1">
      <c r="A20" s="55">
        <v>2000</v>
      </c>
      <c r="B20" s="194" t="s">
        <v>728</v>
      </c>
      <c r="C20" s="194" t="s">
        <v>753</v>
      </c>
      <c r="D20" s="194" t="s">
        <v>204</v>
      </c>
      <c r="E20" s="194"/>
      <c r="F20" s="194"/>
      <c r="G20" s="165">
        <f t="shared" si="0"/>
        <v>0</v>
      </c>
      <c r="H20" s="194" t="s">
        <v>727</v>
      </c>
      <c r="I20" s="354" t="s">
        <v>732</v>
      </c>
      <c r="J20" s="194"/>
      <c r="K20" s="55"/>
      <c r="L20" s="55"/>
      <c r="M20" s="165">
        <f t="shared" si="1"/>
        <v>0</v>
      </c>
      <c r="N20" s="74" t="s">
        <v>103</v>
      </c>
      <c r="W20" s="69"/>
      <c r="X20" s="194"/>
      <c r="Y20" s="522"/>
      <c r="Z20" s="194"/>
      <c r="AA20" s="67"/>
      <c r="AB20" s="194"/>
      <c r="AC20" s="67"/>
      <c r="AD20" s="194"/>
      <c r="AE20" s="67"/>
      <c r="AF20" s="194"/>
      <c r="AG20" s="532"/>
      <c r="AH20" s="194"/>
      <c r="AI20" s="194"/>
      <c r="AJ20" s="194"/>
      <c r="AK20" s="194"/>
      <c r="AL20" s="194"/>
      <c r="AM20" s="194"/>
      <c r="AN20" s="584"/>
    </row>
    <row r="21" spans="1:40" s="37" customFormat="1" ht="15" customHeight="1">
      <c r="A21" s="55">
        <v>2100</v>
      </c>
      <c r="B21" s="194" t="s">
        <v>728</v>
      </c>
      <c r="C21" s="194" t="s">
        <v>754</v>
      </c>
      <c r="D21" s="194" t="s">
        <v>190</v>
      </c>
      <c r="E21" s="194"/>
      <c r="F21" s="194"/>
      <c r="G21" s="165">
        <f t="shared" si="0"/>
        <v>0</v>
      </c>
      <c r="H21" s="194" t="s">
        <v>727</v>
      </c>
      <c r="I21" s="354" t="s">
        <v>732</v>
      </c>
      <c r="J21" s="194"/>
      <c r="K21" s="55"/>
      <c r="L21" s="55"/>
      <c r="M21" s="165">
        <f t="shared" si="1"/>
        <v>0</v>
      </c>
      <c r="N21" s="74" t="s">
        <v>103</v>
      </c>
      <c r="W21" s="69"/>
      <c r="X21" s="194"/>
      <c r="Y21" s="522"/>
      <c r="Z21" s="194"/>
      <c r="AA21" s="67"/>
      <c r="AB21" s="194"/>
      <c r="AC21" s="67"/>
      <c r="AD21" s="194"/>
      <c r="AE21" s="67"/>
      <c r="AF21" s="194"/>
      <c r="AG21" s="532"/>
      <c r="AH21" s="194"/>
      <c r="AI21" s="194"/>
      <c r="AJ21" s="194"/>
      <c r="AK21" s="194"/>
      <c r="AL21" s="194"/>
      <c r="AM21" s="194"/>
      <c r="AN21" s="584"/>
    </row>
    <row r="22" spans="1:40" s="37" customFormat="1" ht="15" customHeight="1">
      <c r="A22" s="55">
        <v>2200</v>
      </c>
      <c r="B22" s="194" t="s">
        <v>728</v>
      </c>
      <c r="C22" s="194" t="s">
        <v>755</v>
      </c>
      <c r="D22" s="194" t="s">
        <v>177</v>
      </c>
      <c r="E22" s="194"/>
      <c r="F22" s="194"/>
      <c r="G22" s="165">
        <f t="shared" si="0"/>
        <v>0</v>
      </c>
      <c r="H22" s="194" t="s">
        <v>727</v>
      </c>
      <c r="I22" s="354" t="s">
        <v>732</v>
      </c>
      <c r="J22" s="194"/>
      <c r="K22" s="55"/>
      <c r="L22" s="55"/>
      <c r="M22" s="165">
        <f t="shared" si="1"/>
        <v>0</v>
      </c>
      <c r="N22" s="74" t="s">
        <v>103</v>
      </c>
      <c r="W22" s="69"/>
      <c r="X22" s="194"/>
      <c r="Y22" s="522"/>
      <c r="Z22" s="194"/>
      <c r="AA22" s="67"/>
      <c r="AB22" s="194"/>
      <c r="AC22" s="67"/>
      <c r="AD22" s="194"/>
      <c r="AE22" s="67"/>
      <c r="AF22" s="194"/>
      <c r="AG22" s="532"/>
      <c r="AH22" s="194"/>
      <c r="AI22" s="194"/>
      <c r="AJ22" s="194"/>
      <c r="AK22" s="194"/>
      <c r="AL22" s="194"/>
      <c r="AM22" s="194"/>
      <c r="AN22" s="584"/>
    </row>
    <row r="23" spans="1:40" s="37" customFormat="1" ht="15" customHeight="1">
      <c r="A23" s="55">
        <v>2300</v>
      </c>
      <c r="B23" s="194" t="s">
        <v>728</v>
      </c>
      <c r="C23" s="194" t="s">
        <v>756</v>
      </c>
      <c r="D23" s="194" t="s">
        <v>166</v>
      </c>
      <c r="E23" s="194"/>
      <c r="F23" s="194"/>
      <c r="G23" s="165">
        <f t="shared" si="0"/>
        <v>0</v>
      </c>
      <c r="H23" s="194" t="s">
        <v>727</v>
      </c>
      <c r="I23" s="354" t="s">
        <v>732</v>
      </c>
      <c r="J23" s="194"/>
      <c r="K23" s="55"/>
      <c r="L23" s="55"/>
      <c r="M23" s="165">
        <f t="shared" si="1"/>
        <v>0</v>
      </c>
      <c r="N23" s="74" t="s">
        <v>103</v>
      </c>
      <c r="W23" s="69"/>
      <c r="X23" s="194"/>
      <c r="Y23" s="522"/>
      <c r="Z23" s="194"/>
      <c r="AA23" s="67"/>
      <c r="AB23" s="194"/>
      <c r="AC23" s="67"/>
      <c r="AD23" s="194"/>
      <c r="AE23" s="67"/>
      <c r="AF23" s="194"/>
      <c r="AG23" s="532"/>
      <c r="AH23" s="194"/>
      <c r="AI23" s="194"/>
      <c r="AJ23" s="194"/>
      <c r="AK23" s="194"/>
      <c r="AL23" s="194"/>
      <c r="AM23" s="194"/>
      <c r="AN23" s="584"/>
    </row>
    <row r="24" spans="1:40" s="37" customFormat="1" ht="15" customHeight="1">
      <c r="A24" s="55">
        <v>2400</v>
      </c>
      <c r="B24" s="194" t="s">
        <v>728</v>
      </c>
      <c r="C24" s="194" t="s">
        <v>757</v>
      </c>
      <c r="D24" s="194" t="s">
        <v>147</v>
      </c>
      <c r="E24" s="194"/>
      <c r="F24" s="194"/>
      <c r="G24" s="165">
        <f t="shared" si="0"/>
        <v>0</v>
      </c>
      <c r="H24" s="194" t="s">
        <v>727</v>
      </c>
      <c r="I24" s="354" t="s">
        <v>732</v>
      </c>
      <c r="J24" s="194"/>
      <c r="K24" s="55"/>
      <c r="L24" s="55"/>
      <c r="M24" s="165">
        <f t="shared" si="1"/>
        <v>0</v>
      </c>
      <c r="N24" s="74" t="s">
        <v>103</v>
      </c>
      <c r="W24" s="69"/>
      <c r="X24" s="194"/>
      <c r="Y24" s="522"/>
      <c r="Z24" s="194"/>
      <c r="AA24" s="67"/>
      <c r="AB24" s="194"/>
      <c r="AC24" s="67"/>
      <c r="AD24" s="194"/>
      <c r="AE24" s="67"/>
      <c r="AF24" s="194"/>
      <c r="AG24" s="532"/>
      <c r="AH24" s="194"/>
      <c r="AI24" s="194"/>
      <c r="AJ24" s="194"/>
      <c r="AK24" s="194"/>
      <c r="AL24" s="194"/>
      <c r="AM24" s="194"/>
      <c r="AN24" s="584"/>
    </row>
    <row r="25" spans="1:40" s="37" customFormat="1" ht="15" customHeight="1">
      <c r="A25" s="55">
        <v>2500</v>
      </c>
      <c r="B25" s="194" t="s">
        <v>728</v>
      </c>
      <c r="C25" s="194" t="s">
        <v>758</v>
      </c>
      <c r="D25" s="194" t="s">
        <v>145</v>
      </c>
      <c r="E25" s="194"/>
      <c r="F25" s="194"/>
      <c r="G25" s="165">
        <f t="shared" si="0"/>
        <v>0</v>
      </c>
      <c r="H25" s="194" t="s">
        <v>727</v>
      </c>
      <c r="I25" s="354" t="s">
        <v>732</v>
      </c>
      <c r="J25" s="194"/>
      <c r="K25" s="55"/>
      <c r="L25" s="55"/>
      <c r="M25" s="165">
        <f t="shared" si="1"/>
        <v>0</v>
      </c>
      <c r="N25" s="74" t="s">
        <v>103</v>
      </c>
      <c r="W25" s="69"/>
      <c r="X25" s="194"/>
      <c r="Y25" s="522"/>
      <c r="Z25" s="194"/>
      <c r="AA25" s="67"/>
      <c r="AB25" s="194"/>
      <c r="AC25" s="67"/>
      <c r="AD25" s="194"/>
      <c r="AE25" s="67"/>
      <c r="AF25" s="194"/>
      <c r="AG25" s="532"/>
      <c r="AH25" s="194"/>
      <c r="AI25" s="194"/>
      <c r="AJ25" s="194"/>
      <c r="AK25" s="194"/>
      <c r="AL25" s="194"/>
      <c r="AM25" s="194"/>
      <c r="AN25" s="584"/>
    </row>
    <row r="26" spans="1:40" s="37" customFormat="1" ht="15" customHeight="1">
      <c r="A26" s="55">
        <v>2600</v>
      </c>
      <c r="B26" s="194" t="s">
        <v>728</v>
      </c>
      <c r="C26" s="194" t="s">
        <v>759</v>
      </c>
      <c r="D26" s="194" t="s">
        <v>136</v>
      </c>
      <c r="E26" s="194"/>
      <c r="F26" s="194"/>
      <c r="G26" s="165">
        <f t="shared" si="0"/>
        <v>0</v>
      </c>
      <c r="H26" s="194" t="s">
        <v>727</v>
      </c>
      <c r="I26" s="354" t="s">
        <v>732</v>
      </c>
      <c r="J26" s="194"/>
      <c r="K26" s="55"/>
      <c r="L26" s="55"/>
      <c r="M26" s="165">
        <f t="shared" si="1"/>
        <v>0</v>
      </c>
      <c r="N26" s="74" t="s">
        <v>103</v>
      </c>
      <c r="W26" s="69"/>
      <c r="X26" s="194"/>
      <c r="Y26" s="522"/>
      <c r="Z26" s="194"/>
      <c r="AA26" s="67"/>
      <c r="AB26" s="194"/>
      <c r="AC26" s="67"/>
      <c r="AD26" s="194"/>
      <c r="AE26" s="67"/>
      <c r="AF26" s="194"/>
      <c r="AG26" s="532"/>
      <c r="AH26" s="194"/>
      <c r="AI26" s="194"/>
      <c r="AJ26" s="194"/>
      <c r="AK26" s="194"/>
      <c r="AL26" s="194"/>
      <c r="AM26" s="194"/>
      <c r="AN26" s="584"/>
    </row>
    <row r="27" spans="1:40" s="37" customFormat="1" ht="15" customHeight="1">
      <c r="A27" s="55">
        <v>2700</v>
      </c>
      <c r="B27" s="194" t="s">
        <v>728</v>
      </c>
      <c r="C27" s="194" t="s">
        <v>760</v>
      </c>
      <c r="D27" s="194" t="s">
        <v>480</v>
      </c>
      <c r="E27" s="194"/>
      <c r="F27" s="194"/>
      <c r="G27" s="165">
        <f t="shared" si="0"/>
        <v>0</v>
      </c>
      <c r="H27" s="194" t="s">
        <v>727</v>
      </c>
      <c r="I27" s="354" t="s">
        <v>732</v>
      </c>
      <c r="J27" s="194"/>
      <c r="K27" s="55"/>
      <c r="L27" s="55"/>
      <c r="M27" s="165">
        <f t="shared" si="1"/>
        <v>0</v>
      </c>
      <c r="N27" s="74" t="s">
        <v>103</v>
      </c>
      <c r="W27" s="69"/>
      <c r="X27" s="194"/>
      <c r="Y27" s="522"/>
      <c r="Z27" s="194"/>
      <c r="AA27" s="67"/>
      <c r="AB27" s="194"/>
      <c r="AC27" s="67"/>
      <c r="AD27" s="194"/>
      <c r="AE27" s="67"/>
      <c r="AF27" s="194"/>
      <c r="AG27" s="532"/>
      <c r="AH27" s="194"/>
      <c r="AI27" s="194"/>
      <c r="AJ27" s="194"/>
      <c r="AK27" s="194"/>
      <c r="AL27" s="194"/>
      <c r="AM27" s="194"/>
      <c r="AN27" s="584"/>
    </row>
    <row r="28" spans="1:40" s="37" customFormat="1" ht="15" customHeight="1">
      <c r="A28" s="293">
        <v>2900</v>
      </c>
      <c r="B28" s="172" t="s">
        <v>743</v>
      </c>
      <c r="C28" s="172" t="s">
        <v>761</v>
      </c>
      <c r="D28" s="172" t="s">
        <v>762</v>
      </c>
      <c r="E28" s="172"/>
      <c r="F28" s="172"/>
      <c r="G28" s="158">
        <f t="shared" si="0"/>
        <v>0</v>
      </c>
      <c r="H28" s="172" t="s">
        <v>727</v>
      </c>
      <c r="I28" s="172"/>
      <c r="J28" s="172"/>
      <c r="K28" s="293"/>
      <c r="L28" s="293"/>
      <c r="M28" s="158">
        <f t="shared" si="1"/>
        <v>0</v>
      </c>
      <c r="N28" s="295" t="s">
        <v>103</v>
      </c>
      <c r="W28" s="171"/>
      <c r="X28" s="172"/>
      <c r="Y28" s="574">
        <f>AG28*$Y$2</f>
        <v>0</v>
      </c>
      <c r="Z28" s="172" t="s">
        <v>1311</v>
      </c>
      <c r="AA28" s="171"/>
      <c r="AB28" s="172"/>
      <c r="AC28" s="355">
        <f>AK28*$AC$2</f>
        <v>0</v>
      </c>
      <c r="AD28" s="172" t="s">
        <v>1311</v>
      </c>
      <c r="AE28" s="355">
        <f>AM28*$AE$2</f>
        <v>0</v>
      </c>
      <c r="AF28" s="172" t="s">
        <v>1313</v>
      </c>
      <c r="AG28" s="574">
        <f>VLOOKUP(C28,Gebäudedienste,17,0)</f>
        <v>0</v>
      </c>
      <c r="AH28" s="172" t="s">
        <v>1526</v>
      </c>
      <c r="AI28" s="356"/>
      <c r="AJ28" s="172"/>
      <c r="AK28" s="355">
        <f>VLOOKUP(C28,Gebäudedienste,17,0)</f>
        <v>0</v>
      </c>
      <c r="AL28" s="172" t="s">
        <v>1526</v>
      </c>
      <c r="AM28" s="355">
        <f>VLOOKUP(C28,Gebäudedienste,24,0)</f>
        <v>0</v>
      </c>
      <c r="AN28" s="583" t="s">
        <v>1991</v>
      </c>
    </row>
    <row r="29" spans="1:40" s="37" customFormat="1" ht="15" customHeight="1">
      <c r="A29" s="55">
        <v>3000</v>
      </c>
      <c r="B29" s="194" t="s">
        <v>728</v>
      </c>
      <c r="C29" s="194" t="s">
        <v>763</v>
      </c>
      <c r="D29" s="194" t="s">
        <v>287</v>
      </c>
      <c r="E29" s="194"/>
      <c r="F29" s="194"/>
      <c r="G29" s="165">
        <f t="shared" si="0"/>
        <v>0</v>
      </c>
      <c r="H29" s="194" t="s">
        <v>727</v>
      </c>
      <c r="I29" s="354" t="s">
        <v>732</v>
      </c>
      <c r="J29" s="194"/>
      <c r="K29" s="55"/>
      <c r="L29" s="55"/>
      <c r="M29" s="165">
        <f t="shared" si="1"/>
        <v>0</v>
      </c>
      <c r="N29" s="74" t="s">
        <v>103</v>
      </c>
      <c r="W29" s="69"/>
      <c r="X29" s="194"/>
      <c r="Y29" s="522"/>
      <c r="Z29" s="194"/>
      <c r="AA29" s="67"/>
      <c r="AB29" s="194"/>
      <c r="AC29" s="67"/>
      <c r="AD29" s="194"/>
      <c r="AE29" s="67"/>
      <c r="AF29" s="194"/>
      <c r="AG29" s="532"/>
      <c r="AH29" s="194"/>
      <c r="AI29" s="194"/>
      <c r="AJ29" s="194"/>
      <c r="AK29" s="194"/>
      <c r="AL29" s="194"/>
      <c r="AM29" s="194"/>
      <c r="AN29" s="584"/>
    </row>
    <row r="30" spans="1:40" s="37" customFormat="1" ht="15" customHeight="1">
      <c r="A30" s="55">
        <v>3100</v>
      </c>
      <c r="B30" s="194" t="s">
        <v>728</v>
      </c>
      <c r="C30" s="194" t="s">
        <v>764</v>
      </c>
      <c r="D30" s="194" t="s">
        <v>285</v>
      </c>
      <c r="E30" s="194"/>
      <c r="F30" s="194"/>
      <c r="G30" s="165">
        <f t="shared" si="0"/>
        <v>0</v>
      </c>
      <c r="H30" s="194" t="s">
        <v>727</v>
      </c>
      <c r="I30" s="354" t="s">
        <v>732</v>
      </c>
      <c r="J30" s="194"/>
      <c r="K30" s="55"/>
      <c r="L30" s="55"/>
      <c r="M30" s="165">
        <f t="shared" si="1"/>
        <v>0</v>
      </c>
      <c r="N30" s="74" t="s">
        <v>103</v>
      </c>
      <c r="W30" s="69"/>
      <c r="X30" s="194"/>
      <c r="Y30" s="522"/>
      <c r="Z30" s="194"/>
      <c r="AA30" s="67"/>
      <c r="AB30" s="194"/>
      <c r="AC30" s="67"/>
      <c r="AD30" s="194"/>
      <c r="AE30" s="67"/>
      <c r="AF30" s="194"/>
      <c r="AG30" s="532"/>
      <c r="AH30" s="194"/>
      <c r="AI30" s="194"/>
      <c r="AJ30" s="194"/>
      <c r="AK30" s="194"/>
      <c r="AL30" s="194"/>
      <c r="AM30" s="194"/>
      <c r="AN30" s="584"/>
    </row>
    <row r="31" spans="1:40" s="37" customFormat="1" ht="15" customHeight="1">
      <c r="A31" s="55">
        <v>3200</v>
      </c>
      <c r="B31" s="194" t="s">
        <v>728</v>
      </c>
      <c r="C31" s="194" t="s">
        <v>765</v>
      </c>
      <c r="D31" s="194" t="s">
        <v>274</v>
      </c>
      <c r="E31" s="194"/>
      <c r="F31" s="194"/>
      <c r="G31" s="165">
        <f t="shared" si="0"/>
        <v>0</v>
      </c>
      <c r="H31" s="194" t="s">
        <v>727</v>
      </c>
      <c r="I31" s="354" t="s">
        <v>732</v>
      </c>
      <c r="J31" s="194"/>
      <c r="K31" s="55"/>
      <c r="L31" s="55"/>
      <c r="M31" s="165">
        <f t="shared" si="1"/>
        <v>0</v>
      </c>
      <c r="N31" s="74" t="s">
        <v>103</v>
      </c>
      <c r="W31" s="69"/>
      <c r="X31" s="194"/>
      <c r="Y31" s="522"/>
      <c r="Z31" s="194"/>
      <c r="AA31" s="67"/>
      <c r="AB31" s="194"/>
      <c r="AC31" s="67"/>
      <c r="AD31" s="194"/>
      <c r="AE31" s="67"/>
      <c r="AF31" s="194"/>
      <c r="AG31" s="532"/>
      <c r="AH31" s="194"/>
      <c r="AI31" s="194"/>
      <c r="AJ31" s="194"/>
      <c r="AK31" s="194"/>
      <c r="AL31" s="194"/>
      <c r="AM31" s="194"/>
      <c r="AN31" s="584"/>
    </row>
    <row r="32" spans="1:40" s="37" customFormat="1" ht="15" customHeight="1">
      <c r="A32" s="55">
        <v>3300</v>
      </c>
      <c r="B32" s="194" t="s">
        <v>728</v>
      </c>
      <c r="C32" s="194" t="s">
        <v>766</v>
      </c>
      <c r="D32" s="194" t="s">
        <v>259</v>
      </c>
      <c r="E32" s="194"/>
      <c r="F32" s="194"/>
      <c r="G32" s="165">
        <f t="shared" si="0"/>
        <v>0</v>
      </c>
      <c r="H32" s="194" t="s">
        <v>727</v>
      </c>
      <c r="I32" s="354" t="s">
        <v>732</v>
      </c>
      <c r="J32" s="194"/>
      <c r="K32" s="55"/>
      <c r="L32" s="55"/>
      <c r="M32" s="165">
        <f t="shared" si="1"/>
        <v>0</v>
      </c>
      <c r="N32" s="74" t="s">
        <v>103</v>
      </c>
      <c r="W32" s="69"/>
      <c r="X32" s="194"/>
      <c r="Y32" s="522"/>
      <c r="Z32" s="194"/>
      <c r="AA32" s="67"/>
      <c r="AB32" s="194"/>
      <c r="AC32" s="67"/>
      <c r="AD32" s="194"/>
      <c r="AE32" s="67"/>
      <c r="AF32" s="194"/>
      <c r="AG32" s="532"/>
      <c r="AH32" s="194"/>
      <c r="AI32" s="194"/>
      <c r="AJ32" s="194"/>
      <c r="AK32" s="194"/>
      <c r="AL32" s="194"/>
      <c r="AM32" s="194"/>
      <c r="AN32" s="584"/>
    </row>
    <row r="33" spans="1:40" s="37" customFormat="1" ht="15" customHeight="1">
      <c r="A33" s="55">
        <v>3400</v>
      </c>
      <c r="B33" s="194" t="s">
        <v>728</v>
      </c>
      <c r="C33" s="194" t="s">
        <v>767</v>
      </c>
      <c r="D33" s="194" t="s">
        <v>246</v>
      </c>
      <c r="E33" s="194"/>
      <c r="F33" s="194"/>
      <c r="G33" s="165">
        <f t="shared" si="0"/>
        <v>0</v>
      </c>
      <c r="H33" s="194" t="s">
        <v>727</v>
      </c>
      <c r="I33" s="354" t="s">
        <v>732</v>
      </c>
      <c r="J33" s="194"/>
      <c r="K33" s="55"/>
      <c r="L33" s="55"/>
      <c r="M33" s="165">
        <f t="shared" si="1"/>
        <v>0</v>
      </c>
      <c r="N33" s="74" t="s">
        <v>103</v>
      </c>
      <c r="W33" s="69"/>
      <c r="X33" s="194"/>
      <c r="Y33" s="522"/>
      <c r="Z33" s="194"/>
      <c r="AA33" s="67"/>
      <c r="AB33" s="194"/>
      <c r="AC33" s="67"/>
      <c r="AD33" s="194"/>
      <c r="AE33" s="67"/>
      <c r="AF33" s="194"/>
      <c r="AG33" s="532"/>
      <c r="AH33" s="194"/>
      <c r="AI33" s="194"/>
      <c r="AJ33" s="194"/>
      <c r="AK33" s="194"/>
      <c r="AL33" s="194"/>
      <c r="AM33" s="194"/>
      <c r="AN33" s="584"/>
    </row>
    <row r="34" spans="1:40" s="37" customFormat="1" ht="15" customHeight="1">
      <c r="A34" s="55">
        <v>3500</v>
      </c>
      <c r="B34" s="194" t="s">
        <v>728</v>
      </c>
      <c r="C34" s="194" t="s">
        <v>768</v>
      </c>
      <c r="D34" s="194" t="s">
        <v>229</v>
      </c>
      <c r="E34" s="194"/>
      <c r="F34" s="194"/>
      <c r="G34" s="165">
        <f t="shared" si="0"/>
        <v>0</v>
      </c>
      <c r="H34" s="194" t="s">
        <v>727</v>
      </c>
      <c r="I34" s="354" t="s">
        <v>732</v>
      </c>
      <c r="J34" s="194"/>
      <c r="K34" s="55"/>
      <c r="L34" s="55"/>
      <c r="M34" s="165">
        <f t="shared" si="1"/>
        <v>0</v>
      </c>
      <c r="N34" s="74" t="s">
        <v>103</v>
      </c>
      <c r="W34" s="69"/>
      <c r="X34" s="194"/>
      <c r="Y34" s="522"/>
      <c r="Z34" s="194"/>
      <c r="AA34" s="67"/>
      <c r="AB34" s="194"/>
      <c r="AC34" s="67"/>
      <c r="AD34" s="194"/>
      <c r="AE34" s="67"/>
      <c r="AF34" s="194"/>
      <c r="AG34" s="532"/>
      <c r="AH34" s="194"/>
      <c r="AI34" s="194"/>
      <c r="AJ34" s="194"/>
      <c r="AK34" s="194"/>
      <c r="AL34" s="194"/>
      <c r="AM34" s="194"/>
      <c r="AN34" s="584"/>
    </row>
    <row r="35" spans="1:40" s="37" customFormat="1" ht="15" customHeight="1">
      <c r="A35" s="55">
        <v>3600</v>
      </c>
      <c r="B35" s="194" t="s">
        <v>728</v>
      </c>
      <c r="C35" s="194" t="s">
        <v>769</v>
      </c>
      <c r="D35" s="194" t="s">
        <v>210</v>
      </c>
      <c r="E35" s="194"/>
      <c r="F35" s="194"/>
      <c r="G35" s="165">
        <f t="shared" si="0"/>
        <v>0</v>
      </c>
      <c r="H35" s="194" t="s">
        <v>727</v>
      </c>
      <c r="I35" s="354" t="s">
        <v>732</v>
      </c>
      <c r="J35" s="194"/>
      <c r="K35" s="55"/>
      <c r="L35" s="55"/>
      <c r="M35" s="165">
        <f t="shared" si="1"/>
        <v>0</v>
      </c>
      <c r="N35" s="74" t="s">
        <v>103</v>
      </c>
      <c r="W35" s="69"/>
      <c r="X35" s="194"/>
      <c r="Y35" s="522"/>
      <c r="Z35" s="194"/>
      <c r="AA35" s="67"/>
      <c r="AB35" s="194"/>
      <c r="AC35" s="67"/>
      <c r="AD35" s="194"/>
      <c r="AE35" s="67"/>
      <c r="AF35" s="194"/>
      <c r="AG35" s="532"/>
      <c r="AH35" s="194"/>
      <c r="AI35" s="194"/>
      <c r="AJ35" s="194"/>
      <c r="AK35" s="194"/>
      <c r="AL35" s="194"/>
      <c r="AM35" s="194"/>
      <c r="AN35" s="584"/>
    </row>
    <row r="36" spans="1:40" s="37" customFormat="1" ht="15" customHeight="1">
      <c r="A36" s="55">
        <v>3700</v>
      </c>
      <c r="B36" s="194" t="s">
        <v>728</v>
      </c>
      <c r="C36" s="194" t="s">
        <v>770</v>
      </c>
      <c r="D36" s="194" t="s">
        <v>204</v>
      </c>
      <c r="E36" s="194"/>
      <c r="F36" s="194"/>
      <c r="G36" s="165">
        <f t="shared" ref="G36:G67" si="2">VLOOKUP(C36,Folgekosten,5,0)</f>
        <v>0</v>
      </c>
      <c r="H36" s="194" t="s">
        <v>727</v>
      </c>
      <c r="I36" s="354" t="s">
        <v>732</v>
      </c>
      <c r="J36" s="194"/>
      <c r="K36" s="55"/>
      <c r="L36" s="55"/>
      <c r="M36" s="165">
        <f t="shared" si="1"/>
        <v>0</v>
      </c>
      <c r="N36" s="74" t="s">
        <v>103</v>
      </c>
      <c r="W36" s="69"/>
      <c r="X36" s="194"/>
      <c r="Y36" s="522"/>
      <c r="Z36" s="194"/>
      <c r="AA36" s="67"/>
      <c r="AB36" s="194"/>
      <c r="AC36" s="67"/>
      <c r="AD36" s="194"/>
      <c r="AE36" s="67"/>
      <c r="AF36" s="194"/>
      <c r="AG36" s="532"/>
      <c r="AH36" s="194"/>
      <c r="AI36" s="194"/>
      <c r="AJ36" s="194"/>
      <c r="AK36" s="194"/>
      <c r="AL36" s="194"/>
      <c r="AM36" s="194"/>
      <c r="AN36" s="584"/>
    </row>
    <row r="37" spans="1:40" s="37" customFormat="1" ht="15" customHeight="1">
      <c r="A37" s="55">
        <v>3800</v>
      </c>
      <c r="B37" s="194" t="s">
        <v>728</v>
      </c>
      <c r="C37" s="194" t="s">
        <v>771</v>
      </c>
      <c r="D37" s="194" t="s">
        <v>190</v>
      </c>
      <c r="E37" s="194"/>
      <c r="F37" s="194"/>
      <c r="G37" s="165">
        <f t="shared" si="2"/>
        <v>0</v>
      </c>
      <c r="H37" s="194" t="s">
        <v>727</v>
      </c>
      <c r="I37" s="354" t="s">
        <v>732</v>
      </c>
      <c r="J37" s="194"/>
      <c r="K37" s="55"/>
      <c r="L37" s="55"/>
      <c r="M37" s="165">
        <f t="shared" si="1"/>
        <v>0</v>
      </c>
      <c r="N37" s="74" t="s">
        <v>103</v>
      </c>
      <c r="W37" s="69"/>
      <c r="X37" s="194"/>
      <c r="Y37" s="522"/>
      <c r="Z37" s="194"/>
      <c r="AA37" s="67"/>
      <c r="AB37" s="194"/>
      <c r="AC37" s="67"/>
      <c r="AD37" s="194"/>
      <c r="AE37" s="67"/>
      <c r="AF37" s="194"/>
      <c r="AG37" s="532"/>
      <c r="AH37" s="194"/>
      <c r="AI37" s="194"/>
      <c r="AJ37" s="194"/>
      <c r="AK37" s="194"/>
      <c r="AL37" s="194"/>
      <c r="AM37" s="194"/>
      <c r="AN37" s="584"/>
    </row>
    <row r="38" spans="1:40" s="37" customFormat="1" ht="15" customHeight="1">
      <c r="A38" s="55">
        <v>3900</v>
      </c>
      <c r="B38" s="194" t="s">
        <v>728</v>
      </c>
      <c r="C38" s="194" t="s">
        <v>772</v>
      </c>
      <c r="D38" s="194" t="s">
        <v>177</v>
      </c>
      <c r="E38" s="194"/>
      <c r="F38" s="194"/>
      <c r="G38" s="165">
        <f t="shared" si="2"/>
        <v>0</v>
      </c>
      <c r="H38" s="194" t="s">
        <v>727</v>
      </c>
      <c r="I38" s="354" t="s">
        <v>732</v>
      </c>
      <c r="J38" s="194"/>
      <c r="K38" s="55"/>
      <c r="L38" s="55"/>
      <c r="M38" s="165">
        <f t="shared" si="1"/>
        <v>0</v>
      </c>
      <c r="N38" s="74" t="s">
        <v>103</v>
      </c>
      <c r="W38" s="69"/>
      <c r="X38" s="194"/>
      <c r="Y38" s="522"/>
      <c r="Z38" s="194"/>
      <c r="AA38" s="67"/>
      <c r="AB38" s="194"/>
      <c r="AC38" s="67"/>
      <c r="AD38" s="194"/>
      <c r="AE38" s="67"/>
      <c r="AF38" s="194"/>
      <c r="AG38" s="532"/>
      <c r="AH38" s="194"/>
      <c r="AI38" s="194"/>
      <c r="AJ38" s="194"/>
      <c r="AK38" s="194"/>
      <c r="AL38" s="194"/>
      <c r="AM38" s="194"/>
      <c r="AN38" s="584"/>
    </row>
    <row r="39" spans="1:40" s="37" customFormat="1" ht="15" customHeight="1">
      <c r="A39" s="55">
        <v>4000</v>
      </c>
      <c r="B39" s="194" t="s">
        <v>728</v>
      </c>
      <c r="C39" s="194" t="s">
        <v>773</v>
      </c>
      <c r="D39" s="194" t="s">
        <v>166</v>
      </c>
      <c r="E39" s="194"/>
      <c r="F39" s="194"/>
      <c r="G39" s="165">
        <f t="shared" si="2"/>
        <v>0</v>
      </c>
      <c r="H39" s="194" t="s">
        <v>727</v>
      </c>
      <c r="I39" s="354" t="s">
        <v>732</v>
      </c>
      <c r="J39" s="194"/>
      <c r="K39" s="55"/>
      <c r="L39" s="55"/>
      <c r="M39" s="165">
        <f t="shared" si="1"/>
        <v>0</v>
      </c>
      <c r="N39" s="74" t="s">
        <v>103</v>
      </c>
      <c r="W39" s="69"/>
      <c r="X39" s="194"/>
      <c r="Y39" s="522"/>
      <c r="Z39" s="194"/>
      <c r="AA39" s="67"/>
      <c r="AB39" s="194"/>
      <c r="AC39" s="67"/>
      <c r="AD39" s="194"/>
      <c r="AE39" s="67"/>
      <c r="AF39" s="194"/>
      <c r="AG39" s="532"/>
      <c r="AH39" s="194"/>
      <c r="AI39" s="194"/>
      <c r="AJ39" s="194"/>
      <c r="AK39" s="194"/>
      <c r="AL39" s="194"/>
      <c r="AM39" s="194"/>
      <c r="AN39" s="584"/>
    </row>
    <row r="40" spans="1:40" s="37" customFormat="1" ht="15" customHeight="1">
      <c r="A40" s="55">
        <v>4100</v>
      </c>
      <c r="B40" s="194" t="s">
        <v>728</v>
      </c>
      <c r="C40" s="194" t="s">
        <v>774</v>
      </c>
      <c r="D40" s="194" t="s">
        <v>147</v>
      </c>
      <c r="E40" s="194"/>
      <c r="F40" s="194"/>
      <c r="G40" s="165">
        <f t="shared" si="2"/>
        <v>0</v>
      </c>
      <c r="H40" s="194" t="s">
        <v>727</v>
      </c>
      <c r="I40" s="354" t="s">
        <v>732</v>
      </c>
      <c r="J40" s="194"/>
      <c r="K40" s="55"/>
      <c r="L40" s="55"/>
      <c r="M40" s="165">
        <f t="shared" si="1"/>
        <v>0</v>
      </c>
      <c r="N40" s="74" t="s">
        <v>103</v>
      </c>
      <c r="W40" s="69"/>
      <c r="X40" s="194"/>
      <c r="Y40" s="522"/>
      <c r="Z40" s="194"/>
      <c r="AA40" s="67"/>
      <c r="AB40" s="194"/>
      <c r="AC40" s="67"/>
      <c r="AD40" s="194"/>
      <c r="AE40" s="67"/>
      <c r="AF40" s="194"/>
      <c r="AG40" s="532"/>
      <c r="AH40" s="194"/>
      <c r="AI40" s="194"/>
      <c r="AJ40" s="194"/>
      <c r="AK40" s="194"/>
      <c r="AL40" s="194"/>
      <c r="AM40" s="194"/>
      <c r="AN40" s="584"/>
    </row>
    <row r="41" spans="1:40" s="37" customFormat="1" ht="15" customHeight="1">
      <c r="A41" s="55">
        <v>4200</v>
      </c>
      <c r="B41" s="194" t="s">
        <v>728</v>
      </c>
      <c r="C41" s="194" t="s">
        <v>775</v>
      </c>
      <c r="D41" s="194" t="s">
        <v>145</v>
      </c>
      <c r="E41" s="194"/>
      <c r="F41" s="194"/>
      <c r="G41" s="165">
        <f t="shared" si="2"/>
        <v>0</v>
      </c>
      <c r="H41" s="194" t="s">
        <v>727</v>
      </c>
      <c r="I41" s="354" t="s">
        <v>732</v>
      </c>
      <c r="J41" s="194"/>
      <c r="K41" s="55"/>
      <c r="L41" s="55"/>
      <c r="M41" s="165">
        <f t="shared" si="1"/>
        <v>0</v>
      </c>
      <c r="N41" s="74" t="s">
        <v>103</v>
      </c>
      <c r="W41" s="69"/>
      <c r="X41" s="194"/>
      <c r="Y41" s="522"/>
      <c r="Z41" s="194"/>
      <c r="AA41" s="67"/>
      <c r="AB41" s="194"/>
      <c r="AC41" s="67"/>
      <c r="AD41" s="194"/>
      <c r="AE41" s="67"/>
      <c r="AF41" s="194"/>
      <c r="AG41" s="532"/>
      <c r="AH41" s="194"/>
      <c r="AI41" s="194"/>
      <c r="AJ41" s="194"/>
      <c r="AK41" s="194"/>
      <c r="AL41" s="194"/>
      <c r="AM41" s="194"/>
      <c r="AN41" s="584"/>
    </row>
    <row r="42" spans="1:40" s="37" customFormat="1" ht="15" customHeight="1">
      <c r="A42" s="55">
        <v>4300</v>
      </c>
      <c r="B42" s="194" t="s">
        <v>728</v>
      </c>
      <c r="C42" s="194" t="s">
        <v>776</v>
      </c>
      <c r="D42" s="194" t="s">
        <v>136</v>
      </c>
      <c r="E42" s="194"/>
      <c r="F42" s="194"/>
      <c r="G42" s="165">
        <f t="shared" si="2"/>
        <v>0</v>
      </c>
      <c r="H42" s="194" t="s">
        <v>727</v>
      </c>
      <c r="I42" s="354" t="s">
        <v>732</v>
      </c>
      <c r="J42" s="194"/>
      <c r="K42" s="55"/>
      <c r="L42" s="55"/>
      <c r="M42" s="165">
        <f t="shared" si="1"/>
        <v>0</v>
      </c>
      <c r="N42" s="74" t="s">
        <v>103</v>
      </c>
      <c r="W42" s="69"/>
      <c r="X42" s="194"/>
      <c r="Y42" s="522"/>
      <c r="Z42" s="194"/>
      <c r="AA42" s="67"/>
      <c r="AB42" s="194"/>
      <c r="AC42" s="67"/>
      <c r="AD42" s="194"/>
      <c r="AE42" s="67"/>
      <c r="AF42" s="194"/>
      <c r="AG42" s="532"/>
      <c r="AH42" s="194"/>
      <c r="AI42" s="194"/>
      <c r="AJ42" s="194"/>
      <c r="AK42" s="194"/>
      <c r="AL42" s="194"/>
      <c r="AM42" s="194"/>
      <c r="AN42" s="584"/>
    </row>
    <row r="43" spans="1:40" s="37" customFormat="1" ht="15" customHeight="1">
      <c r="A43" s="55">
        <v>4400</v>
      </c>
      <c r="B43" s="194" t="s">
        <v>728</v>
      </c>
      <c r="C43" s="194" t="s">
        <v>777</v>
      </c>
      <c r="D43" s="194" t="s">
        <v>480</v>
      </c>
      <c r="E43" s="194"/>
      <c r="F43" s="194"/>
      <c r="G43" s="165">
        <f t="shared" si="2"/>
        <v>0</v>
      </c>
      <c r="H43" s="194" t="s">
        <v>727</v>
      </c>
      <c r="I43" s="354" t="s">
        <v>732</v>
      </c>
      <c r="J43" s="194"/>
      <c r="K43" s="55"/>
      <c r="L43" s="55"/>
      <c r="M43" s="165">
        <f t="shared" si="1"/>
        <v>0</v>
      </c>
      <c r="N43" s="74" t="s">
        <v>103</v>
      </c>
      <c r="W43" s="69"/>
      <c r="X43" s="194"/>
      <c r="Y43" s="522"/>
      <c r="Z43" s="194"/>
      <c r="AA43" s="67"/>
      <c r="AB43" s="194"/>
      <c r="AC43" s="67"/>
      <c r="AD43" s="194"/>
      <c r="AE43" s="67"/>
      <c r="AF43" s="194"/>
      <c r="AG43" s="532"/>
      <c r="AH43" s="194"/>
      <c r="AI43" s="194"/>
      <c r="AJ43" s="194"/>
      <c r="AK43" s="194"/>
      <c r="AL43" s="194"/>
      <c r="AM43" s="194"/>
      <c r="AN43" s="584"/>
    </row>
    <row r="44" spans="1:40" s="37" customFormat="1" ht="15" customHeight="1">
      <c r="A44" s="55">
        <v>4600</v>
      </c>
      <c r="B44" s="194" t="s">
        <v>728</v>
      </c>
      <c r="C44" s="194" t="s">
        <v>778</v>
      </c>
      <c r="D44" s="194" t="s">
        <v>198</v>
      </c>
      <c r="E44" s="194"/>
      <c r="F44" s="194"/>
      <c r="G44" s="165">
        <f t="shared" si="2"/>
        <v>0</v>
      </c>
      <c r="H44" s="194" t="s">
        <v>727</v>
      </c>
      <c r="I44" s="354" t="s">
        <v>732</v>
      </c>
      <c r="J44" s="194"/>
      <c r="K44" s="55"/>
      <c r="L44" s="55"/>
      <c r="M44" s="165">
        <f t="shared" si="1"/>
        <v>0</v>
      </c>
      <c r="N44" s="74" t="s">
        <v>103</v>
      </c>
      <c r="W44" s="69"/>
      <c r="X44" s="194"/>
      <c r="Y44" s="522"/>
      <c r="Z44" s="194"/>
      <c r="AA44" s="67"/>
      <c r="AB44" s="194"/>
      <c r="AC44" s="67"/>
      <c r="AD44" s="194"/>
      <c r="AE44" s="67"/>
      <c r="AF44" s="194"/>
      <c r="AG44" s="532"/>
      <c r="AH44" s="194"/>
      <c r="AI44" s="194"/>
      <c r="AJ44" s="194"/>
      <c r="AK44" s="194"/>
      <c r="AL44" s="194"/>
      <c r="AM44" s="194"/>
      <c r="AN44" s="584"/>
    </row>
    <row r="45" spans="1:40" s="37" customFormat="1" ht="15" customHeight="1">
      <c r="A45" s="293">
        <v>4800</v>
      </c>
      <c r="B45" s="172" t="s">
        <v>724</v>
      </c>
      <c r="C45" s="172" t="s">
        <v>779</v>
      </c>
      <c r="D45" s="172" t="s">
        <v>780</v>
      </c>
      <c r="E45" s="172"/>
      <c r="F45" s="172"/>
      <c r="G45" s="158" t="e">
        <f t="shared" si="2"/>
        <v>#N/A</v>
      </c>
      <c r="H45" s="172" t="s">
        <v>727</v>
      </c>
      <c r="I45" s="172"/>
      <c r="J45" s="172"/>
      <c r="K45" s="293"/>
      <c r="L45" s="293"/>
      <c r="M45" s="158" t="e">
        <f t="shared" si="1"/>
        <v>#N/A</v>
      </c>
      <c r="N45" s="295" t="s">
        <v>103</v>
      </c>
      <c r="W45" s="171"/>
      <c r="X45" s="172"/>
      <c r="Y45" s="513" t="e">
        <f>SUM(Y46,Y59,Y62,Y63)</f>
        <v>#N/A</v>
      </c>
      <c r="Z45" s="172" t="s">
        <v>1311</v>
      </c>
      <c r="AA45" s="171"/>
      <c r="AB45" s="172"/>
      <c r="AC45" s="158" t="e">
        <f>SUM(AC46,AC59,AC62,AC63)</f>
        <v>#N/A</v>
      </c>
      <c r="AD45" s="172" t="s">
        <v>1311</v>
      </c>
      <c r="AE45" s="158" t="e">
        <f>SUM(AE46,AE59,AE62,AE63)</f>
        <v>#N/A</v>
      </c>
      <c r="AF45" s="172" t="s">
        <v>1313</v>
      </c>
      <c r="AG45" s="513" t="e">
        <f>SUM(AG46,AG59,AG62,AG63)</f>
        <v>#N/A</v>
      </c>
      <c r="AH45" s="172" t="s">
        <v>1526</v>
      </c>
      <c r="AI45" s="171"/>
      <c r="AJ45" s="172"/>
      <c r="AK45" s="158" t="e">
        <f>SUM(AK46,AK59,AK62,AK63)</f>
        <v>#N/A</v>
      </c>
      <c r="AL45" s="172" t="s">
        <v>1526</v>
      </c>
      <c r="AM45" s="158" t="e">
        <f>SUM(AM46,AM59,AM62,AM63)</f>
        <v>#N/A</v>
      </c>
      <c r="AN45" s="583" t="s">
        <v>1991</v>
      </c>
    </row>
    <row r="46" spans="1:40" s="37" customFormat="1" ht="15" customHeight="1">
      <c r="A46" s="293">
        <v>4900</v>
      </c>
      <c r="B46" s="172" t="s">
        <v>743</v>
      </c>
      <c r="C46" s="172" t="s">
        <v>781</v>
      </c>
      <c r="D46" s="172" t="s">
        <v>782</v>
      </c>
      <c r="E46" s="172"/>
      <c r="F46" s="172"/>
      <c r="G46" s="157" t="e">
        <f t="shared" si="2"/>
        <v>#N/A</v>
      </c>
      <c r="H46" s="172" t="s">
        <v>727</v>
      </c>
      <c r="I46" s="172"/>
      <c r="J46" s="172"/>
      <c r="K46" s="293"/>
      <c r="L46" s="293"/>
      <c r="M46" s="157" t="e">
        <f t="shared" si="1"/>
        <v>#N/A</v>
      </c>
      <c r="N46" s="295" t="s">
        <v>103</v>
      </c>
      <c r="W46" s="171"/>
      <c r="X46" s="172"/>
      <c r="Y46" s="513" t="e">
        <f>SUM(Y47,Y53:Y57)</f>
        <v>#N/A</v>
      </c>
      <c r="Z46" s="172" t="s">
        <v>1311</v>
      </c>
      <c r="AA46" s="171"/>
      <c r="AB46" s="172"/>
      <c r="AC46" s="158" t="e">
        <f>SUM(AC47,AC53:AC57)</f>
        <v>#N/A</v>
      </c>
      <c r="AD46" s="172" t="s">
        <v>1311</v>
      </c>
      <c r="AE46" s="158" t="e">
        <f>SUM(AE47,AE53:AE57)</f>
        <v>#N/A</v>
      </c>
      <c r="AF46" s="172" t="s">
        <v>1313</v>
      </c>
      <c r="AG46" s="513" t="e">
        <f>SUM(AG47,AG53:AG57)</f>
        <v>#N/A</v>
      </c>
      <c r="AH46" s="172" t="s">
        <v>1526</v>
      </c>
      <c r="AI46" s="171"/>
      <c r="AJ46" s="172"/>
      <c r="AK46" s="158" t="e">
        <f>SUM(AK47,AK53:AK57)</f>
        <v>#N/A</v>
      </c>
      <c r="AL46" s="172" t="s">
        <v>1526</v>
      </c>
      <c r="AM46" s="158" t="e">
        <f>SUM(AM47,AM53:AM57)</f>
        <v>#N/A</v>
      </c>
      <c r="AN46" s="583" t="s">
        <v>1991</v>
      </c>
    </row>
    <row r="47" spans="1:40" s="37" customFormat="1" ht="15" customHeight="1">
      <c r="A47" s="293">
        <v>5000</v>
      </c>
      <c r="B47" s="172" t="s">
        <v>743</v>
      </c>
      <c r="C47" s="172" t="s">
        <v>783</v>
      </c>
      <c r="D47" s="172" t="s">
        <v>489</v>
      </c>
      <c r="E47" s="172"/>
      <c r="F47" s="172"/>
      <c r="G47" s="157" t="e">
        <f t="shared" si="2"/>
        <v>#N/A</v>
      </c>
      <c r="H47" s="172" t="s">
        <v>727</v>
      </c>
      <c r="I47" s="172" t="s">
        <v>732</v>
      </c>
      <c r="J47" s="172"/>
      <c r="K47" s="293"/>
      <c r="L47" s="293"/>
      <c r="M47" s="157" t="e">
        <f t="shared" si="1"/>
        <v>#N/A</v>
      </c>
      <c r="N47" s="295" t="s">
        <v>103</v>
      </c>
      <c r="W47" s="171"/>
      <c r="X47" s="172"/>
      <c r="Y47" s="513" t="e">
        <f t="shared" ref="Y47" si="3">SUM(Y48:Y52)</f>
        <v>#N/A</v>
      </c>
      <c r="Z47" s="172" t="s">
        <v>1311</v>
      </c>
      <c r="AA47" s="171"/>
      <c r="AB47" s="172"/>
      <c r="AC47" s="158" t="e">
        <f t="shared" ref="AC47" si="4">SUM(AC48:AC52)</f>
        <v>#N/A</v>
      </c>
      <c r="AD47" s="172" t="s">
        <v>1311</v>
      </c>
      <c r="AE47" s="158" t="e">
        <f t="shared" ref="AE47" si="5">SUM(AE48:AE52)</f>
        <v>#N/A</v>
      </c>
      <c r="AF47" s="172" t="s">
        <v>1313</v>
      </c>
      <c r="AG47" s="513" t="e">
        <f>SUM(AG48:AG52)</f>
        <v>#N/A</v>
      </c>
      <c r="AH47" s="172" t="s">
        <v>1526</v>
      </c>
      <c r="AI47" s="171"/>
      <c r="AJ47" s="172"/>
      <c r="AK47" s="158" t="e">
        <f>SUM(AK48:AK52)</f>
        <v>#N/A</v>
      </c>
      <c r="AL47" s="172" t="s">
        <v>1526</v>
      </c>
      <c r="AM47" s="158" t="e">
        <f>SUM(AM48:AM52)</f>
        <v>#N/A</v>
      </c>
      <c r="AN47" s="583" t="s">
        <v>1991</v>
      </c>
    </row>
    <row r="48" spans="1:40" s="37" customFormat="1" ht="15" customHeight="1">
      <c r="A48" s="55"/>
      <c r="B48" s="194" t="s">
        <v>728</v>
      </c>
      <c r="C48" s="194" t="s">
        <v>1195</v>
      </c>
      <c r="D48" s="194" t="s">
        <v>1200</v>
      </c>
      <c r="E48" s="194"/>
      <c r="F48" s="194"/>
      <c r="G48" s="165" t="e">
        <f t="shared" si="2"/>
        <v>#N/A</v>
      </c>
      <c r="H48" s="194" t="s">
        <v>727</v>
      </c>
      <c r="I48" s="357" t="s">
        <v>732</v>
      </c>
      <c r="J48" s="194"/>
      <c r="K48" s="55"/>
      <c r="L48" s="55"/>
      <c r="M48" s="165" t="e">
        <f t="shared" si="1"/>
        <v>#N/A</v>
      </c>
      <c r="N48" s="74" t="s">
        <v>103</v>
      </c>
      <c r="W48" s="69"/>
      <c r="X48" s="194"/>
      <c r="Y48" s="573" t="e">
        <f t="shared" ref="Y48:Y57" si="6">AG48*$Y$2</f>
        <v>#N/A</v>
      </c>
      <c r="Z48" s="194" t="s">
        <v>1311</v>
      </c>
      <c r="AA48" s="67"/>
      <c r="AB48" s="194"/>
      <c r="AC48" s="165" t="e">
        <f>$AK$48*AC2</f>
        <v>#N/A</v>
      </c>
      <c r="AD48" s="194" t="s">
        <v>1311</v>
      </c>
      <c r="AE48" s="165" t="e">
        <f>$AM$48*AE2</f>
        <v>#N/A</v>
      </c>
      <c r="AF48" s="194" t="s">
        <v>1313</v>
      </c>
      <c r="AG48" s="573" t="e">
        <f>VLOOKUP("IKtkWh",Energie,8,0)*VLOOKUP("BGFbeheizt",Objektkenndaten,5,0)*VLOOKUP("GWPSTROM",Energie,8,0)</f>
        <v>#N/A</v>
      </c>
      <c r="AH48" s="194" t="s">
        <v>1526</v>
      </c>
      <c r="AI48" s="69"/>
      <c r="AJ48" s="194"/>
      <c r="AK48" s="165" t="e">
        <f>VLOOKUP("IKtkWh",Energie,8,0)*VLOOKUP("BGFbeheizt",Objektkenndaten,5,0)*VLOOKUP("GWPSTROM",Energie,8,0)</f>
        <v>#N/A</v>
      </c>
      <c r="AL48" s="194" t="s">
        <v>1526</v>
      </c>
      <c r="AM48" s="165" t="e">
        <f>VLOOKUP("IKtkWh",Energie,8,0)*VLOOKUP("BGFbeheizt",Objektkenndaten,5,0)*VLOOKUP("PESTROM",Energie,8,0)</f>
        <v>#N/A</v>
      </c>
      <c r="AN48" s="584" t="s">
        <v>1991</v>
      </c>
    </row>
    <row r="49" spans="1:40" s="37" customFormat="1" ht="15" customHeight="1">
      <c r="A49" s="55"/>
      <c r="B49" s="194" t="s">
        <v>728</v>
      </c>
      <c r="C49" s="194" t="s">
        <v>1196</v>
      </c>
      <c r="D49" s="194" t="s">
        <v>1198</v>
      </c>
      <c r="E49" s="194"/>
      <c r="F49" s="194"/>
      <c r="G49" s="165" t="e">
        <f t="shared" si="2"/>
        <v>#N/A</v>
      </c>
      <c r="H49" s="194" t="s">
        <v>727</v>
      </c>
      <c r="I49" s="357" t="s">
        <v>732</v>
      </c>
      <c r="J49" s="194"/>
      <c r="K49" s="55"/>
      <c r="L49" s="55"/>
      <c r="M49" s="165" t="e">
        <f t="shared" si="1"/>
        <v>#N/A</v>
      </c>
      <c r="N49" s="74" t="s">
        <v>103</v>
      </c>
      <c r="W49" s="69"/>
      <c r="X49" s="194"/>
      <c r="Y49" s="573" t="e">
        <f t="shared" si="6"/>
        <v>#N/A</v>
      </c>
      <c r="Z49" s="194" t="s">
        <v>1311</v>
      </c>
      <c r="AA49" s="67"/>
      <c r="AB49" s="194"/>
      <c r="AC49" s="165" t="e">
        <f>$AK$49*AC2</f>
        <v>#N/A</v>
      </c>
      <c r="AD49" s="194" t="s">
        <v>1311</v>
      </c>
      <c r="AE49" s="165" t="e">
        <f>$AM$49*AE2</f>
        <v>#N/A</v>
      </c>
      <c r="AF49" s="194" t="s">
        <v>1313</v>
      </c>
      <c r="AG49" s="573" t="e">
        <f>VLOOKUP("BELkWh",Energie,8,0)*VLOOKUP("BGFbeheizt",Objektkenndaten,5,0)*VLOOKUP("GWPSTROM",Energie,8,0)</f>
        <v>#N/A</v>
      </c>
      <c r="AH49" s="194" t="s">
        <v>1526</v>
      </c>
      <c r="AI49" s="69"/>
      <c r="AJ49" s="194"/>
      <c r="AK49" s="165" t="e">
        <f>VLOOKUP("BELkWh",Energie,8,0)*VLOOKUP("BGFbeheizt",Objektkenndaten,5,0)*VLOOKUP("GWPSTROM",Energie,8,0)</f>
        <v>#N/A</v>
      </c>
      <c r="AL49" s="194" t="s">
        <v>1526</v>
      </c>
      <c r="AM49" s="165" t="e">
        <f>VLOOKUP("BELkWh",Energie,8,0)*VLOOKUP("BGFbeheizt",Objektkenndaten,5,0)*VLOOKUP("PESTROM",Energie,8,0)</f>
        <v>#N/A</v>
      </c>
      <c r="AN49" s="584" t="s">
        <v>1991</v>
      </c>
    </row>
    <row r="50" spans="1:40" s="37" customFormat="1" ht="15" customHeight="1">
      <c r="A50" s="55"/>
      <c r="B50" s="194" t="s">
        <v>728</v>
      </c>
      <c r="C50" s="194" t="s">
        <v>1197</v>
      </c>
      <c r="D50" s="194" t="s">
        <v>1199</v>
      </c>
      <c r="E50" s="194"/>
      <c r="F50" s="194"/>
      <c r="G50" s="165" t="e">
        <f t="shared" si="2"/>
        <v>#N/A</v>
      </c>
      <c r="H50" s="194" t="s">
        <v>727</v>
      </c>
      <c r="I50" s="357" t="s">
        <v>732</v>
      </c>
      <c r="J50" s="194"/>
      <c r="K50" s="55"/>
      <c r="L50" s="55"/>
      <c r="M50" s="165" t="e">
        <f t="shared" si="1"/>
        <v>#N/A</v>
      </c>
      <c r="N50" s="74" t="s">
        <v>103</v>
      </c>
      <c r="W50" s="69"/>
      <c r="X50" s="194"/>
      <c r="Y50" s="573" t="e">
        <f t="shared" si="6"/>
        <v>#N/A</v>
      </c>
      <c r="Z50" s="194" t="s">
        <v>1311</v>
      </c>
      <c r="AA50" s="67"/>
      <c r="AB50" s="194"/>
      <c r="AC50" s="165" t="e">
        <f>$AK$50*AC2</f>
        <v>#N/A</v>
      </c>
      <c r="AD50" s="194" t="s">
        <v>1311</v>
      </c>
      <c r="AE50" s="165" t="e">
        <f>$AM$50*AE2</f>
        <v>#N/A</v>
      </c>
      <c r="AF50" s="194" t="s">
        <v>1313</v>
      </c>
      <c r="AG50" s="573" t="e">
        <f>VLOOKUP("LUFTkWh",Energie,8,0)*VLOOKUP("BGFbelüftet",Objektkenndaten,5,0)*VLOOKUP("GWPSTROM",Energie,8,0)</f>
        <v>#N/A</v>
      </c>
      <c r="AH50" s="194" t="s">
        <v>1526</v>
      </c>
      <c r="AI50" s="69"/>
      <c r="AJ50" s="194"/>
      <c r="AK50" s="165" t="e">
        <f>VLOOKUP("LUFTkWh",Energie,8,0)*VLOOKUP("BGFbelüftet",Objektkenndaten,5,0)*VLOOKUP("GWPSTROM",Energie,8,0)</f>
        <v>#N/A</v>
      </c>
      <c r="AL50" s="194" t="s">
        <v>1526</v>
      </c>
      <c r="AM50" s="165" t="e">
        <f>VLOOKUP("LUFTkWh",Energie,8,0)*VLOOKUP("BGFbelüftet",Objektkenndaten,5,0)*VLOOKUP("PESTROM",Energie,8,0)</f>
        <v>#N/A</v>
      </c>
      <c r="AN50" s="584" t="s">
        <v>1991</v>
      </c>
    </row>
    <row r="51" spans="1:40" s="37" customFormat="1" ht="15" customHeight="1">
      <c r="A51" s="55"/>
      <c r="B51" s="194" t="s">
        <v>728</v>
      </c>
      <c r="C51" s="194" t="s">
        <v>1542</v>
      </c>
      <c r="D51" s="194" t="s">
        <v>1545</v>
      </c>
      <c r="E51" s="194"/>
      <c r="F51" s="194"/>
      <c r="G51" s="165" t="e">
        <f t="shared" si="2"/>
        <v>#N/A</v>
      </c>
      <c r="H51" s="194" t="s">
        <v>727</v>
      </c>
      <c r="I51" s="357" t="s">
        <v>732</v>
      </c>
      <c r="J51" s="194"/>
      <c r="K51" s="55"/>
      <c r="L51" s="55"/>
      <c r="M51" s="165" t="e">
        <f t="shared" si="1"/>
        <v>#N/A</v>
      </c>
      <c r="N51" s="74" t="s">
        <v>103</v>
      </c>
      <c r="W51" s="69"/>
      <c r="X51" s="194"/>
      <c r="Y51" s="573" t="e">
        <f t="shared" si="6"/>
        <v>#N/A</v>
      </c>
      <c r="Z51" s="194" t="s">
        <v>1311</v>
      </c>
      <c r="AA51" s="67"/>
      <c r="AB51" s="194"/>
      <c r="AC51" s="165" t="e">
        <f>$AK$51*AC2</f>
        <v>#N/A</v>
      </c>
      <c r="AD51" s="194" t="s">
        <v>1311</v>
      </c>
      <c r="AE51" s="165" t="e">
        <f>$AM$51*AE2</f>
        <v>#N/A</v>
      </c>
      <c r="AF51" s="194" t="s">
        <v>1313</v>
      </c>
      <c r="AG51" s="573" t="e">
        <f>(VLOOKUP("BEFkWh",Energie,8,0)+VLOOKUP("ENTFkWh",Energie,8,0))*VLOOKUP("BGFbelüftet",Objektkenndaten,5,0)*VLOOKUP("GWPSTROM",Energie,8,0)</f>
        <v>#N/A</v>
      </c>
      <c r="AH51" s="194" t="s">
        <v>1526</v>
      </c>
      <c r="AI51" s="69"/>
      <c r="AJ51" s="194"/>
      <c r="AK51" s="165" t="e">
        <f>(VLOOKUP("BEFkWh",Energie,8,0)+VLOOKUP("ENTFkWh",Energie,8,0))*VLOOKUP("BGFbelüftet",Objektkenndaten,5,0)*VLOOKUP("GWPSTROM",Energie,8,0)</f>
        <v>#N/A</v>
      </c>
      <c r="AL51" s="194" t="s">
        <v>1526</v>
      </c>
      <c r="AM51" s="165" t="e">
        <f>(VLOOKUP("BEFkWh",Energie,8,0)+VLOOKUP("ENTFkWh",Energie,8,0))*VLOOKUP("BGFbelüftet",Objektkenndaten,5,0)*VLOOKUP("PESTROM",Energie,8,0)</f>
        <v>#N/A</v>
      </c>
      <c r="AN51" s="584" t="s">
        <v>1991</v>
      </c>
    </row>
    <row r="52" spans="1:40" s="37" customFormat="1" ht="15" customHeight="1">
      <c r="A52" s="55"/>
      <c r="B52" s="194" t="s">
        <v>728</v>
      </c>
      <c r="C52" s="194" t="s">
        <v>1544</v>
      </c>
      <c r="D52" s="194" t="s">
        <v>1543</v>
      </c>
      <c r="E52" s="194"/>
      <c r="F52" s="194"/>
      <c r="G52" s="165" t="e">
        <f t="shared" si="2"/>
        <v>#N/A</v>
      </c>
      <c r="H52" s="194" t="s">
        <v>727</v>
      </c>
      <c r="I52" s="357" t="s">
        <v>732</v>
      </c>
      <c r="J52" s="194"/>
      <c r="K52" s="55"/>
      <c r="L52" s="55"/>
      <c r="M52" s="165" t="e">
        <f t="shared" si="1"/>
        <v>#N/A</v>
      </c>
      <c r="N52" s="74" t="s">
        <v>103</v>
      </c>
      <c r="W52" s="69"/>
      <c r="X52" s="194"/>
      <c r="Y52" s="573" t="e">
        <f t="shared" si="6"/>
        <v>#N/A</v>
      </c>
      <c r="Z52" s="194" t="s">
        <v>1311</v>
      </c>
      <c r="AA52" s="67"/>
      <c r="AB52" s="194"/>
      <c r="AC52" s="165" t="e">
        <f>$AK$52*AC2</f>
        <v>#N/A</v>
      </c>
      <c r="AD52" s="194" t="s">
        <v>1311</v>
      </c>
      <c r="AE52" s="165" t="e">
        <f>$AM$52*AE2</f>
        <v>#N/A</v>
      </c>
      <c r="AF52" s="194" t="s">
        <v>1313</v>
      </c>
      <c r="AG52" s="573" t="e">
        <f>VLOOKUP("HAUSHkWh",Energie,8,0)*VLOOKUP("BGFbeheizt",Objektkenndaten,5,0)*VLOOKUP("GWPSTROM",Energie,8,0)</f>
        <v>#N/A</v>
      </c>
      <c r="AH52" s="194" t="s">
        <v>1526</v>
      </c>
      <c r="AI52" s="69"/>
      <c r="AJ52" s="194"/>
      <c r="AK52" s="165" t="e">
        <f>VLOOKUP("HAUSHkWh",Energie,8,0)*VLOOKUP("BGFbeheizt",Objektkenndaten,5,0)*VLOOKUP("GWPSTROM",Energie,8,0)</f>
        <v>#N/A</v>
      </c>
      <c r="AL52" s="194" t="s">
        <v>1526</v>
      </c>
      <c r="AM52" s="165" t="e">
        <f>VLOOKUP("HAUSHkWh",Energie,8,0)*VLOOKUP("BGFbeheizt",Objektkenndaten,5,0)*VLOOKUP("PESTROM",Energie,8,0)</f>
        <v>#N/A</v>
      </c>
      <c r="AN52" s="584" t="s">
        <v>1991</v>
      </c>
    </row>
    <row r="53" spans="1:40" s="37" customFormat="1" ht="15" customHeight="1">
      <c r="A53" s="55">
        <v>5100</v>
      </c>
      <c r="B53" s="194" t="s">
        <v>728</v>
      </c>
      <c r="C53" s="194" t="s">
        <v>784</v>
      </c>
      <c r="D53" s="194" t="s">
        <v>1541</v>
      </c>
      <c r="E53" s="194"/>
      <c r="F53" s="194"/>
      <c r="G53" s="165" t="e">
        <f t="shared" si="2"/>
        <v>#N/A</v>
      </c>
      <c r="H53" s="194" t="s">
        <v>727</v>
      </c>
      <c r="I53" s="357" t="s">
        <v>732</v>
      </c>
      <c r="J53" s="194"/>
      <c r="K53" s="55"/>
      <c r="L53" s="55"/>
      <c r="M53" s="165" t="e">
        <f t="shared" si="1"/>
        <v>#N/A</v>
      </c>
      <c r="N53" s="74" t="s">
        <v>103</v>
      </c>
      <c r="W53" s="69"/>
      <c r="X53" s="194"/>
      <c r="Y53" s="573" t="e">
        <f t="shared" si="6"/>
        <v>#N/A</v>
      </c>
      <c r="Z53" s="194" t="s">
        <v>1311</v>
      </c>
      <c r="AA53" s="67"/>
      <c r="AB53" s="194"/>
      <c r="AC53" s="165" t="e">
        <f>$AK$53*AC2</f>
        <v>#N/A</v>
      </c>
      <c r="AD53" s="194" t="s">
        <v>1311</v>
      </c>
      <c r="AE53" s="165" t="e">
        <f>$AM$53*AE2</f>
        <v>#N/A</v>
      </c>
      <c r="AF53" s="194" t="s">
        <v>1313</v>
      </c>
      <c r="AG53" s="573" t="e">
        <f>VLOOKUP("STTkWh",Energie,8,0)*VLOOKUP("BGFbeheizt",Objektkenndaten,5,0)*VLOOKUP("GWPSTROM",Energie,8,0)</f>
        <v>#N/A</v>
      </c>
      <c r="AH53" s="194" t="s">
        <v>1526</v>
      </c>
      <c r="AI53" s="69"/>
      <c r="AJ53" s="194"/>
      <c r="AK53" s="165" t="e">
        <f>VLOOKUP("STTkWh",Energie,8,0)*VLOOKUP("BGFbeheizt",Objektkenndaten,5,0)*VLOOKUP("GWPSTROM",Energie,8,0)</f>
        <v>#N/A</v>
      </c>
      <c r="AL53" s="194" t="s">
        <v>1526</v>
      </c>
      <c r="AM53" s="165" t="e">
        <f>VLOOKUP("STTkWh",Energie,8,0)*VLOOKUP("BGFbeheizt",Objektkenndaten,5,0)*VLOOKUP("PESTROM",Energie,8,0)</f>
        <v>#N/A</v>
      </c>
      <c r="AN53" s="584" t="s">
        <v>1991</v>
      </c>
    </row>
    <row r="54" spans="1:40" s="37" customFormat="1" ht="15" customHeight="1">
      <c r="A54" s="55">
        <v>5200</v>
      </c>
      <c r="B54" s="194" t="s">
        <v>728</v>
      </c>
      <c r="C54" s="194" t="s">
        <v>785</v>
      </c>
      <c r="D54" s="194" t="s">
        <v>1272</v>
      </c>
      <c r="E54" s="194"/>
      <c r="F54" s="194"/>
      <c r="G54" s="165" t="e">
        <f t="shared" si="2"/>
        <v>#N/A</v>
      </c>
      <c r="H54" s="194" t="s">
        <v>727</v>
      </c>
      <c r="I54" s="357" t="s">
        <v>732</v>
      </c>
      <c r="J54" s="194"/>
      <c r="K54" s="55"/>
      <c r="L54" s="55"/>
      <c r="M54" s="165" t="e">
        <f t="shared" si="1"/>
        <v>#N/A</v>
      </c>
      <c r="N54" s="74" t="s">
        <v>103</v>
      </c>
      <c r="W54" s="69"/>
      <c r="X54" s="194"/>
      <c r="Y54" s="573" t="e">
        <f t="shared" si="6"/>
        <v>#N/A</v>
      </c>
      <c r="Z54" s="194" t="s">
        <v>1311</v>
      </c>
      <c r="AA54" s="67"/>
      <c r="AB54" s="194"/>
      <c r="AC54" s="165" t="e">
        <f>$AK$54*AC2</f>
        <v>#N/A</v>
      </c>
      <c r="AD54" s="194" t="s">
        <v>1311</v>
      </c>
      <c r="AE54" s="165" t="e">
        <f>$AM$54*AE2</f>
        <v>#N/A</v>
      </c>
      <c r="AF54" s="194" t="s">
        <v>1313</v>
      </c>
      <c r="AG54" s="573" t="e">
        <f>VLOOKUP("AUFZkWh",Energie,8,0)*VLOOKUP("BGFbeheizt",Objektkenndaten,5,0)*VLOOKUP("GWPSTROM",Energie,8,0)</f>
        <v>#N/A</v>
      </c>
      <c r="AH54" s="194" t="s">
        <v>1526</v>
      </c>
      <c r="AI54" s="69"/>
      <c r="AJ54" s="194"/>
      <c r="AK54" s="165" t="e">
        <f>VLOOKUP("AUFZkWh",Energie,8,0)*VLOOKUP("BGFbeheizt",Objektkenndaten,5,0)*VLOOKUP("GWPSTROM",Energie,8,0)</f>
        <v>#N/A</v>
      </c>
      <c r="AL54" s="194" t="s">
        <v>1526</v>
      </c>
      <c r="AM54" s="165" t="e">
        <f>VLOOKUP("AUFZkWh",Energie,8,0)*VLOOKUP("BGFbeheizt",Objektkenndaten,5,0)*VLOOKUP("PESTROM",Energie,8,0)</f>
        <v>#N/A</v>
      </c>
      <c r="AN54" s="584" t="s">
        <v>1991</v>
      </c>
    </row>
    <row r="55" spans="1:40" s="37" customFormat="1" ht="15" customHeight="1">
      <c r="A55" s="55">
        <v>5300</v>
      </c>
      <c r="B55" s="194" t="s">
        <v>728</v>
      </c>
      <c r="C55" s="194" t="s">
        <v>786</v>
      </c>
      <c r="D55" s="194" t="s">
        <v>1650</v>
      </c>
      <c r="E55" s="194" t="s">
        <v>1175</v>
      </c>
      <c r="F55" s="194"/>
      <c r="G55" s="165" t="e">
        <f t="shared" si="2"/>
        <v>#N/A</v>
      </c>
      <c r="H55" s="194" t="s">
        <v>727</v>
      </c>
      <c r="I55" s="357" t="s">
        <v>732</v>
      </c>
      <c r="J55" s="194"/>
      <c r="K55" s="55"/>
      <c r="L55" s="55"/>
      <c r="M55" s="165" t="e">
        <f t="shared" si="1"/>
        <v>#N/A</v>
      </c>
      <c r="N55" s="74" t="s">
        <v>103</v>
      </c>
      <c r="W55" s="69"/>
      <c r="X55" s="194"/>
      <c r="Y55" s="573" t="e">
        <f t="shared" si="6"/>
        <v>#N/A</v>
      </c>
      <c r="Z55" s="194" t="s">
        <v>1311</v>
      </c>
      <c r="AA55" s="67"/>
      <c r="AB55" s="194"/>
      <c r="AC55" s="165" t="e">
        <f>$AK$55*AC2</f>
        <v>#N/A</v>
      </c>
      <c r="AD55" s="194" t="s">
        <v>1311</v>
      </c>
      <c r="AE55" s="165" t="e">
        <f>$AM$55*AE2</f>
        <v>#N/A</v>
      </c>
      <c r="AF55" s="194" t="s">
        <v>1313</v>
      </c>
      <c r="AG55" s="573" t="e">
        <f>VLOOKUP("HEIZkWh",Energie,8,0)*VLOOKUP("BGFbeheizt",Objektkenndaten,5,0)*VLOOKUP("GWPHEIZ",Energie,8,0)+VLOOKUP("HILFHEIZ",Energie,8,0)*VLOOKUP("BGFbeheizt",Objektkenndaten,5,0)*VLOOKUP("GWPSTROM",Energie,8,0)</f>
        <v>#N/A</v>
      </c>
      <c r="AH55" s="194" t="s">
        <v>1526</v>
      </c>
      <c r="AI55" s="69"/>
      <c r="AJ55" s="194"/>
      <c r="AK55" s="165" t="e">
        <f>VLOOKUP("HEIZkWh",Energie,8,0)*VLOOKUP("BGFbeheizt",Objektkenndaten,5,0)*VLOOKUP("GWPHEIZ",Energie,8,0)+VLOOKUP("HILFHEIZ",Energie,8,0)*VLOOKUP("BGFbeheizt",Objektkenndaten,5,0)*VLOOKUP("GWPSTROM",Energie,8,0)</f>
        <v>#N/A</v>
      </c>
      <c r="AL55" s="194" t="s">
        <v>1526</v>
      </c>
      <c r="AM55" s="165" t="e">
        <f>VLOOKUP("HEIZkWh",Energie,8,0)*VLOOKUP("BGFbeheizt",Objektkenndaten,5,0)*VLOOKUP("PEHEIZ",Energie,8,0)+VLOOKUP("HILFHEIZ",Energie,8,0)*VLOOKUP("BGFbeheizt",Objektkenndaten,5,0)*VLOOKUP("PESTROM",Energie,8,0)</f>
        <v>#N/A</v>
      </c>
      <c r="AN55" s="584" t="s">
        <v>1991</v>
      </c>
    </row>
    <row r="56" spans="1:40" s="37" customFormat="1" ht="15" customHeight="1">
      <c r="A56" s="55">
        <v>5400</v>
      </c>
      <c r="B56" s="194" t="s">
        <v>728</v>
      </c>
      <c r="C56" s="194" t="s">
        <v>787</v>
      </c>
      <c r="D56" s="194" t="s">
        <v>1651</v>
      </c>
      <c r="E56" s="194"/>
      <c r="F56" s="194"/>
      <c r="G56" s="165" t="e">
        <f t="shared" si="2"/>
        <v>#N/A</v>
      </c>
      <c r="H56" s="194" t="s">
        <v>727</v>
      </c>
      <c r="I56" s="357" t="s">
        <v>732</v>
      </c>
      <c r="J56" s="194"/>
      <c r="K56" s="55"/>
      <c r="L56" s="55"/>
      <c r="M56" s="165" t="e">
        <f t="shared" si="1"/>
        <v>#N/A</v>
      </c>
      <c r="N56" s="74" t="s">
        <v>103</v>
      </c>
      <c r="W56" s="69"/>
      <c r="X56" s="194"/>
      <c r="Y56" s="573" t="e">
        <f t="shared" si="6"/>
        <v>#N/A</v>
      </c>
      <c r="Z56" s="194" t="s">
        <v>1311</v>
      </c>
      <c r="AA56" s="67"/>
      <c r="AB56" s="194"/>
      <c r="AC56" s="165" t="e">
        <f>$AK$56*AC2</f>
        <v>#N/A</v>
      </c>
      <c r="AD56" s="194" t="s">
        <v>1311</v>
      </c>
      <c r="AE56" s="165" t="e">
        <f>$AM$56*AE2</f>
        <v>#N/A</v>
      </c>
      <c r="AF56" s="194" t="s">
        <v>1313</v>
      </c>
      <c r="AG56" s="573" t="e">
        <f>VLOOKUP("KÜHLkWh",Energie,8,0)*VLOOKUP("BGFgekühlt",Objektkenndaten,5,0)*VLOOKUP("GWPKÜHL",Energie,8,0)+VLOOKUP("HILFKÜHL",Energie,8,0)*VLOOKUP("BGFgekühlt",Objektkenndaten,5,0)*VLOOKUP("GWPSTROM",Energie,8,0)</f>
        <v>#N/A</v>
      </c>
      <c r="AH56" s="194" t="s">
        <v>1526</v>
      </c>
      <c r="AI56" s="69"/>
      <c r="AJ56" s="194"/>
      <c r="AK56" s="165" t="e">
        <f>VLOOKUP("KÜHLkWh",Energie,8,0)*VLOOKUP("BGFgekühlt",Objektkenndaten,5,0)*VLOOKUP("GWPKÜHL",Energie,8,0)+VLOOKUP("HILFKÜHL",Energie,8,0)*VLOOKUP("BGFgekühlt",Objektkenndaten,5,0)*VLOOKUP("GWPSTROM",Energie,8,0)</f>
        <v>#N/A</v>
      </c>
      <c r="AL56" s="194" t="s">
        <v>1526</v>
      </c>
      <c r="AM56" s="165" t="e">
        <f>VLOOKUP("KÜHLkWh",Energie,8,0)*VLOOKUP("BGFgekühlt",Objektkenndaten,5,0)*VLOOKUP("PEKÜHL",Energie,8,0)+VLOOKUP("HILFKÜHL",Energie,8,0)*VLOOKUP("BGFgekühlt",Objektkenndaten,5,0)*VLOOKUP("PESTROM",Energie,8,0)</f>
        <v>#N/A</v>
      </c>
      <c r="AN56" s="584" t="s">
        <v>1991</v>
      </c>
    </row>
    <row r="57" spans="1:40" s="37" customFormat="1" ht="15" customHeight="1">
      <c r="A57" s="55"/>
      <c r="B57" s="194" t="s">
        <v>728</v>
      </c>
      <c r="C57" s="194" t="s">
        <v>1201</v>
      </c>
      <c r="D57" s="194" t="s">
        <v>1194</v>
      </c>
      <c r="E57" s="194"/>
      <c r="F57" s="194"/>
      <c r="G57" s="165" t="e">
        <f t="shared" si="2"/>
        <v>#N/A</v>
      </c>
      <c r="H57" s="194" t="s">
        <v>727</v>
      </c>
      <c r="I57" s="357" t="s">
        <v>732</v>
      </c>
      <c r="J57" s="194"/>
      <c r="K57" s="55"/>
      <c r="L57" s="55"/>
      <c r="M57" s="165" t="e">
        <f t="shared" si="1"/>
        <v>#N/A</v>
      </c>
      <c r="N57" s="74" t="s">
        <v>103</v>
      </c>
      <c r="W57" s="69"/>
      <c r="X57" s="194"/>
      <c r="Y57" s="573" t="e">
        <f t="shared" si="6"/>
        <v>#N/A</v>
      </c>
      <c r="Z57" s="194" t="s">
        <v>1311</v>
      </c>
      <c r="AA57" s="67"/>
      <c r="AB57" s="194"/>
      <c r="AC57" s="165" t="e">
        <f>$AK$57*AC2</f>
        <v>#N/A</v>
      </c>
      <c r="AD57" s="194" t="s">
        <v>1311</v>
      </c>
      <c r="AE57" s="165" t="e">
        <f>$AM$57*AE2</f>
        <v>#N/A</v>
      </c>
      <c r="AF57" s="194" t="s">
        <v>1313</v>
      </c>
      <c r="AG57" s="573" t="e">
        <f>VLOOKUP("WWkWh",Energie,8,0)*VLOOKUP("BGFbeheizt",Objektkenndaten,5,0)*VLOOKUP("GWPWW",Energie,8,0)+VLOOKUP("HILFWW",Energie,8,0)*VLOOKUP("BGFbeheizt",Objektkenndaten,5,0)*VLOOKUP("GWPSTROM",Energie,8,0)</f>
        <v>#N/A</v>
      </c>
      <c r="AH57" s="194" t="s">
        <v>1526</v>
      </c>
      <c r="AI57" s="69"/>
      <c r="AJ57" s="194"/>
      <c r="AK57" s="165" t="e">
        <f>VLOOKUP("WWkWh",Energie,8,0)*VLOOKUP("BGFbeheizt",Objektkenndaten,5,0)*VLOOKUP("GWPWW",Energie,8,0)+VLOOKUP("HILFWW",Energie,8,0)*VLOOKUP("BGFbeheizt",Objektkenndaten,5,0)*VLOOKUP("GWPSTROM",Energie,8,0)</f>
        <v>#N/A</v>
      </c>
      <c r="AL57" s="194" t="s">
        <v>1526</v>
      </c>
      <c r="AM57" s="165" t="e">
        <f>VLOOKUP("WWkWh",Energie,8,0)*VLOOKUP("BGFbeheizt",Objektkenndaten,5,0)*VLOOKUP("PEWW",Energie,8,0)+VLOOKUP("HILFWW",Energie,8,0)*VLOOKUP("BGFbeheizt",Objektkenndaten,5,0)*VLOOKUP("PESTROM",Energie,8,0)</f>
        <v>#N/A</v>
      </c>
      <c r="AN57" s="584" t="s">
        <v>1991</v>
      </c>
    </row>
    <row r="58" spans="1:40" s="37" customFormat="1" ht="15" customHeight="1">
      <c r="A58" s="194"/>
      <c r="B58" s="194" t="s">
        <v>728</v>
      </c>
      <c r="C58" s="194" t="s">
        <v>2334</v>
      </c>
      <c r="D58" s="194" t="s">
        <v>1532</v>
      </c>
      <c r="E58" s="194" t="s">
        <v>1717</v>
      </c>
      <c r="F58" s="194"/>
      <c r="G58" s="165" t="e">
        <f t="shared" si="2"/>
        <v>#N/A</v>
      </c>
      <c r="H58" s="194" t="s">
        <v>727</v>
      </c>
      <c r="I58" s="357">
        <v>1</v>
      </c>
      <c r="J58" s="194"/>
      <c r="K58" s="55"/>
      <c r="L58" s="55"/>
      <c r="M58" s="165" t="e">
        <f t="shared" si="1"/>
        <v>#N/A</v>
      </c>
      <c r="N58" s="74" t="s">
        <v>103</v>
      </c>
      <c r="W58" s="69"/>
      <c r="X58" s="194"/>
      <c r="Y58" s="522"/>
      <c r="Z58" s="194"/>
      <c r="AA58" s="67"/>
      <c r="AB58" s="194"/>
      <c r="AC58" s="67"/>
      <c r="AD58" s="194"/>
      <c r="AE58" s="67"/>
      <c r="AF58" s="194"/>
      <c r="AG58" s="532"/>
      <c r="AH58" s="194"/>
      <c r="AI58" s="194"/>
      <c r="AJ58" s="194"/>
      <c r="AK58" s="194"/>
      <c r="AL58" s="194"/>
      <c r="AM58" s="194"/>
      <c r="AN58" s="584"/>
    </row>
    <row r="59" spans="1:40" s="37" customFormat="1" ht="15" customHeight="1">
      <c r="A59" s="293">
        <v>5500</v>
      </c>
      <c r="B59" s="172" t="s">
        <v>743</v>
      </c>
      <c r="C59" s="172" t="s">
        <v>788</v>
      </c>
      <c r="D59" s="172" t="s">
        <v>494</v>
      </c>
      <c r="E59" s="172"/>
      <c r="F59" s="172"/>
      <c r="G59" s="157">
        <f t="shared" si="2"/>
        <v>0</v>
      </c>
      <c r="H59" s="172" t="s">
        <v>727</v>
      </c>
      <c r="I59" s="172"/>
      <c r="J59" s="172"/>
      <c r="K59" s="293"/>
      <c r="L59" s="293"/>
      <c r="M59" s="157">
        <f t="shared" si="1"/>
        <v>0</v>
      </c>
      <c r="N59" s="427" t="s">
        <v>103</v>
      </c>
      <c r="W59" s="429"/>
      <c r="X59" s="421"/>
      <c r="Y59" s="592"/>
      <c r="Z59" s="421"/>
      <c r="AA59" s="429"/>
      <c r="AB59" s="421"/>
      <c r="AC59" s="429"/>
      <c r="AD59" s="421"/>
      <c r="AE59" s="429"/>
      <c r="AF59" s="421"/>
      <c r="AG59" s="575"/>
      <c r="AH59" s="421"/>
      <c r="AI59" s="421"/>
      <c r="AJ59" s="421"/>
      <c r="AK59" s="421"/>
      <c r="AL59" s="421"/>
      <c r="AM59" s="421"/>
      <c r="AN59" s="585"/>
    </row>
    <row r="60" spans="1:40" s="37" customFormat="1" ht="15" customHeight="1">
      <c r="A60" s="55"/>
      <c r="B60" s="194" t="s">
        <v>728</v>
      </c>
      <c r="C60" s="194" t="s">
        <v>1202</v>
      </c>
      <c r="D60" s="194" t="s">
        <v>1204</v>
      </c>
      <c r="E60" s="194"/>
      <c r="F60" s="194"/>
      <c r="G60" s="165">
        <f t="shared" si="2"/>
        <v>0</v>
      </c>
      <c r="H60" s="194" t="s">
        <v>727</v>
      </c>
      <c r="I60" s="357">
        <v>1</v>
      </c>
      <c r="J60" s="194"/>
      <c r="K60" s="55"/>
      <c r="L60" s="55"/>
      <c r="M60" s="165">
        <f t="shared" si="1"/>
        <v>0</v>
      </c>
      <c r="N60" s="74" t="s">
        <v>103</v>
      </c>
      <c r="W60" s="69"/>
      <c r="X60" s="194"/>
      <c r="Y60" s="522"/>
      <c r="Z60" s="194"/>
      <c r="AA60" s="67"/>
      <c r="AB60" s="194"/>
      <c r="AC60" s="67"/>
      <c r="AD60" s="194"/>
      <c r="AE60" s="67"/>
      <c r="AF60" s="194"/>
      <c r="AG60" s="532"/>
      <c r="AH60" s="194"/>
      <c r="AI60" s="194"/>
      <c r="AJ60" s="194"/>
      <c r="AK60" s="194"/>
      <c r="AL60" s="194"/>
      <c r="AM60" s="194"/>
      <c r="AN60" s="584"/>
    </row>
    <row r="61" spans="1:40" s="37" customFormat="1" ht="15" customHeight="1">
      <c r="A61" s="55"/>
      <c r="B61" s="194" t="s">
        <v>728</v>
      </c>
      <c r="C61" s="194" t="s">
        <v>1203</v>
      </c>
      <c r="D61" s="194" t="s">
        <v>1205</v>
      </c>
      <c r="E61" s="194"/>
      <c r="F61" s="194"/>
      <c r="G61" s="165">
        <f t="shared" si="2"/>
        <v>0</v>
      </c>
      <c r="H61" s="194" t="s">
        <v>727</v>
      </c>
      <c r="I61" s="357">
        <v>1</v>
      </c>
      <c r="J61" s="194"/>
      <c r="K61" s="55"/>
      <c r="L61" s="55"/>
      <c r="M61" s="165">
        <f t="shared" si="1"/>
        <v>0</v>
      </c>
      <c r="N61" s="74" t="s">
        <v>103</v>
      </c>
      <c r="W61" s="69"/>
      <c r="X61" s="194"/>
      <c r="Y61" s="522"/>
      <c r="Z61" s="194"/>
      <c r="AA61" s="67"/>
      <c r="AB61" s="194"/>
      <c r="AC61" s="67"/>
      <c r="AD61" s="194"/>
      <c r="AE61" s="67"/>
      <c r="AF61" s="194"/>
      <c r="AG61" s="532"/>
      <c r="AH61" s="194"/>
      <c r="AI61" s="194"/>
      <c r="AJ61" s="194"/>
      <c r="AK61" s="194"/>
      <c r="AL61" s="194"/>
      <c r="AM61" s="194"/>
      <c r="AN61" s="584"/>
    </row>
    <row r="62" spans="1:40" s="37" customFormat="1" ht="15" customHeight="1">
      <c r="A62" s="55">
        <v>5600</v>
      </c>
      <c r="B62" s="194" t="s">
        <v>728</v>
      </c>
      <c r="C62" s="194" t="s">
        <v>789</v>
      </c>
      <c r="D62" s="194" t="s">
        <v>513</v>
      </c>
      <c r="E62" s="194"/>
      <c r="F62" s="194"/>
      <c r="G62" s="165">
        <f t="shared" si="2"/>
        <v>0</v>
      </c>
      <c r="H62" s="194" t="s">
        <v>727</v>
      </c>
      <c r="I62" s="357" t="s">
        <v>732</v>
      </c>
      <c r="J62" s="194"/>
      <c r="K62" s="55"/>
      <c r="L62" s="55"/>
      <c r="M62" s="165">
        <f t="shared" si="1"/>
        <v>0</v>
      </c>
      <c r="N62" s="74" t="s">
        <v>103</v>
      </c>
      <c r="W62" s="69"/>
      <c r="X62" s="194"/>
      <c r="Y62" s="522"/>
      <c r="Z62" s="194"/>
      <c r="AA62" s="67"/>
      <c r="AB62" s="194"/>
      <c r="AC62" s="67"/>
      <c r="AD62" s="194"/>
      <c r="AE62" s="67"/>
      <c r="AF62" s="194"/>
      <c r="AG62" s="532"/>
      <c r="AH62" s="194"/>
      <c r="AI62" s="194"/>
      <c r="AJ62" s="194"/>
      <c r="AK62" s="194"/>
      <c r="AL62" s="194"/>
      <c r="AM62" s="194"/>
      <c r="AN62" s="584"/>
    </row>
    <row r="63" spans="1:40" s="37" customFormat="1" ht="15" customHeight="1">
      <c r="A63" s="55">
        <v>5700</v>
      </c>
      <c r="B63" s="194" t="s">
        <v>728</v>
      </c>
      <c r="C63" s="194" t="s">
        <v>790</v>
      </c>
      <c r="D63" s="194" t="s">
        <v>791</v>
      </c>
      <c r="E63" s="194"/>
      <c r="F63" s="194"/>
      <c r="G63" s="165">
        <f t="shared" si="2"/>
        <v>0</v>
      </c>
      <c r="H63" s="194" t="s">
        <v>727</v>
      </c>
      <c r="I63" s="354">
        <v>1</v>
      </c>
      <c r="J63" s="194"/>
      <c r="K63" s="55"/>
      <c r="L63" s="55"/>
      <c r="M63" s="165">
        <f t="shared" si="1"/>
        <v>0</v>
      </c>
      <c r="N63" s="74" t="s">
        <v>103</v>
      </c>
      <c r="W63" s="69"/>
      <c r="X63" s="194"/>
      <c r="Y63" s="522"/>
      <c r="Z63" s="194"/>
      <c r="AA63" s="67"/>
      <c r="AB63" s="194"/>
      <c r="AC63" s="67"/>
      <c r="AD63" s="194"/>
      <c r="AE63" s="67"/>
      <c r="AF63" s="194"/>
      <c r="AG63" s="532"/>
      <c r="AH63" s="194"/>
      <c r="AI63" s="194"/>
      <c r="AJ63" s="194"/>
      <c r="AK63" s="194"/>
      <c r="AL63" s="194"/>
      <c r="AM63" s="194"/>
      <c r="AN63" s="584"/>
    </row>
    <row r="64" spans="1:40" s="37" customFormat="1" ht="15" customHeight="1">
      <c r="A64" s="293">
        <v>5900</v>
      </c>
      <c r="B64" s="172" t="s">
        <v>724</v>
      </c>
      <c r="C64" s="172" t="s">
        <v>792</v>
      </c>
      <c r="D64" s="172" t="s">
        <v>793</v>
      </c>
      <c r="E64" s="172"/>
      <c r="F64" s="172"/>
      <c r="G64" s="158">
        <f t="shared" si="2"/>
        <v>0</v>
      </c>
      <c r="H64" s="172" t="s">
        <v>727</v>
      </c>
      <c r="I64" s="172"/>
      <c r="J64" s="172"/>
      <c r="K64" s="293"/>
      <c r="L64" s="293"/>
      <c r="M64" s="158">
        <f t="shared" si="1"/>
        <v>0</v>
      </c>
      <c r="N64" s="295" t="s">
        <v>103</v>
      </c>
      <c r="W64" s="171"/>
      <c r="X64" s="172"/>
      <c r="Y64" s="513">
        <f>SUM(Y65,Y70,Y73:Y74,Y77:Y79)</f>
        <v>0</v>
      </c>
      <c r="Z64" s="172" t="s">
        <v>1311</v>
      </c>
      <c r="AA64" s="171"/>
      <c r="AB64" s="172"/>
      <c r="AC64" s="158">
        <f>SUM(AC65,AC70,AC73:AC74,AC77:AC79)</f>
        <v>0</v>
      </c>
      <c r="AD64" s="172" t="s">
        <v>1311</v>
      </c>
      <c r="AE64" s="158">
        <f>SUM(AE65,AE70,AE73:AE74,AE77:AE79)</f>
        <v>0</v>
      </c>
      <c r="AF64" s="172" t="s">
        <v>1313</v>
      </c>
      <c r="AG64" s="513">
        <f>SUM(AG65,AG70,AG73:AG74,AG77:AG79)</f>
        <v>0</v>
      </c>
      <c r="AH64" s="172" t="s">
        <v>1526</v>
      </c>
      <c r="AI64" s="172"/>
      <c r="AJ64" s="172"/>
      <c r="AK64" s="158">
        <f>SUM(AK65,AK70,AK73:AK74,AK77:AK79)</f>
        <v>0</v>
      </c>
      <c r="AL64" s="172" t="s">
        <v>1526</v>
      </c>
      <c r="AM64" s="158">
        <f>SUM(AM65,AM70,AM73:AM74,AM77:AM79)</f>
        <v>0</v>
      </c>
      <c r="AN64" s="583" t="s">
        <v>1991</v>
      </c>
    </row>
    <row r="65" spans="1:40" s="37" customFormat="1" ht="15" customHeight="1">
      <c r="A65" s="293">
        <v>6000</v>
      </c>
      <c r="B65" s="172" t="s">
        <v>743</v>
      </c>
      <c r="C65" s="172" t="s">
        <v>794</v>
      </c>
      <c r="D65" s="172" t="s">
        <v>520</v>
      </c>
      <c r="E65" s="172"/>
      <c r="F65" s="172"/>
      <c r="G65" s="157">
        <f t="shared" si="2"/>
        <v>0</v>
      </c>
      <c r="H65" s="172" t="s">
        <v>727</v>
      </c>
      <c r="I65" s="172"/>
      <c r="J65" s="172"/>
      <c r="K65" s="293"/>
      <c r="L65" s="293"/>
      <c r="M65" s="157">
        <f t="shared" si="1"/>
        <v>0</v>
      </c>
      <c r="N65" s="295" t="s">
        <v>103</v>
      </c>
      <c r="W65" s="171"/>
      <c r="X65" s="172"/>
      <c r="Y65" s="574">
        <f>AG65*$Y$2</f>
        <v>0</v>
      </c>
      <c r="Z65" s="172" t="s">
        <v>1311</v>
      </c>
      <c r="AA65" s="171"/>
      <c r="AB65" s="172"/>
      <c r="AC65" s="355">
        <f>AK65*$AC$2</f>
        <v>0</v>
      </c>
      <c r="AD65" s="172" t="s">
        <v>1311</v>
      </c>
      <c r="AE65" s="355">
        <f>AM65*$AE$2</f>
        <v>0</v>
      </c>
      <c r="AF65" s="172" t="s">
        <v>1313</v>
      </c>
      <c r="AG65" s="574">
        <f>SUM(AG66:AG69)</f>
        <v>0</v>
      </c>
      <c r="AH65" s="172" t="s">
        <v>1526</v>
      </c>
      <c r="AI65" s="356"/>
      <c r="AJ65" s="172"/>
      <c r="AK65" s="355">
        <f>SUM(AK66:AK69)</f>
        <v>0</v>
      </c>
      <c r="AL65" s="172" t="s">
        <v>1526</v>
      </c>
      <c r="AM65" s="355">
        <f>SUM(AM66:AM69)</f>
        <v>0</v>
      </c>
      <c r="AN65" s="583" t="s">
        <v>1991</v>
      </c>
    </row>
    <row r="66" spans="1:40" s="37" customFormat="1" ht="15" customHeight="1">
      <c r="A66" s="55">
        <v>6100</v>
      </c>
      <c r="B66" s="194" t="s">
        <v>728</v>
      </c>
      <c r="C66" s="194" t="s">
        <v>795</v>
      </c>
      <c r="D66" s="194" t="s">
        <v>796</v>
      </c>
      <c r="E66" s="194"/>
      <c r="F66" s="194"/>
      <c r="G66" s="165">
        <f t="shared" si="2"/>
        <v>0</v>
      </c>
      <c r="H66" s="194" t="s">
        <v>727</v>
      </c>
      <c r="I66" s="354">
        <v>1</v>
      </c>
      <c r="J66" s="194"/>
      <c r="K66" s="55"/>
      <c r="L66" s="55"/>
      <c r="M66" s="165">
        <f t="shared" si="1"/>
        <v>0</v>
      </c>
      <c r="N66" s="74" t="s">
        <v>103</v>
      </c>
      <c r="W66" s="69"/>
      <c r="X66" s="194"/>
      <c r="Y66" s="573">
        <f>AG66*$Y$2</f>
        <v>0</v>
      </c>
      <c r="Z66" s="194" t="s">
        <v>1311</v>
      </c>
      <c r="AA66" s="69"/>
      <c r="AB66" s="194"/>
      <c r="AC66" s="165">
        <f>AK66*$AC$2</f>
        <v>0</v>
      </c>
      <c r="AD66" s="194" t="s">
        <v>1311</v>
      </c>
      <c r="AE66" s="165">
        <f>AM66*$AE$2</f>
        <v>0</v>
      </c>
      <c r="AF66" s="194" t="s">
        <v>1313</v>
      </c>
      <c r="AG66" s="573">
        <f>VLOOKUP(C66,Gebäudedienste,17,0)</f>
        <v>0</v>
      </c>
      <c r="AH66" s="194" t="s">
        <v>1526</v>
      </c>
      <c r="AI66" s="69"/>
      <c r="AJ66" s="194"/>
      <c r="AK66" s="165">
        <f>VLOOKUP(C66,Gebäudedienste,17,0)</f>
        <v>0</v>
      </c>
      <c r="AL66" s="194" t="s">
        <v>1526</v>
      </c>
      <c r="AM66" s="165">
        <f>VLOOKUP(C66,Gebäudedienste,24,0)</f>
        <v>0</v>
      </c>
      <c r="AN66" s="584" t="s">
        <v>1991</v>
      </c>
    </row>
    <row r="67" spans="1:40" s="37" customFormat="1" ht="15" customHeight="1">
      <c r="A67" s="55">
        <v>6200</v>
      </c>
      <c r="B67" s="194" t="s">
        <v>728</v>
      </c>
      <c r="C67" s="194" t="s">
        <v>797</v>
      </c>
      <c r="D67" s="194" t="s">
        <v>798</v>
      </c>
      <c r="E67" s="194"/>
      <c r="F67" s="194"/>
      <c r="G67" s="165">
        <f t="shared" si="2"/>
        <v>0</v>
      </c>
      <c r="H67" s="194" t="s">
        <v>727</v>
      </c>
      <c r="I67" s="354">
        <v>1</v>
      </c>
      <c r="J67" s="194"/>
      <c r="K67" s="55"/>
      <c r="L67" s="55"/>
      <c r="M67" s="165">
        <f t="shared" si="1"/>
        <v>0</v>
      </c>
      <c r="N67" s="74" t="s">
        <v>103</v>
      </c>
      <c r="W67" s="69"/>
      <c r="X67" s="194"/>
      <c r="Y67" s="573">
        <f>AG67*$Y$2</f>
        <v>0</v>
      </c>
      <c r="Z67" s="194" t="s">
        <v>1311</v>
      </c>
      <c r="AA67" s="69"/>
      <c r="AB67" s="194"/>
      <c r="AC67" s="165">
        <f>AK67*$AC$2</f>
        <v>0</v>
      </c>
      <c r="AD67" s="194" t="s">
        <v>1311</v>
      </c>
      <c r="AE67" s="165">
        <f>AM67*$AE$2</f>
        <v>0</v>
      </c>
      <c r="AF67" s="194" t="s">
        <v>1313</v>
      </c>
      <c r="AG67" s="573">
        <f>VLOOKUP(C67,Gebäudedienste,17,0)</f>
        <v>0</v>
      </c>
      <c r="AH67" s="194" t="s">
        <v>1526</v>
      </c>
      <c r="AI67" s="69"/>
      <c r="AJ67" s="194"/>
      <c r="AK67" s="165">
        <f>VLOOKUP(C67,Gebäudedienste,17,0)</f>
        <v>0</v>
      </c>
      <c r="AL67" s="194" t="s">
        <v>1526</v>
      </c>
      <c r="AM67" s="165">
        <f>VLOOKUP(C67,Gebäudedienste,24,0)</f>
        <v>0</v>
      </c>
      <c r="AN67" s="584" t="s">
        <v>1991</v>
      </c>
    </row>
    <row r="68" spans="1:40" s="37" customFormat="1" ht="15" customHeight="1">
      <c r="A68" s="55">
        <v>6300</v>
      </c>
      <c r="B68" s="194" t="s">
        <v>728</v>
      </c>
      <c r="C68" s="194" t="s">
        <v>799</v>
      </c>
      <c r="D68" s="194" t="s">
        <v>800</v>
      </c>
      <c r="E68" s="194"/>
      <c r="F68" s="194"/>
      <c r="G68" s="165">
        <f t="shared" ref="G68:G89" si="7">VLOOKUP(C68,Folgekosten,5,0)</f>
        <v>0</v>
      </c>
      <c r="H68" s="194" t="s">
        <v>727</v>
      </c>
      <c r="I68" s="354">
        <v>1</v>
      </c>
      <c r="J68" s="194"/>
      <c r="K68" s="55"/>
      <c r="L68" s="55"/>
      <c r="M68" s="165">
        <f t="shared" ref="M68:M131" si="8">VLOOKUP(C68,Folgekosten,13,0)</f>
        <v>0</v>
      </c>
      <c r="N68" s="74" t="s">
        <v>103</v>
      </c>
      <c r="W68" s="69"/>
      <c r="X68" s="194"/>
      <c r="Y68" s="573">
        <f>AG68*$Y$2</f>
        <v>0</v>
      </c>
      <c r="Z68" s="194" t="s">
        <v>1311</v>
      </c>
      <c r="AA68" s="69"/>
      <c r="AB68" s="194"/>
      <c r="AC68" s="165">
        <f>AK68*$AC$2</f>
        <v>0</v>
      </c>
      <c r="AD68" s="194" t="s">
        <v>1311</v>
      </c>
      <c r="AE68" s="165">
        <f>AM68*$AE$2</f>
        <v>0</v>
      </c>
      <c r="AF68" s="194" t="s">
        <v>1313</v>
      </c>
      <c r="AG68" s="573">
        <f>VLOOKUP(C68,Gebäudedienste,17,0)</f>
        <v>0</v>
      </c>
      <c r="AH68" s="194" t="s">
        <v>1526</v>
      </c>
      <c r="AI68" s="69"/>
      <c r="AJ68" s="194"/>
      <c r="AK68" s="165">
        <f>VLOOKUP(C68,Gebäudedienste,17,0)</f>
        <v>0</v>
      </c>
      <c r="AL68" s="194" t="s">
        <v>1526</v>
      </c>
      <c r="AM68" s="165">
        <f>VLOOKUP(C68,Gebäudedienste,24,0)</f>
        <v>0</v>
      </c>
      <c r="AN68" s="584" t="s">
        <v>1991</v>
      </c>
    </row>
    <row r="69" spans="1:40" s="37" customFormat="1" ht="15" customHeight="1">
      <c r="A69" s="55">
        <v>6400</v>
      </c>
      <c r="B69" s="194" t="s">
        <v>728</v>
      </c>
      <c r="C69" s="194" t="s">
        <v>801</v>
      </c>
      <c r="D69" s="194" t="s">
        <v>2166</v>
      </c>
      <c r="E69" s="194"/>
      <c r="F69" s="194"/>
      <c r="G69" s="165">
        <f t="shared" si="7"/>
        <v>0</v>
      </c>
      <c r="H69" s="194" t="s">
        <v>727</v>
      </c>
      <c r="I69" s="354">
        <v>1</v>
      </c>
      <c r="J69" s="194"/>
      <c r="K69" s="55"/>
      <c r="L69" s="55"/>
      <c r="M69" s="165">
        <f t="shared" si="8"/>
        <v>0</v>
      </c>
      <c r="N69" s="74" t="s">
        <v>103</v>
      </c>
      <c r="W69" s="69"/>
      <c r="X69" s="194"/>
      <c r="Y69" s="573">
        <f>AG69*$Y$2</f>
        <v>0</v>
      </c>
      <c r="Z69" s="194" t="s">
        <v>1311</v>
      </c>
      <c r="AA69" s="69"/>
      <c r="AB69" s="194"/>
      <c r="AC69" s="165">
        <f>AK69*$AC$2</f>
        <v>0</v>
      </c>
      <c r="AD69" s="194" t="s">
        <v>1311</v>
      </c>
      <c r="AE69" s="165">
        <f>AM69*$AE$2</f>
        <v>0</v>
      </c>
      <c r="AF69" s="194" t="s">
        <v>1313</v>
      </c>
      <c r="AG69" s="573">
        <f>VLOOKUP(C69,Gebäudedienste,17,0)</f>
        <v>0</v>
      </c>
      <c r="AH69" s="194" t="s">
        <v>1526</v>
      </c>
      <c r="AI69" s="69"/>
      <c r="AJ69" s="194"/>
      <c r="AK69" s="165">
        <f>VLOOKUP(C69,Gebäudedienste,17,0)</f>
        <v>0</v>
      </c>
      <c r="AL69" s="194" t="s">
        <v>1526</v>
      </c>
      <c r="AM69" s="165">
        <f>VLOOKUP(C69,Gebäudedienste,24,0)</f>
        <v>0</v>
      </c>
      <c r="AN69" s="584" t="s">
        <v>1991</v>
      </c>
    </row>
    <row r="70" spans="1:40" s="37" customFormat="1" ht="15" customHeight="1">
      <c r="A70" s="293">
        <v>6600</v>
      </c>
      <c r="B70" s="172" t="s">
        <v>743</v>
      </c>
      <c r="C70" s="172" t="s">
        <v>803</v>
      </c>
      <c r="D70" s="172" t="s">
        <v>804</v>
      </c>
      <c r="E70" s="172"/>
      <c r="F70" s="172"/>
      <c r="G70" s="157">
        <f t="shared" si="7"/>
        <v>0</v>
      </c>
      <c r="H70" s="172" t="s">
        <v>727</v>
      </c>
      <c r="I70" s="172"/>
      <c r="J70" s="172"/>
      <c r="K70" s="293"/>
      <c r="L70" s="293"/>
      <c r="M70" s="157">
        <f t="shared" si="8"/>
        <v>0</v>
      </c>
      <c r="N70" s="427" t="s">
        <v>103</v>
      </c>
      <c r="W70" s="429"/>
      <c r="X70" s="421"/>
      <c r="Y70" s="574">
        <f>SUM(Y71:Y72)</f>
        <v>0</v>
      </c>
      <c r="Z70" s="421" t="s">
        <v>1311</v>
      </c>
      <c r="AA70" s="429"/>
      <c r="AB70" s="421"/>
      <c r="AC70" s="355">
        <f>SUM(AC71:AC72)</f>
        <v>0</v>
      </c>
      <c r="AD70" s="172" t="s">
        <v>1311</v>
      </c>
      <c r="AE70" s="355">
        <f>SUM(AE71:AE72)</f>
        <v>0</v>
      </c>
      <c r="AF70" s="172" t="s">
        <v>1313</v>
      </c>
      <c r="AG70" s="576">
        <f>SUM(AG71:AG72)</f>
        <v>0</v>
      </c>
      <c r="AH70" s="421" t="s">
        <v>1526</v>
      </c>
      <c r="AI70" s="421"/>
      <c r="AJ70" s="421"/>
      <c r="AK70" s="428">
        <f>SUM(AK71:AK72)</f>
        <v>0</v>
      </c>
      <c r="AL70" s="421" t="s">
        <v>1526</v>
      </c>
      <c r="AM70" s="428">
        <f>SUM(AM71:AM72)</f>
        <v>0</v>
      </c>
      <c r="AN70" s="585" t="s">
        <v>1991</v>
      </c>
    </row>
    <row r="71" spans="1:40" s="37" customFormat="1" ht="15" customHeight="1">
      <c r="A71" s="55">
        <v>6700</v>
      </c>
      <c r="B71" s="194" t="s">
        <v>728</v>
      </c>
      <c r="C71" s="194" t="s">
        <v>805</v>
      </c>
      <c r="D71" s="194" t="s">
        <v>582</v>
      </c>
      <c r="E71" s="194"/>
      <c r="F71" s="194"/>
      <c r="G71" s="165">
        <f t="shared" si="7"/>
        <v>0</v>
      </c>
      <c r="H71" s="194" t="s">
        <v>727</v>
      </c>
      <c r="I71" s="354">
        <v>1</v>
      </c>
      <c r="J71" s="194"/>
      <c r="K71" s="55"/>
      <c r="L71" s="55"/>
      <c r="M71" s="165">
        <f t="shared" si="8"/>
        <v>0</v>
      </c>
      <c r="N71" s="74" t="s">
        <v>103</v>
      </c>
      <c r="W71" s="69"/>
      <c r="X71" s="194"/>
      <c r="Y71" s="573">
        <f>AG71*$Y$2</f>
        <v>0</v>
      </c>
      <c r="Z71" s="194" t="s">
        <v>1311</v>
      </c>
      <c r="AA71" s="69"/>
      <c r="AB71" s="194"/>
      <c r="AC71" s="165">
        <f>AK71*$AC$2</f>
        <v>0</v>
      </c>
      <c r="AD71" s="194" t="s">
        <v>1311</v>
      </c>
      <c r="AE71" s="165">
        <f>AM71*$AE$2</f>
        <v>0</v>
      </c>
      <c r="AF71" s="194" t="s">
        <v>1313</v>
      </c>
      <c r="AG71" s="573">
        <f>VLOOKUP(C71,Gebäudedienste,17,0)</f>
        <v>0</v>
      </c>
      <c r="AH71" s="194" t="s">
        <v>1526</v>
      </c>
      <c r="AI71" s="69"/>
      <c r="AJ71" s="194"/>
      <c r="AK71" s="165">
        <f>VLOOKUP(C71,Gebäudedienste,17,0)</f>
        <v>0</v>
      </c>
      <c r="AL71" s="194" t="s">
        <v>1526</v>
      </c>
      <c r="AM71" s="165">
        <f>VLOOKUP(C71,Gebäudedienste,24,0)</f>
        <v>0</v>
      </c>
      <c r="AN71" s="584" t="s">
        <v>1991</v>
      </c>
    </row>
    <row r="72" spans="1:40" s="37" customFormat="1" ht="15" customHeight="1">
      <c r="A72" s="55">
        <v>6800</v>
      </c>
      <c r="B72" s="194" t="s">
        <v>728</v>
      </c>
      <c r="C72" s="194" t="s">
        <v>806</v>
      </c>
      <c r="D72" s="194" t="s">
        <v>807</v>
      </c>
      <c r="E72" s="194"/>
      <c r="F72" s="194"/>
      <c r="G72" s="165">
        <f t="shared" si="7"/>
        <v>0</v>
      </c>
      <c r="H72" s="194" t="s">
        <v>727</v>
      </c>
      <c r="I72" s="354">
        <v>1</v>
      </c>
      <c r="J72" s="194"/>
      <c r="K72" s="55"/>
      <c r="L72" s="55"/>
      <c r="M72" s="165">
        <f t="shared" si="8"/>
        <v>0</v>
      </c>
      <c r="N72" s="74" t="s">
        <v>103</v>
      </c>
      <c r="W72" s="69"/>
      <c r="X72" s="194"/>
      <c r="Y72" s="573">
        <f>AG72*$Y$2</f>
        <v>0</v>
      </c>
      <c r="Z72" s="194" t="s">
        <v>1311</v>
      </c>
      <c r="AA72" s="69"/>
      <c r="AB72" s="194"/>
      <c r="AC72" s="165">
        <f>AK72*$AC$2</f>
        <v>0</v>
      </c>
      <c r="AD72" s="194" t="s">
        <v>1311</v>
      </c>
      <c r="AE72" s="165">
        <f>AM72*$AE$2</f>
        <v>0</v>
      </c>
      <c r="AF72" s="194" t="s">
        <v>1313</v>
      </c>
      <c r="AG72" s="573">
        <f>VLOOKUP(C72,Gebäudedienste,17,0)</f>
        <v>0</v>
      </c>
      <c r="AH72" s="194" t="s">
        <v>1526</v>
      </c>
      <c r="AI72" s="69"/>
      <c r="AJ72" s="194"/>
      <c r="AK72" s="165">
        <f>VLOOKUP(C72,Gebäudedienste,17,0)</f>
        <v>0</v>
      </c>
      <c r="AL72" s="194" t="s">
        <v>1526</v>
      </c>
      <c r="AM72" s="165">
        <f>VLOOKUP(C72,Gebäudedienste,24,0)</f>
        <v>0</v>
      </c>
      <c r="AN72" s="584" t="s">
        <v>1991</v>
      </c>
    </row>
    <row r="73" spans="1:40" s="37" customFormat="1" ht="15" customHeight="1">
      <c r="A73" s="55">
        <v>7000</v>
      </c>
      <c r="B73" s="194" t="s">
        <v>728</v>
      </c>
      <c r="C73" s="194" t="s">
        <v>808</v>
      </c>
      <c r="D73" s="194" t="s">
        <v>608</v>
      </c>
      <c r="E73" s="194"/>
      <c r="F73" s="194"/>
      <c r="G73" s="165">
        <f t="shared" si="7"/>
        <v>0</v>
      </c>
      <c r="H73" s="194" t="s">
        <v>727</v>
      </c>
      <c r="I73" s="354">
        <v>1</v>
      </c>
      <c r="J73" s="194"/>
      <c r="K73" s="55"/>
      <c r="L73" s="55"/>
      <c r="M73" s="165">
        <f t="shared" si="8"/>
        <v>0</v>
      </c>
      <c r="N73" s="74" t="s">
        <v>103</v>
      </c>
      <c r="W73" s="69"/>
      <c r="X73" s="194"/>
      <c r="Y73" s="573">
        <f>AG73*$Y$2</f>
        <v>0</v>
      </c>
      <c r="Z73" s="194" t="s">
        <v>1311</v>
      </c>
      <c r="AA73" s="69"/>
      <c r="AB73" s="194"/>
      <c r="AC73" s="165">
        <f>AK73*$AC$2</f>
        <v>0</v>
      </c>
      <c r="AD73" s="194" t="s">
        <v>1311</v>
      </c>
      <c r="AE73" s="165">
        <f>AM73*$AE$2</f>
        <v>0</v>
      </c>
      <c r="AF73" s="194" t="s">
        <v>1313</v>
      </c>
      <c r="AG73" s="573">
        <f>VLOOKUP(C73,Gebäudedienste,17,0)</f>
        <v>0</v>
      </c>
      <c r="AH73" s="194" t="s">
        <v>1526</v>
      </c>
      <c r="AI73" s="69"/>
      <c r="AJ73" s="194"/>
      <c r="AK73" s="165">
        <f>VLOOKUP(C73,Gebäudedienste,17,0)</f>
        <v>0</v>
      </c>
      <c r="AL73" s="194" t="s">
        <v>1526</v>
      </c>
      <c r="AM73" s="165">
        <f>VLOOKUP(C73,Gebäudedienste,24,0)</f>
        <v>0</v>
      </c>
      <c r="AN73" s="584" t="s">
        <v>1991</v>
      </c>
    </row>
    <row r="74" spans="1:40" s="37" customFormat="1" ht="15" customHeight="1">
      <c r="A74" s="293">
        <v>7200</v>
      </c>
      <c r="B74" s="172" t="s">
        <v>743</v>
      </c>
      <c r="C74" s="172" t="s">
        <v>809</v>
      </c>
      <c r="D74" s="172" t="s">
        <v>810</v>
      </c>
      <c r="E74" s="172"/>
      <c r="F74" s="172"/>
      <c r="G74" s="157">
        <f t="shared" si="7"/>
        <v>0</v>
      </c>
      <c r="H74" s="172" t="s">
        <v>727</v>
      </c>
      <c r="I74" s="172"/>
      <c r="J74" s="172"/>
      <c r="K74" s="293"/>
      <c r="L74" s="293"/>
      <c r="M74" s="157">
        <f t="shared" si="8"/>
        <v>0</v>
      </c>
      <c r="N74" s="427" t="s">
        <v>103</v>
      </c>
      <c r="W74" s="429"/>
      <c r="X74" s="421"/>
      <c r="Y74" s="574">
        <f>SUM(Y75:Y76)</f>
        <v>0</v>
      </c>
      <c r="Z74" s="172" t="s">
        <v>1311</v>
      </c>
      <c r="AA74" s="429"/>
      <c r="AB74" s="421"/>
      <c r="AC74" s="355">
        <f>SUM(AC75:AC76)</f>
        <v>0</v>
      </c>
      <c r="AD74" s="421" t="s">
        <v>1311</v>
      </c>
      <c r="AE74" s="355">
        <f>SUM(AE75:AE76)</f>
        <v>0</v>
      </c>
      <c r="AF74" s="421" t="s">
        <v>1313</v>
      </c>
      <c r="AG74" s="576">
        <f>SUM(AG75:AG76)</f>
        <v>0</v>
      </c>
      <c r="AH74" s="421" t="s">
        <v>1526</v>
      </c>
      <c r="AI74" s="421"/>
      <c r="AJ74" s="421"/>
      <c r="AK74" s="428">
        <f>SUM(AK75:AK76)</f>
        <v>0</v>
      </c>
      <c r="AL74" s="421" t="s">
        <v>1526</v>
      </c>
      <c r="AM74" s="428">
        <f>SUM(AM75:AM76)</f>
        <v>0</v>
      </c>
      <c r="AN74" s="585" t="s">
        <v>1991</v>
      </c>
    </row>
    <row r="75" spans="1:40" s="37" customFormat="1" ht="15" customHeight="1">
      <c r="A75" s="55">
        <v>7300</v>
      </c>
      <c r="B75" s="194" t="s">
        <v>728</v>
      </c>
      <c r="C75" s="194" t="s">
        <v>811</v>
      </c>
      <c r="D75" s="194" t="s">
        <v>812</v>
      </c>
      <c r="E75" s="194"/>
      <c r="F75" s="194"/>
      <c r="G75" s="165">
        <f t="shared" si="7"/>
        <v>0</v>
      </c>
      <c r="H75" s="194" t="s">
        <v>727</v>
      </c>
      <c r="I75" s="354">
        <v>1</v>
      </c>
      <c r="J75" s="194"/>
      <c r="K75" s="55"/>
      <c r="L75" s="55"/>
      <c r="M75" s="165">
        <f t="shared" si="8"/>
        <v>0</v>
      </c>
      <c r="N75" s="74" t="s">
        <v>103</v>
      </c>
      <c r="W75" s="69"/>
      <c r="X75" s="194"/>
      <c r="Y75" s="573">
        <f>AG75*$Y$2</f>
        <v>0</v>
      </c>
      <c r="Z75" s="194" t="s">
        <v>1311</v>
      </c>
      <c r="AA75" s="69"/>
      <c r="AB75" s="194"/>
      <c r="AC75" s="165">
        <f>AK75*$AC$2</f>
        <v>0</v>
      </c>
      <c r="AD75" s="194" t="s">
        <v>1311</v>
      </c>
      <c r="AE75" s="165">
        <f>AM75*$AE$2</f>
        <v>0</v>
      </c>
      <c r="AF75" s="194" t="s">
        <v>1313</v>
      </c>
      <c r="AG75" s="573">
        <f>VLOOKUP(C75,Gebäudedienste,17,0)</f>
        <v>0</v>
      </c>
      <c r="AH75" s="194" t="s">
        <v>1526</v>
      </c>
      <c r="AI75" s="69"/>
      <c r="AJ75" s="194"/>
      <c r="AK75" s="165">
        <f>VLOOKUP(C75,Gebäudedienste,17,0)</f>
        <v>0</v>
      </c>
      <c r="AL75" s="194" t="s">
        <v>1526</v>
      </c>
      <c r="AM75" s="165">
        <f>VLOOKUP(C75,Gebäudedienste,24,0)</f>
        <v>0</v>
      </c>
      <c r="AN75" s="584" t="s">
        <v>1991</v>
      </c>
    </row>
    <row r="76" spans="1:40" s="37" customFormat="1" ht="15" customHeight="1">
      <c r="A76" s="55"/>
      <c r="B76" s="194" t="s">
        <v>728</v>
      </c>
      <c r="C76" s="194" t="s">
        <v>2351</v>
      </c>
      <c r="D76" s="194" t="s">
        <v>2352</v>
      </c>
      <c r="E76" s="194"/>
      <c r="F76" s="194"/>
      <c r="G76" s="165">
        <f t="shared" ref="G76" si="9">VLOOKUP(C76,Folgekosten,5,0)</f>
        <v>0</v>
      </c>
      <c r="H76" s="194" t="s">
        <v>727</v>
      </c>
      <c r="I76" s="354">
        <v>1</v>
      </c>
      <c r="J76" s="194"/>
      <c r="K76" s="55"/>
      <c r="L76" s="55"/>
      <c r="M76" s="165">
        <f t="shared" ref="M76" si="10">VLOOKUP(C76,Folgekosten,13,0)</f>
        <v>0</v>
      </c>
      <c r="N76" s="74" t="s">
        <v>103</v>
      </c>
      <c r="W76" s="69"/>
      <c r="X76" s="194"/>
      <c r="Y76" s="573">
        <f>AG76*$Y$2</f>
        <v>0</v>
      </c>
      <c r="Z76" s="194" t="s">
        <v>1311</v>
      </c>
      <c r="AA76" s="69"/>
      <c r="AB76" s="194"/>
      <c r="AC76" s="165">
        <f>AK76*$AC$2</f>
        <v>0</v>
      </c>
      <c r="AD76" s="194" t="s">
        <v>1311</v>
      </c>
      <c r="AE76" s="165">
        <f>AM76*$AE$2</f>
        <v>0</v>
      </c>
      <c r="AF76" s="194" t="s">
        <v>1313</v>
      </c>
      <c r="AG76" s="573">
        <f>VLOOKUP(C76,Gebäudedienste,17,0)</f>
        <v>0</v>
      </c>
      <c r="AH76" s="194" t="s">
        <v>1526</v>
      </c>
      <c r="AI76" s="69"/>
      <c r="AJ76" s="194"/>
      <c r="AK76" s="165">
        <f>VLOOKUP(C76,Gebäudedienste,17,0)</f>
        <v>0</v>
      </c>
      <c r="AL76" s="194" t="s">
        <v>1526</v>
      </c>
      <c r="AM76" s="165">
        <f>VLOOKUP(C76,Gebäudedienste,24,0)</f>
        <v>0</v>
      </c>
      <c r="AN76" s="584" t="s">
        <v>1991</v>
      </c>
    </row>
    <row r="77" spans="1:40" s="37" customFormat="1" ht="15" customHeight="1">
      <c r="A77" s="55">
        <v>7500</v>
      </c>
      <c r="B77" s="194" t="s">
        <v>728</v>
      </c>
      <c r="C77" s="194" t="s">
        <v>813</v>
      </c>
      <c r="D77" s="194" t="s">
        <v>814</v>
      </c>
      <c r="E77" s="194"/>
      <c r="F77" s="194"/>
      <c r="G77" s="165">
        <f t="shared" si="7"/>
        <v>0</v>
      </c>
      <c r="H77" s="194" t="s">
        <v>727</v>
      </c>
      <c r="I77" s="354">
        <v>1</v>
      </c>
      <c r="J77" s="194"/>
      <c r="K77" s="55"/>
      <c r="L77" s="55"/>
      <c r="M77" s="165">
        <f t="shared" si="8"/>
        <v>0</v>
      </c>
      <c r="N77" s="74" t="s">
        <v>103</v>
      </c>
      <c r="W77" s="69"/>
      <c r="X77" s="194"/>
      <c r="Y77" s="573">
        <f>AG77*$Y$2</f>
        <v>0</v>
      </c>
      <c r="Z77" s="194" t="s">
        <v>1311</v>
      </c>
      <c r="AA77" s="69"/>
      <c r="AB77" s="194"/>
      <c r="AC77" s="165">
        <f>AK77*$AC$2</f>
        <v>0</v>
      </c>
      <c r="AD77" s="194" t="s">
        <v>1311</v>
      </c>
      <c r="AE77" s="165">
        <f>AM77*$AE$2</f>
        <v>0</v>
      </c>
      <c r="AF77" s="194" t="s">
        <v>1313</v>
      </c>
      <c r="AG77" s="573">
        <f>VLOOKUP(C77,Gebäudedienste,17,0)</f>
        <v>0</v>
      </c>
      <c r="AH77" s="194" t="s">
        <v>1526</v>
      </c>
      <c r="AI77" s="69"/>
      <c r="AJ77" s="194"/>
      <c r="AK77" s="165">
        <f>VLOOKUP(C77,Gebäudedienste,17,0)</f>
        <v>0</v>
      </c>
      <c r="AL77" s="194" t="s">
        <v>1526</v>
      </c>
      <c r="AM77" s="165">
        <f>VLOOKUP(C77,Gebäudedienste,24,0)</f>
        <v>0</v>
      </c>
      <c r="AN77" s="584" t="s">
        <v>1991</v>
      </c>
    </row>
    <row r="78" spans="1:40" s="37" customFormat="1" ht="15" customHeight="1">
      <c r="A78" s="55">
        <v>7600</v>
      </c>
      <c r="B78" s="194" t="s">
        <v>728</v>
      </c>
      <c r="C78" s="194" t="s">
        <v>816</v>
      </c>
      <c r="D78" s="194" t="s">
        <v>817</v>
      </c>
      <c r="E78" s="194"/>
      <c r="F78" s="194"/>
      <c r="G78" s="165">
        <f t="shared" si="7"/>
        <v>0</v>
      </c>
      <c r="H78" s="194" t="s">
        <v>727</v>
      </c>
      <c r="I78" s="354">
        <v>1</v>
      </c>
      <c r="J78" s="194"/>
      <c r="K78" s="55"/>
      <c r="L78" s="55"/>
      <c r="M78" s="165">
        <f t="shared" si="8"/>
        <v>0</v>
      </c>
      <c r="N78" s="74" t="s">
        <v>103</v>
      </c>
      <c r="W78" s="69"/>
      <c r="X78" s="194"/>
      <c r="Y78" s="573">
        <f>AG78*$Y$2</f>
        <v>0</v>
      </c>
      <c r="Z78" s="194" t="s">
        <v>1311</v>
      </c>
      <c r="AA78" s="69"/>
      <c r="AB78" s="194"/>
      <c r="AC78" s="165">
        <f>AK78*$AC$2</f>
        <v>0</v>
      </c>
      <c r="AD78" s="194" t="s">
        <v>1311</v>
      </c>
      <c r="AE78" s="165">
        <f>AM78*$AE$2</f>
        <v>0</v>
      </c>
      <c r="AF78" s="194" t="s">
        <v>1313</v>
      </c>
      <c r="AG78" s="573">
        <f>VLOOKUP(C78,Gebäudedienste,17,0)</f>
        <v>0</v>
      </c>
      <c r="AH78" s="194" t="s">
        <v>1526</v>
      </c>
      <c r="AI78" s="69"/>
      <c r="AJ78" s="194"/>
      <c r="AK78" s="165">
        <f>VLOOKUP(C78,Gebäudedienste,17,0)</f>
        <v>0</v>
      </c>
      <c r="AL78" s="194" t="s">
        <v>1526</v>
      </c>
      <c r="AM78" s="165">
        <f>VLOOKUP(C78,Gebäudedienste,24,0)</f>
        <v>0</v>
      </c>
      <c r="AN78" s="584" t="s">
        <v>1991</v>
      </c>
    </row>
    <row r="79" spans="1:40" s="37" customFormat="1" ht="15" customHeight="1">
      <c r="A79" s="55">
        <v>7700</v>
      </c>
      <c r="B79" s="194" t="s">
        <v>728</v>
      </c>
      <c r="C79" s="194" t="s">
        <v>819</v>
      </c>
      <c r="D79" s="194" t="s">
        <v>820</v>
      </c>
      <c r="E79" s="194"/>
      <c r="F79" s="194"/>
      <c r="G79" s="165">
        <f t="shared" si="7"/>
        <v>0</v>
      </c>
      <c r="H79" s="194" t="s">
        <v>727</v>
      </c>
      <c r="I79" s="354">
        <v>1</v>
      </c>
      <c r="J79" s="194"/>
      <c r="K79" s="55"/>
      <c r="L79" s="55"/>
      <c r="M79" s="165">
        <f t="shared" si="8"/>
        <v>0</v>
      </c>
      <c r="N79" s="74" t="s">
        <v>103</v>
      </c>
      <c r="W79" s="69"/>
      <c r="X79" s="194"/>
      <c r="Y79" s="573">
        <f>AG79*$Y$2</f>
        <v>0</v>
      </c>
      <c r="Z79" s="194" t="s">
        <v>1311</v>
      </c>
      <c r="AA79" s="69"/>
      <c r="AB79" s="194"/>
      <c r="AC79" s="165">
        <f>AK79*$AC$2</f>
        <v>0</v>
      </c>
      <c r="AD79" s="194" t="s">
        <v>1311</v>
      </c>
      <c r="AE79" s="165">
        <f>AM79*$AE$2</f>
        <v>0</v>
      </c>
      <c r="AF79" s="194" t="s">
        <v>1313</v>
      </c>
      <c r="AG79" s="573">
        <f>VLOOKUP(C79,Gebäudedienste,17,0)</f>
        <v>0</v>
      </c>
      <c r="AH79" s="194" t="s">
        <v>1526</v>
      </c>
      <c r="AI79" s="69"/>
      <c r="AJ79" s="194"/>
      <c r="AK79" s="165">
        <f>VLOOKUP(C79,Gebäudedienste,17,0)</f>
        <v>0</v>
      </c>
      <c r="AL79" s="194" t="s">
        <v>1526</v>
      </c>
      <c r="AM79" s="165">
        <f>VLOOKUP(C79,Gebäudedienste,24,0)</f>
        <v>0</v>
      </c>
      <c r="AN79" s="584" t="s">
        <v>1991</v>
      </c>
    </row>
    <row r="80" spans="1:40" s="37" customFormat="1" ht="15" customHeight="1">
      <c r="A80" s="293">
        <v>7900</v>
      </c>
      <c r="B80" s="172" t="s">
        <v>724</v>
      </c>
      <c r="C80" s="172" t="s">
        <v>821</v>
      </c>
      <c r="D80" s="172" t="s">
        <v>648</v>
      </c>
      <c r="E80" s="172"/>
      <c r="F80" s="172"/>
      <c r="G80" s="158">
        <f t="shared" si="7"/>
        <v>0</v>
      </c>
      <c r="H80" s="172" t="s">
        <v>727</v>
      </c>
      <c r="I80" s="172"/>
      <c r="J80" s="172"/>
      <c r="K80" s="293"/>
      <c r="L80" s="293"/>
      <c r="M80" s="158">
        <f t="shared" si="8"/>
        <v>0</v>
      </c>
      <c r="N80" s="427" t="s">
        <v>103</v>
      </c>
      <c r="W80" s="429"/>
      <c r="X80" s="421"/>
      <c r="Y80" s="574">
        <f>SUM(Y81:Y82)</f>
        <v>0</v>
      </c>
      <c r="Z80" s="172" t="s">
        <v>1311</v>
      </c>
      <c r="AA80" s="429"/>
      <c r="AB80" s="421"/>
      <c r="AC80" s="355">
        <f>SUM(AC81:AC82)</f>
        <v>0</v>
      </c>
      <c r="AD80" s="421" t="s">
        <v>1311</v>
      </c>
      <c r="AE80" s="355">
        <f>SUM(AE81:AE82)</f>
        <v>0</v>
      </c>
      <c r="AF80" s="421" t="s">
        <v>1313</v>
      </c>
      <c r="AG80" s="576">
        <f>SUM(AG81:AG82)</f>
        <v>0</v>
      </c>
      <c r="AH80" s="421" t="s">
        <v>1526</v>
      </c>
      <c r="AI80" s="421"/>
      <c r="AJ80" s="421"/>
      <c r="AK80" s="428">
        <f>SUM(AK81:AK82)</f>
        <v>0</v>
      </c>
      <c r="AL80" s="421" t="s">
        <v>1526</v>
      </c>
      <c r="AM80" s="428">
        <f>SUM(AM81:AM82)</f>
        <v>0</v>
      </c>
      <c r="AN80" s="585" t="s">
        <v>1991</v>
      </c>
    </row>
    <row r="81" spans="1:40" s="37" customFormat="1" ht="15" customHeight="1">
      <c r="A81" s="55">
        <v>8000</v>
      </c>
      <c r="B81" s="194" t="s">
        <v>728</v>
      </c>
      <c r="C81" s="194" t="s">
        <v>822</v>
      </c>
      <c r="D81" s="194" t="s">
        <v>823</v>
      </c>
      <c r="E81" s="194"/>
      <c r="F81" s="194"/>
      <c r="G81" s="165">
        <f t="shared" si="7"/>
        <v>0</v>
      </c>
      <c r="H81" s="194" t="s">
        <v>727</v>
      </c>
      <c r="I81" s="354">
        <v>1</v>
      </c>
      <c r="J81" s="194"/>
      <c r="K81" s="55"/>
      <c r="L81" s="55"/>
      <c r="M81" s="165">
        <f t="shared" si="8"/>
        <v>0</v>
      </c>
      <c r="N81" s="74" t="s">
        <v>103</v>
      </c>
      <c r="W81" s="69"/>
      <c r="X81" s="194"/>
      <c r="Y81" s="573">
        <f>AG81*$Y$2</f>
        <v>0</v>
      </c>
      <c r="Z81" s="194" t="s">
        <v>1311</v>
      </c>
      <c r="AA81" s="69"/>
      <c r="AB81" s="194"/>
      <c r="AC81" s="165">
        <f>AK81*$AC$2</f>
        <v>0</v>
      </c>
      <c r="AD81" s="194" t="s">
        <v>1311</v>
      </c>
      <c r="AE81" s="165">
        <f>AM81*$AE$2</f>
        <v>0</v>
      </c>
      <c r="AF81" s="194" t="s">
        <v>1313</v>
      </c>
      <c r="AG81" s="573">
        <f>VLOOKUP(C81,Gebäudedienste,17,0)</f>
        <v>0</v>
      </c>
      <c r="AH81" s="194" t="s">
        <v>1526</v>
      </c>
      <c r="AI81" s="69"/>
      <c r="AJ81" s="194"/>
      <c r="AK81" s="165">
        <f>VLOOKUP(C81,Gebäudedienste,17,0)</f>
        <v>0</v>
      </c>
      <c r="AL81" s="194" t="s">
        <v>1526</v>
      </c>
      <c r="AM81" s="165">
        <f>VLOOKUP(C81,Gebäudedienste,24,0)</f>
        <v>0</v>
      </c>
      <c r="AN81" s="584" t="s">
        <v>1991</v>
      </c>
    </row>
    <row r="82" spans="1:40" s="37" customFormat="1" ht="15" customHeight="1">
      <c r="A82" s="55">
        <v>8100</v>
      </c>
      <c r="B82" s="194" t="s">
        <v>728</v>
      </c>
      <c r="C82" s="194" t="s">
        <v>825</v>
      </c>
      <c r="D82" s="194" t="s">
        <v>826</v>
      </c>
      <c r="E82" s="194"/>
      <c r="F82" s="194"/>
      <c r="G82" s="165">
        <f t="shared" si="7"/>
        <v>0</v>
      </c>
      <c r="H82" s="194" t="s">
        <v>727</v>
      </c>
      <c r="I82" s="354">
        <v>1</v>
      </c>
      <c r="J82" s="194"/>
      <c r="K82" s="55"/>
      <c r="L82" s="55"/>
      <c r="M82" s="165">
        <f t="shared" si="8"/>
        <v>0</v>
      </c>
      <c r="N82" s="74" t="s">
        <v>103</v>
      </c>
      <c r="W82" s="69"/>
      <c r="X82" s="194"/>
      <c r="Y82" s="573">
        <f>AG82*$Y$2</f>
        <v>0</v>
      </c>
      <c r="Z82" s="194" t="s">
        <v>1311</v>
      </c>
      <c r="AA82" s="69"/>
      <c r="AB82" s="194"/>
      <c r="AC82" s="165">
        <f>AK82*$AC$2</f>
        <v>0</v>
      </c>
      <c r="AD82" s="194" t="s">
        <v>1311</v>
      </c>
      <c r="AE82" s="165">
        <f>AM82*$AE$2</f>
        <v>0</v>
      </c>
      <c r="AF82" s="194" t="s">
        <v>1313</v>
      </c>
      <c r="AG82" s="573">
        <f>VLOOKUP(C82,Gebäudedienste,17,0)</f>
        <v>0</v>
      </c>
      <c r="AH82" s="194" t="s">
        <v>1526</v>
      </c>
      <c r="AI82" s="69"/>
      <c r="AJ82" s="194"/>
      <c r="AK82" s="165">
        <f>VLOOKUP(C82,Gebäudedienste,17,0)</f>
        <v>0</v>
      </c>
      <c r="AL82" s="194" t="s">
        <v>1526</v>
      </c>
      <c r="AM82" s="165">
        <f>VLOOKUP(C82,Gebäudedienste,24,0)</f>
        <v>0</v>
      </c>
      <c r="AN82" s="584" t="s">
        <v>1991</v>
      </c>
    </row>
    <row r="83" spans="1:40" s="37" customFormat="1" ht="15" customHeight="1">
      <c r="A83" s="293">
        <v>8300</v>
      </c>
      <c r="B83" s="172" t="s">
        <v>724</v>
      </c>
      <c r="C83" s="172" t="s">
        <v>827</v>
      </c>
      <c r="D83" s="172" t="s">
        <v>828</v>
      </c>
      <c r="E83" s="172"/>
      <c r="F83" s="172"/>
      <c r="G83" s="158">
        <f t="shared" si="7"/>
        <v>0</v>
      </c>
      <c r="H83" s="172" t="s">
        <v>727</v>
      </c>
      <c r="I83" s="172"/>
      <c r="J83" s="172"/>
      <c r="K83" s="293"/>
      <c r="L83" s="293"/>
      <c r="M83" s="158">
        <f t="shared" si="8"/>
        <v>0</v>
      </c>
      <c r="N83" s="427" t="s">
        <v>103</v>
      </c>
      <c r="W83" s="429"/>
      <c r="X83" s="421"/>
      <c r="Y83" s="574">
        <f>SUM(Y84:Y87)</f>
        <v>0</v>
      </c>
      <c r="Z83" s="421" t="s">
        <v>1311</v>
      </c>
      <c r="AA83" s="429"/>
      <c r="AB83" s="421"/>
      <c r="AC83" s="355">
        <f>SUM(AC84:AC87)</f>
        <v>0</v>
      </c>
      <c r="AD83" s="421" t="s">
        <v>1311</v>
      </c>
      <c r="AE83" s="355">
        <f>SUM(AE84:AE87)</f>
        <v>0</v>
      </c>
      <c r="AF83" s="421" t="s">
        <v>1313</v>
      </c>
      <c r="AG83" s="576">
        <f>SUM(AG84:AG87)</f>
        <v>0</v>
      </c>
      <c r="AH83" s="421" t="s">
        <v>1526</v>
      </c>
      <c r="AI83" s="421"/>
      <c r="AJ83" s="421"/>
      <c r="AK83" s="428">
        <f>SUM(AK84:AK87)</f>
        <v>0</v>
      </c>
      <c r="AL83" s="421" t="s">
        <v>1526</v>
      </c>
      <c r="AM83" s="428">
        <f>SUM(AM84:AM87)</f>
        <v>0</v>
      </c>
      <c r="AN83" s="585" t="s">
        <v>1991</v>
      </c>
    </row>
    <row r="84" spans="1:40" s="37" customFormat="1" ht="15" customHeight="1">
      <c r="A84" s="55">
        <v>8400</v>
      </c>
      <c r="B84" s="194" t="s">
        <v>728</v>
      </c>
      <c r="C84" s="194" t="s">
        <v>829</v>
      </c>
      <c r="D84" s="194" t="s">
        <v>830</v>
      </c>
      <c r="E84" s="194"/>
      <c r="F84" s="194"/>
      <c r="G84" s="165">
        <f t="shared" si="7"/>
        <v>0</v>
      </c>
      <c r="H84" s="194" t="s">
        <v>727</v>
      </c>
      <c r="I84" s="354">
        <v>1</v>
      </c>
      <c r="J84" s="194"/>
      <c r="K84" s="55"/>
      <c r="L84" s="55"/>
      <c r="M84" s="165">
        <f t="shared" si="8"/>
        <v>0</v>
      </c>
      <c r="N84" s="74" t="s">
        <v>103</v>
      </c>
      <c r="W84" s="69"/>
      <c r="X84" s="194"/>
      <c r="Y84" s="573">
        <f>AG84*$Y$2</f>
        <v>0</v>
      </c>
      <c r="Z84" s="194" t="s">
        <v>1311</v>
      </c>
      <c r="AA84" s="69"/>
      <c r="AB84" s="194"/>
      <c r="AC84" s="165">
        <f>AK84*$AC$2</f>
        <v>0</v>
      </c>
      <c r="AD84" s="194" t="s">
        <v>1311</v>
      </c>
      <c r="AE84" s="165">
        <f>AM84*$AE$2</f>
        <v>0</v>
      </c>
      <c r="AF84" s="194" t="s">
        <v>1313</v>
      </c>
      <c r="AG84" s="573">
        <f>VLOOKUP(C84,Gebäudedienste,17,0)</f>
        <v>0</v>
      </c>
      <c r="AH84" s="194" t="s">
        <v>1526</v>
      </c>
      <c r="AI84" s="69"/>
      <c r="AJ84" s="194"/>
      <c r="AK84" s="165">
        <f>VLOOKUP(C84,Gebäudedienste,17,0)</f>
        <v>0</v>
      </c>
      <c r="AL84" s="194" t="s">
        <v>1526</v>
      </c>
      <c r="AM84" s="165">
        <f>VLOOKUP(C84,Gebäudedienste,24,0)</f>
        <v>0</v>
      </c>
      <c r="AN84" s="584" t="s">
        <v>1991</v>
      </c>
    </row>
    <row r="85" spans="1:40" s="37" customFormat="1" ht="15" customHeight="1">
      <c r="A85" s="55">
        <v>8500</v>
      </c>
      <c r="B85" s="194" t="s">
        <v>728</v>
      </c>
      <c r="C85" s="194" t="s">
        <v>831</v>
      </c>
      <c r="D85" s="194" t="s">
        <v>832</v>
      </c>
      <c r="E85" s="194"/>
      <c r="F85" s="194"/>
      <c r="G85" s="165">
        <f t="shared" si="7"/>
        <v>0</v>
      </c>
      <c r="H85" s="194" t="s">
        <v>727</v>
      </c>
      <c r="I85" s="354">
        <v>1</v>
      </c>
      <c r="J85" s="194"/>
      <c r="K85" s="55"/>
      <c r="L85" s="55"/>
      <c r="M85" s="165">
        <f t="shared" si="8"/>
        <v>0</v>
      </c>
      <c r="N85" s="74" t="s">
        <v>103</v>
      </c>
      <c r="W85" s="69"/>
      <c r="X85" s="194"/>
      <c r="Y85" s="573">
        <f>AG85*$Y$2</f>
        <v>0</v>
      </c>
      <c r="Z85" s="194" t="s">
        <v>1311</v>
      </c>
      <c r="AA85" s="69"/>
      <c r="AB85" s="194"/>
      <c r="AC85" s="165">
        <f>AK85*$AC$2</f>
        <v>0</v>
      </c>
      <c r="AD85" s="194" t="s">
        <v>1311</v>
      </c>
      <c r="AE85" s="165">
        <f>AM85*$AE$2</f>
        <v>0</v>
      </c>
      <c r="AF85" s="194" t="s">
        <v>1313</v>
      </c>
      <c r="AG85" s="573">
        <f>VLOOKUP(C85,Gebäudedienste,17,0)</f>
        <v>0</v>
      </c>
      <c r="AH85" s="194" t="s">
        <v>1526</v>
      </c>
      <c r="AI85" s="69"/>
      <c r="AJ85" s="194"/>
      <c r="AK85" s="165">
        <f>VLOOKUP(C85,Gebäudedienste,17,0)</f>
        <v>0</v>
      </c>
      <c r="AL85" s="194" t="s">
        <v>1526</v>
      </c>
      <c r="AM85" s="165">
        <f>VLOOKUP(C85,Gebäudedienste,24,0)</f>
        <v>0</v>
      </c>
      <c r="AN85" s="584" t="s">
        <v>1991</v>
      </c>
    </row>
    <row r="86" spans="1:40" s="37" customFormat="1" ht="15" customHeight="1">
      <c r="A86" s="55">
        <v>8600</v>
      </c>
      <c r="B86" s="194" t="s">
        <v>728</v>
      </c>
      <c r="C86" s="194" t="s">
        <v>833</v>
      </c>
      <c r="D86" s="194" t="s">
        <v>834</v>
      </c>
      <c r="E86" s="194"/>
      <c r="F86" s="194"/>
      <c r="G86" s="165">
        <f t="shared" si="7"/>
        <v>0</v>
      </c>
      <c r="H86" s="194" t="s">
        <v>727</v>
      </c>
      <c r="I86" s="354">
        <v>1</v>
      </c>
      <c r="J86" s="194"/>
      <c r="K86" s="55"/>
      <c r="L86" s="55"/>
      <c r="M86" s="165">
        <f t="shared" si="8"/>
        <v>0</v>
      </c>
      <c r="N86" s="74" t="s">
        <v>103</v>
      </c>
      <c r="W86" s="69"/>
      <c r="X86" s="194"/>
      <c r="Y86" s="573">
        <f>AG86*$Y$2</f>
        <v>0</v>
      </c>
      <c r="Z86" s="194" t="s">
        <v>1311</v>
      </c>
      <c r="AA86" s="69"/>
      <c r="AB86" s="194"/>
      <c r="AC86" s="165">
        <f>AK86*$AC$2</f>
        <v>0</v>
      </c>
      <c r="AD86" s="194" t="s">
        <v>1311</v>
      </c>
      <c r="AE86" s="165">
        <f>AM86*$AE$2</f>
        <v>0</v>
      </c>
      <c r="AF86" s="194" t="s">
        <v>1313</v>
      </c>
      <c r="AG86" s="573">
        <f>VLOOKUP(C86,Gebäudedienste,17,0)</f>
        <v>0</v>
      </c>
      <c r="AH86" s="194" t="s">
        <v>1526</v>
      </c>
      <c r="AI86" s="69"/>
      <c r="AJ86" s="194"/>
      <c r="AK86" s="165">
        <f>VLOOKUP(C86,Gebäudedienste,17,0)</f>
        <v>0</v>
      </c>
      <c r="AL86" s="194" t="s">
        <v>1526</v>
      </c>
      <c r="AM86" s="165">
        <f>VLOOKUP(C86,Gebäudedienste,24,0)</f>
        <v>0</v>
      </c>
      <c r="AN86" s="584" t="s">
        <v>1991</v>
      </c>
    </row>
    <row r="87" spans="1:40" s="37" customFormat="1" ht="15" customHeight="1">
      <c r="A87" s="55">
        <v>8700</v>
      </c>
      <c r="B87" s="194" t="s">
        <v>728</v>
      </c>
      <c r="C87" s="194" t="s">
        <v>836</v>
      </c>
      <c r="D87" s="194" t="s">
        <v>837</v>
      </c>
      <c r="E87" s="194"/>
      <c r="F87" s="194"/>
      <c r="G87" s="165">
        <f t="shared" si="7"/>
        <v>0</v>
      </c>
      <c r="H87" s="194" t="s">
        <v>727</v>
      </c>
      <c r="I87" s="354">
        <v>1</v>
      </c>
      <c r="J87" s="194"/>
      <c r="K87" s="55"/>
      <c r="L87" s="55"/>
      <c r="M87" s="165">
        <f t="shared" si="8"/>
        <v>0</v>
      </c>
      <c r="N87" s="74" t="s">
        <v>103</v>
      </c>
      <c r="W87" s="69"/>
      <c r="X87" s="194"/>
      <c r="Y87" s="573">
        <f>AG87*$Y$2</f>
        <v>0</v>
      </c>
      <c r="Z87" s="194" t="s">
        <v>1311</v>
      </c>
      <c r="AA87" s="69"/>
      <c r="AB87" s="194"/>
      <c r="AC87" s="165">
        <f>AK87*$AC$2</f>
        <v>0</v>
      </c>
      <c r="AD87" s="194" t="s">
        <v>1311</v>
      </c>
      <c r="AE87" s="165">
        <f>AM87*$AE$2</f>
        <v>0</v>
      </c>
      <c r="AF87" s="194" t="s">
        <v>1313</v>
      </c>
      <c r="AG87" s="573">
        <f>VLOOKUP(C87,Gebäudedienste,17,0)</f>
        <v>0</v>
      </c>
      <c r="AH87" s="194" t="s">
        <v>1526</v>
      </c>
      <c r="AI87" s="69"/>
      <c r="AJ87" s="194"/>
      <c r="AK87" s="165">
        <f>VLOOKUP(C87,Gebäudedienste,17,0)</f>
        <v>0</v>
      </c>
      <c r="AL87" s="194" t="s">
        <v>1526</v>
      </c>
      <c r="AM87" s="165">
        <f>VLOOKUP(C87,Gebäudedienste,24,0)</f>
        <v>0</v>
      </c>
      <c r="AN87" s="584" t="s">
        <v>1991</v>
      </c>
    </row>
    <row r="88" spans="1:40" s="37" customFormat="1" ht="15" customHeight="1">
      <c r="A88" s="55">
        <v>8800</v>
      </c>
      <c r="B88" s="194" t="s">
        <v>728</v>
      </c>
      <c r="C88" s="194" t="s">
        <v>838</v>
      </c>
      <c r="D88" s="194" t="s">
        <v>839</v>
      </c>
      <c r="E88" s="194"/>
      <c r="F88" s="194"/>
      <c r="G88" s="165">
        <f t="shared" si="7"/>
        <v>0</v>
      </c>
      <c r="H88" s="194" t="s">
        <v>727</v>
      </c>
      <c r="I88" s="354">
        <v>1</v>
      </c>
      <c r="J88" s="194"/>
      <c r="K88" s="55"/>
      <c r="L88" s="55"/>
      <c r="M88" s="165">
        <f t="shared" si="8"/>
        <v>0</v>
      </c>
      <c r="N88" s="74" t="s">
        <v>103</v>
      </c>
      <c r="W88" s="69"/>
      <c r="X88" s="194"/>
      <c r="Y88" s="522"/>
      <c r="Z88" s="194"/>
      <c r="AA88" s="67"/>
      <c r="AB88" s="194"/>
      <c r="AC88" s="67"/>
      <c r="AD88" s="194"/>
      <c r="AE88" s="67"/>
      <c r="AF88" s="194"/>
      <c r="AG88" s="532"/>
      <c r="AH88" s="194"/>
      <c r="AI88" s="194"/>
      <c r="AJ88" s="194"/>
      <c r="AK88" s="194"/>
      <c r="AL88" s="194"/>
      <c r="AM88" s="194"/>
      <c r="AN88" s="584"/>
    </row>
    <row r="89" spans="1:40" s="37" customFormat="1" ht="15" customHeight="1">
      <c r="A89" s="55">
        <v>8900</v>
      </c>
      <c r="B89" s="194" t="s">
        <v>728</v>
      </c>
      <c r="C89" s="194" t="s">
        <v>840</v>
      </c>
      <c r="D89" s="194" t="s">
        <v>841</v>
      </c>
      <c r="E89" s="194"/>
      <c r="F89" s="194"/>
      <c r="G89" s="165">
        <f t="shared" si="7"/>
        <v>0</v>
      </c>
      <c r="H89" s="194" t="s">
        <v>727</v>
      </c>
      <c r="I89" s="354">
        <v>1</v>
      </c>
      <c r="J89" s="194"/>
      <c r="K89" s="55"/>
      <c r="L89" s="55"/>
      <c r="M89" s="165">
        <f t="shared" si="8"/>
        <v>0</v>
      </c>
      <c r="N89" s="74" t="s">
        <v>103</v>
      </c>
      <c r="W89" s="69"/>
      <c r="X89" s="194"/>
      <c r="Y89" s="522"/>
      <c r="Z89" s="194"/>
      <c r="AA89" s="67"/>
      <c r="AB89" s="194"/>
      <c r="AC89" s="67"/>
      <c r="AD89" s="194"/>
      <c r="AE89" s="67"/>
      <c r="AF89" s="194"/>
      <c r="AG89" s="532"/>
      <c r="AH89" s="194"/>
      <c r="AI89" s="194"/>
      <c r="AJ89" s="194"/>
      <c r="AK89" s="194"/>
      <c r="AL89" s="194"/>
      <c r="AM89" s="194"/>
      <c r="AN89" s="584"/>
    </row>
    <row r="90" spans="1:40" s="37" customFormat="1" ht="15" customHeight="1">
      <c r="A90" s="293">
        <v>9100</v>
      </c>
      <c r="B90" s="172" t="s">
        <v>724</v>
      </c>
      <c r="C90" s="172" t="s">
        <v>842</v>
      </c>
      <c r="D90" s="172" t="s">
        <v>843</v>
      </c>
      <c r="E90" s="172"/>
      <c r="F90" s="172"/>
      <c r="G90" s="172"/>
      <c r="H90" s="172"/>
      <c r="I90" s="172"/>
      <c r="J90" s="172"/>
      <c r="K90" s="293"/>
      <c r="L90" s="293"/>
      <c r="M90" s="358" t="e">
        <f t="shared" si="8"/>
        <v>#VALUE!</v>
      </c>
      <c r="N90" s="295" t="s">
        <v>103</v>
      </c>
      <c r="W90" s="171"/>
      <c r="X90" s="172"/>
      <c r="Y90" s="574">
        <f>SUM(Y91,Y234)</f>
        <v>0</v>
      </c>
      <c r="Z90" s="172" t="s">
        <v>1311</v>
      </c>
      <c r="AA90" s="355">
        <f>SUM(AA91,AA234)</f>
        <v>0</v>
      </c>
      <c r="AB90" s="172" t="s">
        <v>1311</v>
      </c>
      <c r="AC90" s="355">
        <f>SUM(AC91,AC234)</f>
        <v>0</v>
      </c>
      <c r="AD90" s="172" t="s">
        <v>1311</v>
      </c>
      <c r="AE90" s="355">
        <f>SUM(AE91,AE234)</f>
        <v>0</v>
      </c>
      <c r="AF90" s="172" t="s">
        <v>1313</v>
      </c>
      <c r="AG90" s="577"/>
      <c r="AH90" s="172"/>
      <c r="AI90" s="172"/>
      <c r="AJ90" s="172"/>
      <c r="AK90" s="172"/>
      <c r="AL90" s="172"/>
      <c r="AM90" s="172"/>
      <c r="AN90" s="583"/>
    </row>
    <row r="91" spans="1:40" s="37" customFormat="1" ht="15" customHeight="1">
      <c r="A91" s="293">
        <v>9200</v>
      </c>
      <c r="B91" s="172" t="s">
        <v>743</v>
      </c>
      <c r="C91" s="172" t="s">
        <v>844</v>
      </c>
      <c r="D91" s="172" t="s">
        <v>845</v>
      </c>
      <c r="E91" s="172"/>
      <c r="F91" s="172"/>
      <c r="G91" s="172"/>
      <c r="H91" s="172"/>
      <c r="I91" s="172"/>
      <c r="J91" s="172"/>
      <c r="K91" s="293"/>
      <c r="L91" s="293"/>
      <c r="M91" s="358" t="e">
        <f t="shared" si="8"/>
        <v>#VALUE!</v>
      </c>
      <c r="N91" s="295" t="s">
        <v>103</v>
      </c>
      <c r="W91" s="171"/>
      <c r="X91" s="172"/>
      <c r="Y91" s="574">
        <f>SUM(Y92,Y145,Y180,Y223,Y228)</f>
        <v>0</v>
      </c>
      <c r="Z91" s="172" t="s">
        <v>1311</v>
      </c>
      <c r="AA91" s="355">
        <f>SUM(AA92,AA145,AA180,AA223,AA228)</f>
        <v>0</v>
      </c>
      <c r="AB91" s="172" t="s">
        <v>1311</v>
      </c>
      <c r="AC91" s="355">
        <f>SUM(AC92,AC145,AC180,AC223,AC228)</f>
        <v>0</v>
      </c>
      <c r="AD91" s="172" t="s">
        <v>1311</v>
      </c>
      <c r="AE91" s="355">
        <f>SUM(AE92,AE145,AE180,AE223,AE228)</f>
        <v>0</v>
      </c>
      <c r="AF91" s="172" t="s">
        <v>1313</v>
      </c>
      <c r="AG91" s="577"/>
      <c r="AH91" s="172" t="s">
        <v>1311</v>
      </c>
      <c r="AI91" s="172"/>
      <c r="AJ91" s="172" t="s">
        <v>1311</v>
      </c>
      <c r="AK91" s="172"/>
      <c r="AL91" s="172" t="s">
        <v>1311</v>
      </c>
      <c r="AM91" s="293" t="s">
        <v>2734</v>
      </c>
      <c r="AN91" s="583"/>
    </row>
    <row r="92" spans="1:40" s="37" customFormat="1" ht="15" customHeight="1">
      <c r="A92" s="293">
        <v>9400</v>
      </c>
      <c r="B92" s="172" t="s">
        <v>743</v>
      </c>
      <c r="C92" s="172" t="s">
        <v>846</v>
      </c>
      <c r="D92" s="172" t="s">
        <v>847</v>
      </c>
      <c r="E92" s="172"/>
      <c r="F92" s="172"/>
      <c r="G92" s="172"/>
      <c r="H92" s="172"/>
      <c r="I92" s="172"/>
      <c r="J92" s="172"/>
      <c r="K92" s="293"/>
      <c r="L92" s="293"/>
      <c r="M92" s="358" t="e">
        <f t="shared" si="8"/>
        <v>#VALUE!</v>
      </c>
      <c r="N92" s="295" t="s">
        <v>103</v>
      </c>
      <c r="W92" s="171"/>
      <c r="X92" s="172"/>
      <c r="Y92" s="574">
        <f>SUM(Y95,Y109,Y131)</f>
        <v>0</v>
      </c>
      <c r="Z92" s="172" t="s">
        <v>1311</v>
      </c>
      <c r="AA92" s="355">
        <f>SUM(AA95,AA109,AA131)</f>
        <v>0</v>
      </c>
      <c r="AB92" s="172" t="s">
        <v>1311</v>
      </c>
      <c r="AC92" s="355">
        <f>SUM(AC95,AC109,AC131)</f>
        <v>0</v>
      </c>
      <c r="AD92" s="172" t="s">
        <v>1311</v>
      </c>
      <c r="AE92" s="355">
        <f>SUM(AE95,AE109,AE131)</f>
        <v>0</v>
      </c>
      <c r="AF92" s="172" t="s">
        <v>1313</v>
      </c>
      <c r="AG92" s="577"/>
      <c r="AH92" s="172" t="s">
        <v>2377</v>
      </c>
      <c r="AI92" s="172"/>
      <c r="AJ92" s="172" t="s">
        <v>2377</v>
      </c>
      <c r="AK92" s="172"/>
      <c r="AL92" s="172" t="s">
        <v>2377</v>
      </c>
      <c r="AM92" s="172"/>
      <c r="AN92" s="588" t="s">
        <v>2377</v>
      </c>
    </row>
    <row r="93" spans="1:40" s="37" customFormat="1" ht="15" customHeight="1">
      <c r="A93" s="55">
        <v>9500</v>
      </c>
      <c r="B93" s="194" t="s">
        <v>728</v>
      </c>
      <c r="C93" s="194" t="s">
        <v>848</v>
      </c>
      <c r="D93" s="194" t="s">
        <v>849</v>
      </c>
      <c r="E93" s="194"/>
      <c r="F93" s="194"/>
      <c r="G93" s="165" t="e">
        <f t="shared" ref="G93:G119" si="11">VLOOKUP(C93,Folgekosten,5,0)</f>
        <v>#VALUE!</v>
      </c>
      <c r="H93" s="194" t="s">
        <v>850</v>
      </c>
      <c r="I93" s="152">
        <f>IF(ISNUMBER(VLOOKUP(J93,Nutzungsdauern,5,0)),VLOOKUP(J93,Nutzungsdauern,5,0),1000)</f>
        <v>30</v>
      </c>
      <c r="J93" s="194" t="s">
        <v>332</v>
      </c>
      <c r="K93" s="108"/>
      <c r="L93" s="108"/>
      <c r="M93" s="165" t="e">
        <f t="shared" si="8"/>
        <v>#VALUE!</v>
      </c>
      <c r="N93" s="74" t="s">
        <v>103</v>
      </c>
      <c r="W93" s="67"/>
      <c r="X93" s="194"/>
      <c r="Y93" s="522"/>
      <c r="Z93" s="194"/>
      <c r="AA93" s="67"/>
      <c r="AB93" s="194"/>
      <c r="AC93" s="67"/>
      <c r="AD93" s="194"/>
      <c r="AE93" s="67"/>
      <c r="AF93" s="194"/>
      <c r="AG93" s="532"/>
      <c r="AH93" s="194"/>
      <c r="AI93" s="194"/>
      <c r="AJ93" s="194"/>
      <c r="AK93" s="194"/>
      <c r="AL93" s="194"/>
      <c r="AM93" s="194"/>
      <c r="AN93" s="584"/>
    </row>
    <row r="94" spans="1:40" s="37" customFormat="1" ht="15" customHeight="1">
      <c r="A94" s="55">
        <v>9600</v>
      </c>
      <c r="B94" s="194" t="s">
        <v>728</v>
      </c>
      <c r="C94" s="194" t="s">
        <v>851</v>
      </c>
      <c r="D94" s="194" t="s">
        <v>330</v>
      </c>
      <c r="E94" s="194"/>
      <c r="F94" s="194"/>
      <c r="G94" s="165" t="e">
        <f t="shared" si="11"/>
        <v>#VALUE!</v>
      </c>
      <c r="H94" s="194" t="s">
        <v>850</v>
      </c>
      <c r="I94" s="152">
        <f>IF(ISNUMBER(VLOOKUP(J94,Nutzungsdauern,5,0)),VLOOKUP(J94,Nutzungsdauern,5,0),1000)</f>
        <v>1000</v>
      </c>
      <c r="J94" s="194" t="s">
        <v>331</v>
      </c>
      <c r="K94" s="108"/>
      <c r="L94" s="108"/>
      <c r="M94" s="165" t="e">
        <f t="shared" si="8"/>
        <v>#VALUE!</v>
      </c>
      <c r="N94" s="74" t="s">
        <v>103</v>
      </c>
      <c r="W94" s="67"/>
      <c r="X94" s="194"/>
      <c r="Y94" s="532"/>
      <c r="Z94" s="194"/>
      <c r="AA94" s="194"/>
      <c r="AB94" s="194"/>
      <c r="AC94" s="194"/>
      <c r="AD94" s="194"/>
      <c r="AE94" s="194"/>
      <c r="AF94" s="194"/>
      <c r="AG94" s="532"/>
      <c r="AH94" s="194"/>
      <c r="AI94" s="194"/>
      <c r="AJ94" s="194"/>
      <c r="AK94" s="194"/>
      <c r="AL94" s="194"/>
      <c r="AM94" s="194"/>
      <c r="AN94" s="584"/>
    </row>
    <row r="95" spans="1:40" s="37" customFormat="1" ht="15" customHeight="1">
      <c r="A95" s="55">
        <v>9700</v>
      </c>
      <c r="B95" s="194" t="s">
        <v>728</v>
      </c>
      <c r="C95" s="194" t="s">
        <v>852</v>
      </c>
      <c r="D95" s="194" t="s">
        <v>327</v>
      </c>
      <c r="E95" s="194"/>
      <c r="F95" s="194"/>
      <c r="G95" s="165" t="e">
        <f t="shared" si="11"/>
        <v>#VALUE!</v>
      </c>
      <c r="H95" s="194" t="s">
        <v>850</v>
      </c>
      <c r="I95" s="152">
        <f>IF(ISNUMBER(VLOOKUP(J95,Nutzungsdauern,5,0)),VLOOKUP(J95,Nutzungsdauern,5,0),1000)</f>
        <v>100</v>
      </c>
      <c r="J95" s="194" t="s">
        <v>328</v>
      </c>
      <c r="K95" s="108"/>
      <c r="L95" s="108"/>
      <c r="M95" s="165" t="e">
        <f t="shared" si="8"/>
        <v>#VALUE!</v>
      </c>
      <c r="N95" s="74" t="s">
        <v>103</v>
      </c>
      <c r="W95" s="67"/>
      <c r="X95" s="194"/>
      <c r="Y95" s="573">
        <f>SUM(Y96,Y100,Y104,Y105)</f>
        <v>0</v>
      </c>
      <c r="Z95" s="194" t="s">
        <v>1311</v>
      </c>
      <c r="AA95" s="165">
        <f>SUM(AA96,AA100,AA104,AA105)</f>
        <v>0</v>
      </c>
      <c r="AB95" s="194" t="s">
        <v>1311</v>
      </c>
      <c r="AC95" s="165">
        <f>SUM(AC96,AC100,AC104,AC105)</f>
        <v>0</v>
      </c>
      <c r="AD95" s="194" t="s">
        <v>1311</v>
      </c>
      <c r="AE95" s="165">
        <f>SUM(AE96,AE100,AE104,AE105)</f>
        <v>0</v>
      </c>
      <c r="AF95" s="194" t="s">
        <v>1313</v>
      </c>
      <c r="AG95" s="573">
        <f>VLOOKUP("E2.C",Ergebnisse_Errichtung,7,0)</f>
        <v>0</v>
      </c>
      <c r="AH95" s="194" t="s">
        <v>1311</v>
      </c>
      <c r="AI95" s="165">
        <f>VLOOKUP("E2.C",Ergebnisse_Errichtung,9,0)</f>
        <v>0</v>
      </c>
      <c r="AJ95" s="194" t="s">
        <v>1311</v>
      </c>
      <c r="AK95" s="165">
        <f>VLOOKUP("E2.C",Ergebnisse_Errichtung,11,0)</f>
        <v>0</v>
      </c>
      <c r="AL95" s="194" t="s">
        <v>1311</v>
      </c>
      <c r="AM95" s="165">
        <f>VLOOKUP("E2.C",Ergebnisse_Errichtung,13,0)</f>
        <v>0</v>
      </c>
      <c r="AN95" s="584" t="s">
        <v>1313</v>
      </c>
    </row>
    <row r="96" spans="1:40" s="37" customFormat="1" ht="15" hidden="1" customHeight="1" outlineLevel="1">
      <c r="A96" s="55"/>
      <c r="B96" s="194"/>
      <c r="C96" s="194"/>
      <c r="D96" s="194" t="s">
        <v>1182</v>
      </c>
      <c r="E96" s="194"/>
      <c r="F96" s="194"/>
      <c r="G96" s="69"/>
      <c r="H96" s="194"/>
      <c r="I96" s="164"/>
      <c r="J96" s="166" t="s">
        <v>1186</v>
      </c>
      <c r="K96" s="167"/>
      <c r="L96" s="167"/>
      <c r="M96" s="74"/>
      <c r="N96" s="74"/>
      <c r="W96" s="67"/>
      <c r="X96" s="194"/>
      <c r="Y96" s="578">
        <f>SUM(Y97:Y99)</f>
        <v>0</v>
      </c>
      <c r="Z96" s="194" t="s">
        <v>1311</v>
      </c>
      <c r="AA96" s="163">
        <f>SUM(AA97:AA99)</f>
        <v>0</v>
      </c>
      <c r="AB96" s="194" t="s">
        <v>1311</v>
      </c>
      <c r="AC96" s="163">
        <f>SUM(AC97:AC99)</f>
        <v>0</v>
      </c>
      <c r="AD96" s="194" t="s">
        <v>1311</v>
      </c>
      <c r="AE96" s="163">
        <f>SUM(AE97:AE99)</f>
        <v>0</v>
      </c>
      <c r="AF96" s="194" t="s">
        <v>1313</v>
      </c>
      <c r="AG96" s="578">
        <f t="shared" ref="AG96:AG108" si="12">VLOOKUP(J96,Ergebnisse_Errichtung,7,0)</f>
        <v>0</v>
      </c>
      <c r="AH96" s="194" t="s">
        <v>1311</v>
      </c>
      <c r="AI96" s="163">
        <f t="shared" ref="AI96:AI108" si="13">VLOOKUP(J96,Ergebnisse_Errichtung,9,0)</f>
        <v>0</v>
      </c>
      <c r="AJ96" s="194" t="s">
        <v>1311</v>
      </c>
      <c r="AK96" s="163">
        <f t="shared" ref="AK96:AK108" si="14">VLOOKUP(J96,Ergebnisse_Errichtung,11,0)</f>
        <v>0</v>
      </c>
      <c r="AL96" s="194" t="s">
        <v>1311</v>
      </c>
      <c r="AM96" s="163">
        <f t="shared" ref="AM96:AM108" si="15">VLOOKUP(J96,Ergebnisse_Errichtung,13,0)</f>
        <v>0</v>
      </c>
      <c r="AN96" s="584" t="s">
        <v>1313</v>
      </c>
    </row>
    <row r="97" spans="1:40" s="37" customFormat="1" ht="15" hidden="1" customHeight="1" outlineLevel="1">
      <c r="A97" s="55"/>
      <c r="B97" s="194"/>
      <c r="C97" s="194"/>
      <c r="D97" s="80" t="s">
        <v>1430</v>
      </c>
      <c r="E97" s="194"/>
      <c r="F97" s="194"/>
      <c r="G97" s="69"/>
      <c r="H97" s="194"/>
      <c r="I97" s="152">
        <f>IF(ISNUMBER(VLOOKUP(J97,Nutzungsdauern,5,0)),VLOOKUP(J97,Nutzungsdauern,5,0),1000)</f>
        <v>1000</v>
      </c>
      <c r="J97" s="359" t="s">
        <v>1671</v>
      </c>
      <c r="K97" s="108"/>
      <c r="L97" s="108"/>
      <c r="M97" s="74"/>
      <c r="N97" s="74"/>
      <c r="W97" s="67"/>
      <c r="X97" s="194"/>
      <c r="Y97" s="579">
        <f>ROUNDDOWN($Y$2/$I97,0)*$AG97</f>
        <v>0</v>
      </c>
      <c r="Z97" s="76" t="s">
        <v>1311</v>
      </c>
      <c r="AA97" s="175">
        <f>ROUNDDOWN($AA$2/$I97,0)*$AI97</f>
        <v>0</v>
      </c>
      <c r="AB97" s="76" t="s">
        <v>1311</v>
      </c>
      <c r="AC97" s="175">
        <f>ROUNDDOWN($AC$2/$I97,0)*$AK97</f>
        <v>0</v>
      </c>
      <c r="AD97" s="76" t="s">
        <v>1311</v>
      </c>
      <c r="AE97" s="175">
        <f>ROUNDDOWN($AE$2/$I97,0)*$AM97</f>
        <v>0</v>
      </c>
      <c r="AF97" s="76" t="s">
        <v>1313</v>
      </c>
      <c r="AG97" s="579">
        <f t="shared" si="12"/>
        <v>0</v>
      </c>
      <c r="AH97" s="76" t="s">
        <v>1311</v>
      </c>
      <c r="AI97" s="175">
        <f t="shared" si="13"/>
        <v>0</v>
      </c>
      <c r="AJ97" s="76" t="s">
        <v>1311</v>
      </c>
      <c r="AK97" s="175">
        <f t="shared" si="14"/>
        <v>0</v>
      </c>
      <c r="AL97" s="76" t="s">
        <v>1311</v>
      </c>
      <c r="AM97" s="175">
        <f t="shared" si="15"/>
        <v>0</v>
      </c>
      <c r="AN97" s="586" t="s">
        <v>1313</v>
      </c>
    </row>
    <row r="98" spans="1:40" s="37" customFormat="1" ht="15" hidden="1" customHeight="1" outlineLevel="1">
      <c r="A98" s="55"/>
      <c r="B98" s="194"/>
      <c r="C98" s="194"/>
      <c r="D98" s="80" t="s">
        <v>1431</v>
      </c>
      <c r="E98" s="194"/>
      <c r="F98" s="194"/>
      <c r="G98" s="69"/>
      <c r="H98" s="194"/>
      <c r="I98" s="152">
        <f>IF(ISNUMBER(VLOOKUP(J98,Nutzungsdauern,5,0)),VLOOKUP(J98,Nutzungsdauern,5,0),1000)</f>
        <v>1000</v>
      </c>
      <c r="J98" s="359" t="s">
        <v>1672</v>
      </c>
      <c r="K98" s="108"/>
      <c r="L98" s="108"/>
      <c r="M98" s="74"/>
      <c r="N98" s="74"/>
      <c r="W98" s="67"/>
      <c r="X98" s="194"/>
      <c r="Y98" s="579">
        <f>ROUNDDOWN($Y$2/$I98,0)*$AG98</f>
        <v>0</v>
      </c>
      <c r="Z98" s="76" t="s">
        <v>1311</v>
      </c>
      <c r="AA98" s="175">
        <f>ROUNDDOWN($AA$2/$I98,0)*$AI98</f>
        <v>0</v>
      </c>
      <c r="AB98" s="76" t="s">
        <v>1311</v>
      </c>
      <c r="AC98" s="175">
        <f>ROUNDDOWN($AC$2/$I98,0)*$AK98</f>
        <v>0</v>
      </c>
      <c r="AD98" s="76" t="s">
        <v>1311</v>
      </c>
      <c r="AE98" s="175">
        <f>ROUNDDOWN($AE$2/$I98,0)*$AM98</f>
        <v>0</v>
      </c>
      <c r="AF98" s="76" t="s">
        <v>1313</v>
      </c>
      <c r="AG98" s="579">
        <f t="shared" si="12"/>
        <v>0</v>
      </c>
      <c r="AH98" s="76" t="s">
        <v>1311</v>
      </c>
      <c r="AI98" s="175">
        <f t="shared" si="13"/>
        <v>0</v>
      </c>
      <c r="AJ98" s="76" t="s">
        <v>1311</v>
      </c>
      <c r="AK98" s="175">
        <f t="shared" si="14"/>
        <v>0</v>
      </c>
      <c r="AL98" s="76" t="s">
        <v>1311</v>
      </c>
      <c r="AM98" s="175">
        <f t="shared" si="15"/>
        <v>0</v>
      </c>
      <c r="AN98" s="586" t="s">
        <v>1313</v>
      </c>
    </row>
    <row r="99" spans="1:40" s="37" customFormat="1" ht="15" hidden="1" customHeight="1" outlineLevel="1">
      <c r="A99" s="55"/>
      <c r="B99" s="194"/>
      <c r="C99" s="194"/>
      <c r="D99" s="80" t="s">
        <v>1432</v>
      </c>
      <c r="E99" s="194"/>
      <c r="F99" s="194"/>
      <c r="G99" s="69"/>
      <c r="H99" s="194"/>
      <c r="I99" s="152">
        <f>IF(ISNUMBER(VLOOKUP(J99,Nutzungsdauern,5,0)),VLOOKUP(J99,Nutzungsdauern,5,0),1000)</f>
        <v>1000</v>
      </c>
      <c r="J99" s="359" t="s">
        <v>1673</v>
      </c>
      <c r="K99" s="108"/>
      <c r="L99" s="108"/>
      <c r="M99" s="74"/>
      <c r="N99" s="74"/>
      <c r="W99" s="67"/>
      <c r="X99" s="194"/>
      <c r="Y99" s="579">
        <f>ROUNDDOWN($Y$2/$I99,0)*$AG99</f>
        <v>0</v>
      </c>
      <c r="Z99" s="76" t="s">
        <v>1311</v>
      </c>
      <c r="AA99" s="175">
        <f>ROUNDDOWN($AA$2/$I99,0)*$AI99</f>
        <v>0</v>
      </c>
      <c r="AB99" s="76" t="s">
        <v>1311</v>
      </c>
      <c r="AC99" s="175">
        <f>ROUNDDOWN($AC$2/$I99,0)*$AK99</f>
        <v>0</v>
      </c>
      <c r="AD99" s="76" t="s">
        <v>1311</v>
      </c>
      <c r="AE99" s="175">
        <f>ROUNDDOWN($AE$2/$I99,0)*$AM99</f>
        <v>0</v>
      </c>
      <c r="AF99" s="76" t="s">
        <v>1313</v>
      </c>
      <c r="AG99" s="579">
        <f t="shared" si="12"/>
        <v>0</v>
      </c>
      <c r="AH99" s="76" t="s">
        <v>1311</v>
      </c>
      <c r="AI99" s="175">
        <f t="shared" si="13"/>
        <v>0</v>
      </c>
      <c r="AJ99" s="76" t="s">
        <v>1311</v>
      </c>
      <c r="AK99" s="175">
        <f t="shared" si="14"/>
        <v>0</v>
      </c>
      <c r="AL99" s="76" t="s">
        <v>1311</v>
      </c>
      <c r="AM99" s="175">
        <f t="shared" si="15"/>
        <v>0</v>
      </c>
      <c r="AN99" s="586" t="s">
        <v>1313</v>
      </c>
    </row>
    <row r="100" spans="1:40" s="37" customFormat="1" ht="15" hidden="1" customHeight="1" outlineLevel="1">
      <c r="A100" s="55"/>
      <c r="B100" s="194"/>
      <c r="C100" s="194"/>
      <c r="D100" s="194" t="s">
        <v>1183</v>
      </c>
      <c r="E100" s="194"/>
      <c r="F100" s="194"/>
      <c r="G100" s="69"/>
      <c r="H100" s="194"/>
      <c r="I100" s="164"/>
      <c r="J100" s="166" t="s">
        <v>1187</v>
      </c>
      <c r="K100" s="167"/>
      <c r="L100" s="167"/>
      <c r="M100" s="74"/>
      <c r="N100" s="74"/>
      <c r="W100" s="67"/>
      <c r="X100" s="194"/>
      <c r="Y100" s="578">
        <f>SUM(Y101:Y103)</f>
        <v>0</v>
      </c>
      <c r="Z100" s="194" t="s">
        <v>1311</v>
      </c>
      <c r="AA100" s="163">
        <f>SUM(AA101:AA103)</f>
        <v>0</v>
      </c>
      <c r="AB100" s="194" t="s">
        <v>1311</v>
      </c>
      <c r="AC100" s="163">
        <f>SUM(AC101:AC103)</f>
        <v>0</v>
      </c>
      <c r="AD100" s="194" t="s">
        <v>1311</v>
      </c>
      <c r="AE100" s="163">
        <f>SUM(AE101:AE103)</f>
        <v>0</v>
      </c>
      <c r="AF100" s="194" t="s">
        <v>1313</v>
      </c>
      <c r="AG100" s="578">
        <f t="shared" si="12"/>
        <v>0</v>
      </c>
      <c r="AH100" s="194" t="s">
        <v>1311</v>
      </c>
      <c r="AI100" s="163">
        <f t="shared" si="13"/>
        <v>0</v>
      </c>
      <c r="AJ100" s="194" t="s">
        <v>1311</v>
      </c>
      <c r="AK100" s="163">
        <f t="shared" si="14"/>
        <v>0</v>
      </c>
      <c r="AL100" s="194" t="s">
        <v>1311</v>
      </c>
      <c r="AM100" s="163">
        <f t="shared" si="15"/>
        <v>0</v>
      </c>
      <c r="AN100" s="584" t="s">
        <v>1313</v>
      </c>
    </row>
    <row r="101" spans="1:40" s="37" customFormat="1" ht="15" hidden="1" customHeight="1" outlineLevel="1">
      <c r="A101" s="55"/>
      <c r="B101" s="194"/>
      <c r="C101" s="194"/>
      <c r="D101" s="80" t="s">
        <v>1430</v>
      </c>
      <c r="E101" s="194"/>
      <c r="F101" s="194"/>
      <c r="G101" s="69"/>
      <c r="H101" s="194"/>
      <c r="I101" s="152">
        <f>IF(ISNUMBER(VLOOKUP(J101,Nutzungsdauern,5,0)),VLOOKUP(J101,Nutzungsdauern,5,0),1000)</f>
        <v>1000</v>
      </c>
      <c r="J101" s="359" t="s">
        <v>1674</v>
      </c>
      <c r="K101" s="108"/>
      <c r="L101" s="108"/>
      <c r="M101" s="74"/>
      <c r="N101" s="74"/>
      <c r="W101" s="67"/>
      <c r="X101" s="194"/>
      <c r="Y101" s="579">
        <f>ROUNDDOWN($Y$2/$I101,0)*$AG101</f>
        <v>0</v>
      </c>
      <c r="Z101" s="76" t="s">
        <v>1311</v>
      </c>
      <c r="AA101" s="175">
        <f>ROUNDDOWN($AA$2/$I101,0)*$AI101</f>
        <v>0</v>
      </c>
      <c r="AB101" s="76" t="s">
        <v>1311</v>
      </c>
      <c r="AC101" s="175">
        <f>ROUNDDOWN($AC$2/$I101,0)*$AK101</f>
        <v>0</v>
      </c>
      <c r="AD101" s="76" t="s">
        <v>1311</v>
      </c>
      <c r="AE101" s="175">
        <f>ROUNDDOWN($AE$2/$I101,0)*$AM101</f>
        <v>0</v>
      </c>
      <c r="AF101" s="76" t="s">
        <v>1313</v>
      </c>
      <c r="AG101" s="579">
        <f t="shared" si="12"/>
        <v>0</v>
      </c>
      <c r="AH101" s="76" t="s">
        <v>1311</v>
      </c>
      <c r="AI101" s="175">
        <f t="shared" si="13"/>
        <v>0</v>
      </c>
      <c r="AJ101" s="76" t="s">
        <v>1311</v>
      </c>
      <c r="AK101" s="175">
        <f t="shared" si="14"/>
        <v>0</v>
      </c>
      <c r="AL101" s="76" t="s">
        <v>1311</v>
      </c>
      <c r="AM101" s="175">
        <f t="shared" si="15"/>
        <v>0</v>
      </c>
      <c r="AN101" s="586" t="s">
        <v>1313</v>
      </c>
    </row>
    <row r="102" spans="1:40" s="37" customFormat="1" ht="15" hidden="1" customHeight="1" outlineLevel="1">
      <c r="A102" s="55"/>
      <c r="B102" s="194"/>
      <c r="C102" s="194"/>
      <c r="D102" s="80" t="s">
        <v>1431</v>
      </c>
      <c r="E102" s="194"/>
      <c r="F102" s="194"/>
      <c r="G102" s="69"/>
      <c r="H102" s="194"/>
      <c r="I102" s="152">
        <f>IF(ISNUMBER(VLOOKUP(J102,Nutzungsdauern,5,0)),VLOOKUP(J102,Nutzungsdauern,5,0),1000)</f>
        <v>1000</v>
      </c>
      <c r="J102" s="359" t="s">
        <v>1675</v>
      </c>
      <c r="K102" s="108"/>
      <c r="L102" s="108"/>
      <c r="M102" s="74"/>
      <c r="N102" s="74"/>
      <c r="W102" s="67"/>
      <c r="X102" s="194"/>
      <c r="Y102" s="579">
        <f>ROUNDDOWN($Y$2/$I102,0)*$AG102</f>
        <v>0</v>
      </c>
      <c r="Z102" s="76" t="s">
        <v>1311</v>
      </c>
      <c r="AA102" s="175">
        <f>ROUNDDOWN($AA$2/$I102,0)*$AI102</f>
        <v>0</v>
      </c>
      <c r="AB102" s="76" t="s">
        <v>1311</v>
      </c>
      <c r="AC102" s="175">
        <f>ROUNDDOWN($AC$2/$I102,0)*$AK102</f>
        <v>0</v>
      </c>
      <c r="AD102" s="76" t="s">
        <v>1311</v>
      </c>
      <c r="AE102" s="175">
        <f>ROUNDDOWN($AE$2/$I102,0)*$AM102</f>
        <v>0</v>
      </c>
      <c r="AF102" s="76" t="s">
        <v>1313</v>
      </c>
      <c r="AG102" s="579">
        <f t="shared" si="12"/>
        <v>0</v>
      </c>
      <c r="AH102" s="76" t="s">
        <v>1311</v>
      </c>
      <c r="AI102" s="175">
        <f t="shared" si="13"/>
        <v>0</v>
      </c>
      <c r="AJ102" s="76" t="s">
        <v>1311</v>
      </c>
      <c r="AK102" s="175">
        <f t="shared" si="14"/>
        <v>0</v>
      </c>
      <c r="AL102" s="76" t="s">
        <v>1311</v>
      </c>
      <c r="AM102" s="175">
        <f t="shared" si="15"/>
        <v>0</v>
      </c>
      <c r="AN102" s="586" t="s">
        <v>1313</v>
      </c>
    </row>
    <row r="103" spans="1:40" s="37" customFormat="1" ht="15" hidden="1" customHeight="1" outlineLevel="1">
      <c r="A103" s="55"/>
      <c r="B103" s="194"/>
      <c r="C103" s="194"/>
      <c r="D103" s="80" t="s">
        <v>1432</v>
      </c>
      <c r="E103" s="194"/>
      <c r="F103" s="194"/>
      <c r="G103" s="69"/>
      <c r="H103" s="194"/>
      <c r="I103" s="152">
        <f>IF(ISNUMBER(VLOOKUP(J103,Nutzungsdauern,5,0)),VLOOKUP(J103,Nutzungsdauern,5,0),1000)</f>
        <v>1000</v>
      </c>
      <c r="J103" s="359" t="s">
        <v>1676</v>
      </c>
      <c r="K103" s="108"/>
      <c r="L103" s="108"/>
      <c r="M103" s="74"/>
      <c r="N103" s="74"/>
      <c r="W103" s="67"/>
      <c r="X103" s="194"/>
      <c r="Y103" s="579">
        <f>ROUNDDOWN($Y$2/$I103,0)*$AG103</f>
        <v>0</v>
      </c>
      <c r="Z103" s="76" t="s">
        <v>1311</v>
      </c>
      <c r="AA103" s="175">
        <f>ROUNDDOWN($AA$2/$I103,0)*$AI103</f>
        <v>0</v>
      </c>
      <c r="AB103" s="76" t="s">
        <v>1311</v>
      </c>
      <c r="AC103" s="175">
        <f>ROUNDDOWN($AC$2/$I103,0)*$AK103</f>
        <v>0</v>
      </c>
      <c r="AD103" s="76" t="s">
        <v>1311</v>
      </c>
      <c r="AE103" s="175">
        <f>ROUNDDOWN($AE$2/$I103,0)*$AM103</f>
        <v>0</v>
      </c>
      <c r="AF103" s="76" t="s">
        <v>1313</v>
      </c>
      <c r="AG103" s="579">
        <f t="shared" si="12"/>
        <v>0</v>
      </c>
      <c r="AH103" s="76" t="s">
        <v>1311</v>
      </c>
      <c r="AI103" s="175">
        <f t="shared" si="13"/>
        <v>0</v>
      </c>
      <c r="AJ103" s="76" t="s">
        <v>1311</v>
      </c>
      <c r="AK103" s="175">
        <f t="shared" si="14"/>
        <v>0</v>
      </c>
      <c r="AL103" s="76" t="s">
        <v>1311</v>
      </c>
      <c r="AM103" s="175">
        <f t="shared" si="15"/>
        <v>0</v>
      </c>
      <c r="AN103" s="586" t="s">
        <v>1313</v>
      </c>
    </row>
    <row r="104" spans="1:40" s="37" customFormat="1" ht="15" hidden="1" customHeight="1" outlineLevel="1">
      <c r="A104" s="55"/>
      <c r="B104" s="194"/>
      <c r="C104" s="194"/>
      <c r="D104" s="194" t="s">
        <v>1702</v>
      </c>
      <c r="E104" s="194"/>
      <c r="F104" s="194"/>
      <c r="G104" s="69"/>
      <c r="H104" s="194"/>
      <c r="I104" s="152">
        <f>IF(ISNUMBER(VLOOKUP(J104,Nutzungsdauern,5,0)),VLOOKUP(J104,Nutzungsdauern,5,0),1000)</f>
        <v>1000</v>
      </c>
      <c r="J104" s="359" t="s">
        <v>1188</v>
      </c>
      <c r="K104" s="108"/>
      <c r="L104" s="108"/>
      <c r="M104" s="74"/>
      <c r="N104" s="74"/>
      <c r="W104" s="67"/>
      <c r="X104" s="194"/>
      <c r="Y104" s="578">
        <f>ROUNDDOWN($Y$2/$I104,0)*$AG104</f>
        <v>0</v>
      </c>
      <c r="Z104" s="194" t="s">
        <v>1311</v>
      </c>
      <c r="AA104" s="163">
        <f>ROUNDDOWN($AA$2/$I104,0)*$AI104</f>
        <v>0</v>
      </c>
      <c r="AB104" s="194" t="s">
        <v>1311</v>
      </c>
      <c r="AC104" s="163">
        <f>ROUNDDOWN($AC$2/$I104,0)*$AK104</f>
        <v>0</v>
      </c>
      <c r="AD104" s="194" t="s">
        <v>1311</v>
      </c>
      <c r="AE104" s="163">
        <f>ROUNDDOWN($AE$2/$I104,0)*$AM104</f>
        <v>0</v>
      </c>
      <c r="AF104" s="194" t="s">
        <v>1313</v>
      </c>
      <c r="AG104" s="578">
        <f t="shared" si="12"/>
        <v>0</v>
      </c>
      <c r="AH104" s="194" t="s">
        <v>1311</v>
      </c>
      <c r="AI104" s="163">
        <f t="shared" si="13"/>
        <v>0</v>
      </c>
      <c r="AJ104" s="194" t="s">
        <v>1311</v>
      </c>
      <c r="AK104" s="163">
        <f t="shared" si="14"/>
        <v>0</v>
      </c>
      <c r="AL104" s="194" t="s">
        <v>1311</v>
      </c>
      <c r="AM104" s="163">
        <f t="shared" si="15"/>
        <v>0</v>
      </c>
      <c r="AN104" s="584" t="s">
        <v>1313</v>
      </c>
    </row>
    <row r="105" spans="1:40" s="37" customFormat="1" ht="15" hidden="1" customHeight="1" outlineLevel="1">
      <c r="A105" s="55"/>
      <c r="B105" s="194"/>
      <c r="C105" s="194"/>
      <c r="D105" s="194" t="s">
        <v>1435</v>
      </c>
      <c r="E105" s="194"/>
      <c r="F105" s="194"/>
      <c r="G105" s="69"/>
      <c r="H105" s="194"/>
      <c r="I105" s="164"/>
      <c r="J105" s="166" t="s">
        <v>1439</v>
      </c>
      <c r="K105" s="167"/>
      <c r="L105" s="167"/>
      <c r="M105" s="74"/>
      <c r="N105" s="74"/>
      <c r="W105" s="67"/>
      <c r="X105" s="194"/>
      <c r="Y105" s="578">
        <f>SUM(Y106:Y108)</f>
        <v>0</v>
      </c>
      <c r="Z105" s="194" t="s">
        <v>1311</v>
      </c>
      <c r="AA105" s="163">
        <f>SUM(AA106:AA108)</f>
        <v>0</v>
      </c>
      <c r="AB105" s="194" t="s">
        <v>1311</v>
      </c>
      <c r="AC105" s="163">
        <f>SUM(AC106:AC108)</f>
        <v>0</v>
      </c>
      <c r="AD105" s="194" t="s">
        <v>1311</v>
      </c>
      <c r="AE105" s="163">
        <f>SUM(AE106:AE108)</f>
        <v>0</v>
      </c>
      <c r="AF105" s="194" t="s">
        <v>1313</v>
      </c>
      <c r="AG105" s="578">
        <f t="shared" si="12"/>
        <v>0</v>
      </c>
      <c r="AH105" s="194" t="s">
        <v>1311</v>
      </c>
      <c r="AI105" s="163">
        <f t="shared" si="13"/>
        <v>0</v>
      </c>
      <c r="AJ105" s="194" t="s">
        <v>1311</v>
      </c>
      <c r="AK105" s="163">
        <f t="shared" si="14"/>
        <v>0</v>
      </c>
      <c r="AL105" s="194" t="s">
        <v>1311</v>
      </c>
      <c r="AM105" s="163">
        <f t="shared" si="15"/>
        <v>0</v>
      </c>
      <c r="AN105" s="584" t="s">
        <v>1313</v>
      </c>
    </row>
    <row r="106" spans="1:40" s="37" customFormat="1" ht="15" hidden="1" customHeight="1" outlineLevel="1">
      <c r="A106" s="55"/>
      <c r="B106" s="194"/>
      <c r="C106" s="194"/>
      <c r="D106" s="80" t="s">
        <v>1436</v>
      </c>
      <c r="E106" s="194"/>
      <c r="F106" s="194"/>
      <c r="G106" s="69"/>
      <c r="H106" s="194"/>
      <c r="I106" s="152">
        <f>IF(ISNUMBER(VLOOKUP(J106,Nutzungsdauern,5,0)),VLOOKUP(J106,Nutzungsdauern,5,0),1000)</f>
        <v>100</v>
      </c>
      <c r="J106" s="359" t="s">
        <v>1703</v>
      </c>
      <c r="K106" s="108"/>
      <c r="L106" s="108"/>
      <c r="M106" s="74"/>
      <c r="N106" s="74"/>
      <c r="W106" s="67"/>
      <c r="X106" s="194"/>
      <c r="Y106" s="579">
        <f>ROUNDDOWN($Y$2/$I106,0)*$AG106</f>
        <v>0</v>
      </c>
      <c r="Z106" s="76" t="s">
        <v>1311</v>
      </c>
      <c r="AA106" s="175">
        <f>ROUNDDOWN($AA$2/$I106,0)*$AI106</f>
        <v>0</v>
      </c>
      <c r="AB106" s="76" t="s">
        <v>1311</v>
      </c>
      <c r="AC106" s="175">
        <f>ROUNDDOWN($AC$2/$I106,0)*$AK106</f>
        <v>0</v>
      </c>
      <c r="AD106" s="76" t="s">
        <v>1311</v>
      </c>
      <c r="AE106" s="175">
        <f>ROUNDDOWN($AE$2/$I106,0)*$AM106</f>
        <v>0</v>
      </c>
      <c r="AF106" s="76" t="s">
        <v>1313</v>
      </c>
      <c r="AG106" s="578">
        <f t="shared" si="12"/>
        <v>0</v>
      </c>
      <c r="AH106" s="194" t="s">
        <v>1311</v>
      </c>
      <c r="AI106" s="163">
        <f t="shared" si="13"/>
        <v>0</v>
      </c>
      <c r="AJ106" s="194" t="s">
        <v>1311</v>
      </c>
      <c r="AK106" s="163">
        <f t="shared" si="14"/>
        <v>0</v>
      </c>
      <c r="AL106" s="194" t="s">
        <v>1311</v>
      </c>
      <c r="AM106" s="163">
        <f t="shared" si="15"/>
        <v>0</v>
      </c>
      <c r="AN106" s="584" t="s">
        <v>1313</v>
      </c>
    </row>
    <row r="107" spans="1:40" s="37" customFormat="1" ht="15" hidden="1" customHeight="1" outlineLevel="1">
      <c r="A107" s="55"/>
      <c r="B107" s="194"/>
      <c r="C107" s="194"/>
      <c r="D107" s="80" t="s">
        <v>1437</v>
      </c>
      <c r="E107" s="194"/>
      <c r="F107" s="194"/>
      <c r="G107" s="69"/>
      <c r="H107" s="194"/>
      <c r="I107" s="152">
        <f>IF(ISNUMBER(VLOOKUP(J107,Nutzungsdauern,5,0)),VLOOKUP(J107,Nutzungsdauern,5,0),1000)</f>
        <v>100</v>
      </c>
      <c r="J107" s="359" t="s">
        <v>1704</v>
      </c>
      <c r="K107" s="108"/>
      <c r="L107" s="108"/>
      <c r="M107" s="74"/>
      <c r="N107" s="74"/>
      <c r="W107" s="67"/>
      <c r="X107" s="194"/>
      <c r="Y107" s="579">
        <f>ROUNDDOWN($Y$2/$I107,0)*$AG107</f>
        <v>0</v>
      </c>
      <c r="Z107" s="76" t="s">
        <v>1311</v>
      </c>
      <c r="AA107" s="175">
        <f>ROUNDDOWN($AA$2/$I107,0)*$AI107</f>
        <v>0</v>
      </c>
      <c r="AB107" s="76" t="s">
        <v>1311</v>
      </c>
      <c r="AC107" s="175">
        <f>ROUNDDOWN($AC$2/$I107,0)*$AK107</f>
        <v>0</v>
      </c>
      <c r="AD107" s="76" t="s">
        <v>1311</v>
      </c>
      <c r="AE107" s="175">
        <f>ROUNDDOWN($AE$2/$I107,0)*$AM107</f>
        <v>0</v>
      </c>
      <c r="AF107" s="76" t="s">
        <v>1313</v>
      </c>
      <c r="AG107" s="578">
        <f t="shared" si="12"/>
        <v>0</v>
      </c>
      <c r="AH107" s="194" t="s">
        <v>1311</v>
      </c>
      <c r="AI107" s="163">
        <f t="shared" si="13"/>
        <v>0</v>
      </c>
      <c r="AJ107" s="194" t="s">
        <v>1311</v>
      </c>
      <c r="AK107" s="163">
        <f t="shared" si="14"/>
        <v>0</v>
      </c>
      <c r="AL107" s="194" t="s">
        <v>1311</v>
      </c>
      <c r="AM107" s="163">
        <f t="shared" si="15"/>
        <v>0</v>
      </c>
      <c r="AN107" s="584" t="s">
        <v>1313</v>
      </c>
    </row>
    <row r="108" spans="1:40" s="37" customFormat="1" ht="15" hidden="1" customHeight="1" outlineLevel="1">
      <c r="A108" s="55"/>
      <c r="B108" s="194"/>
      <c r="C108" s="194"/>
      <c r="D108" s="80" t="s">
        <v>1438</v>
      </c>
      <c r="E108" s="194"/>
      <c r="F108" s="194"/>
      <c r="G108" s="69"/>
      <c r="H108" s="194"/>
      <c r="I108" s="152">
        <f>IF(ISNUMBER(VLOOKUP(J108,Nutzungsdauern,5,0)),VLOOKUP(J108,Nutzungsdauern,5,0),1000)</f>
        <v>100</v>
      </c>
      <c r="J108" s="359" t="s">
        <v>1705</v>
      </c>
      <c r="K108" s="108"/>
      <c r="L108" s="108"/>
      <c r="M108" s="69"/>
      <c r="N108" s="74"/>
      <c r="W108" s="67"/>
      <c r="X108" s="194"/>
      <c r="Y108" s="579">
        <f>ROUNDDOWN($Y$2/$I108,0)*$AG108</f>
        <v>0</v>
      </c>
      <c r="Z108" s="76" t="s">
        <v>1311</v>
      </c>
      <c r="AA108" s="175">
        <f>ROUNDDOWN($AA$2/$I108,0)*$AI108</f>
        <v>0</v>
      </c>
      <c r="AB108" s="76" t="s">
        <v>1311</v>
      </c>
      <c r="AC108" s="175">
        <f>ROUNDDOWN($AC$2/$I108,0)*$AK108</f>
        <v>0</v>
      </c>
      <c r="AD108" s="76" t="s">
        <v>1311</v>
      </c>
      <c r="AE108" s="175">
        <f>ROUNDDOWN($AE$2/$I108,0)*$AM108</f>
        <v>0</v>
      </c>
      <c r="AF108" s="76" t="s">
        <v>1313</v>
      </c>
      <c r="AG108" s="578">
        <f t="shared" si="12"/>
        <v>0</v>
      </c>
      <c r="AH108" s="194" t="s">
        <v>1311</v>
      </c>
      <c r="AI108" s="163">
        <f t="shared" si="13"/>
        <v>0</v>
      </c>
      <c r="AJ108" s="194" t="s">
        <v>1311</v>
      </c>
      <c r="AK108" s="163">
        <f t="shared" si="14"/>
        <v>0</v>
      </c>
      <c r="AL108" s="194" t="s">
        <v>1311</v>
      </c>
      <c r="AM108" s="163">
        <f t="shared" si="15"/>
        <v>0</v>
      </c>
      <c r="AN108" s="584" t="s">
        <v>1313</v>
      </c>
    </row>
    <row r="109" spans="1:40" s="37" customFormat="1" ht="15" customHeight="1" collapsed="1">
      <c r="A109" s="293">
        <v>9800</v>
      </c>
      <c r="B109" s="172" t="s">
        <v>743</v>
      </c>
      <c r="C109" s="172" t="s">
        <v>853</v>
      </c>
      <c r="D109" s="172" t="s">
        <v>324</v>
      </c>
      <c r="E109" s="172"/>
      <c r="F109" s="172"/>
      <c r="G109" s="171"/>
      <c r="H109" s="172"/>
      <c r="I109" s="172"/>
      <c r="J109" s="172"/>
      <c r="K109" s="293"/>
      <c r="L109" s="293"/>
      <c r="M109" s="157" t="e">
        <f t="shared" si="8"/>
        <v>#VALUE!</v>
      </c>
      <c r="N109" s="295" t="s">
        <v>103</v>
      </c>
      <c r="W109" s="171"/>
      <c r="X109" s="172"/>
      <c r="Y109" s="572">
        <f>SUM(Y120,Y119,Y110)</f>
        <v>0</v>
      </c>
      <c r="Z109" s="172"/>
      <c r="AA109" s="171">
        <f>SUM(AA120,AA119,AA110)</f>
        <v>0</v>
      </c>
      <c r="AB109" s="172"/>
      <c r="AC109" s="171">
        <f>SUM(AC120,AC119,AC110)</f>
        <v>0</v>
      </c>
      <c r="AD109" s="172"/>
      <c r="AE109" s="171">
        <f>SUM(AE120,AE119,AE110)</f>
        <v>0</v>
      </c>
      <c r="AF109" s="172"/>
      <c r="AG109" s="513">
        <f>SUM(AG110,AG119,AG121,AG126)</f>
        <v>0</v>
      </c>
      <c r="AH109" s="172"/>
      <c r="AI109" s="158">
        <f>SUM(AI110,AI119,AI121,AI126)</f>
        <v>0</v>
      </c>
      <c r="AJ109" s="172"/>
      <c r="AK109" s="158">
        <f>SUM(AK110,AK119,AK121,AK126)</f>
        <v>0</v>
      </c>
      <c r="AL109" s="172"/>
      <c r="AM109" s="158">
        <f>SUM(AM110,AM119,AM121,AM126)</f>
        <v>0</v>
      </c>
      <c r="AN109" s="583"/>
    </row>
    <row r="110" spans="1:40" s="37" customFormat="1" ht="15" customHeight="1">
      <c r="A110" s="55">
        <v>9900</v>
      </c>
      <c r="B110" s="194" t="s">
        <v>728</v>
      </c>
      <c r="C110" s="194" t="s">
        <v>854</v>
      </c>
      <c r="D110" s="194" t="s">
        <v>322</v>
      </c>
      <c r="E110" s="194"/>
      <c r="F110" s="194"/>
      <c r="G110" s="165" t="e">
        <f t="shared" si="11"/>
        <v>#VALUE!</v>
      </c>
      <c r="H110" s="194" t="s">
        <v>850</v>
      </c>
      <c r="I110" s="152">
        <f t="shared" ref="I110:I119" si="16">IF(ISNUMBER(VLOOKUP(J110,Nutzungsdauern,5,0)),VLOOKUP(J110,Nutzungsdauern,5,0),1000)</f>
        <v>100</v>
      </c>
      <c r="J110" s="194" t="s">
        <v>323</v>
      </c>
      <c r="K110" s="108"/>
      <c r="L110" s="108"/>
      <c r="M110" s="165" t="e">
        <f t="shared" si="8"/>
        <v>#VALUE!</v>
      </c>
      <c r="N110" s="74" t="s">
        <v>103</v>
      </c>
      <c r="W110" s="67"/>
      <c r="X110" s="194"/>
      <c r="Y110" s="573">
        <f>SUM(Y111:Y118)</f>
        <v>0</v>
      </c>
      <c r="Z110" s="194" t="s">
        <v>1311</v>
      </c>
      <c r="AA110" s="165">
        <f>SUM(AA111:AA118)</f>
        <v>0</v>
      </c>
      <c r="AB110" s="194" t="s">
        <v>1311</v>
      </c>
      <c r="AC110" s="165">
        <f>SUM(AC111:AC118)</f>
        <v>0</v>
      </c>
      <c r="AD110" s="194" t="s">
        <v>1311</v>
      </c>
      <c r="AE110" s="165">
        <f>SUM(AE111:AE118)</f>
        <v>0</v>
      </c>
      <c r="AF110" s="194" t="s">
        <v>1313</v>
      </c>
      <c r="AG110" s="573">
        <f>VLOOKUP("E2.D.01",Ergebnisse_Errichtung,7,0)</f>
        <v>0</v>
      </c>
      <c r="AH110" s="194" t="s">
        <v>1311</v>
      </c>
      <c r="AI110" s="165">
        <f>VLOOKUP("E2.D.01",Ergebnisse_Errichtung,9,0)</f>
        <v>0</v>
      </c>
      <c r="AJ110" s="194" t="s">
        <v>1311</v>
      </c>
      <c r="AK110" s="165">
        <f>VLOOKUP("E2.D.01",Ergebnisse_Errichtung,11,0)</f>
        <v>0</v>
      </c>
      <c r="AL110" s="194" t="s">
        <v>1311</v>
      </c>
      <c r="AM110" s="165">
        <f>VLOOKUP("E2.D.01",Ergebnisse_Errichtung,13,0)</f>
        <v>0</v>
      </c>
      <c r="AN110" s="584" t="s">
        <v>1313</v>
      </c>
    </row>
    <row r="111" spans="1:40" s="37" customFormat="1" ht="15" hidden="1" customHeight="1" outlineLevel="1">
      <c r="A111" s="55"/>
      <c r="B111" s="194"/>
      <c r="C111" s="194"/>
      <c r="D111" s="194" t="s">
        <v>1516</v>
      </c>
      <c r="E111" s="194"/>
      <c r="F111" s="194"/>
      <c r="G111" s="194"/>
      <c r="H111" s="194"/>
      <c r="I111" s="152">
        <f t="shared" si="16"/>
        <v>1000</v>
      </c>
      <c r="J111" s="359" t="s">
        <v>1708</v>
      </c>
      <c r="K111" s="108"/>
      <c r="L111" s="108"/>
      <c r="M111" s="108"/>
      <c r="N111" s="74"/>
      <c r="W111" s="67"/>
      <c r="X111" s="194"/>
      <c r="Y111" s="580">
        <f t="shared" ref="Y111:Y119" si="17">ROUNDDOWN($Y$2/$I111,0)*$AG111</f>
        <v>0</v>
      </c>
      <c r="Z111" s="76" t="s">
        <v>1311</v>
      </c>
      <c r="AA111" s="426">
        <f t="shared" ref="AA111:AA119" si="18">ROUNDDOWN($AA$2/$I111,0)*$AI111</f>
        <v>0</v>
      </c>
      <c r="AB111" s="76" t="s">
        <v>1311</v>
      </c>
      <c r="AC111" s="426">
        <f t="shared" ref="AC111:AC119" si="19">ROUNDDOWN($AC$2/$I111,0)*$AK111</f>
        <v>0</v>
      </c>
      <c r="AD111" s="76" t="s">
        <v>1311</v>
      </c>
      <c r="AE111" s="426">
        <f t="shared" ref="AE111:AE119" si="20">ROUNDDOWN($AE$2/$I111,0)*$AM111</f>
        <v>0</v>
      </c>
      <c r="AF111" s="76" t="s">
        <v>1313</v>
      </c>
      <c r="AG111" s="580">
        <f t="shared" ref="AG111:AG118" si="21">VLOOKUP(J111,Ergebnisse_Errichtung,7,0)</f>
        <v>0</v>
      </c>
      <c r="AH111" s="76" t="s">
        <v>1311</v>
      </c>
      <c r="AI111" s="426">
        <f t="shared" ref="AI111:AI119" si="22">VLOOKUP(J111,Ergebnisse_Errichtung,9,0)</f>
        <v>0</v>
      </c>
      <c r="AJ111" s="76" t="s">
        <v>1311</v>
      </c>
      <c r="AK111" s="426">
        <f t="shared" ref="AK111:AK119" si="23">VLOOKUP(J111,Ergebnisse_Errichtung,11,0)</f>
        <v>0</v>
      </c>
      <c r="AL111" s="76" t="s">
        <v>1311</v>
      </c>
      <c r="AM111" s="426">
        <f t="shared" ref="AM111:AM118" si="24">VLOOKUP(J111,Ergebnisse_Errichtung,13,0)</f>
        <v>0</v>
      </c>
      <c r="AN111" s="586" t="s">
        <v>1313</v>
      </c>
    </row>
    <row r="112" spans="1:40" s="37" customFormat="1" ht="15" hidden="1" customHeight="1" outlineLevel="1">
      <c r="A112" s="55"/>
      <c r="B112" s="194"/>
      <c r="C112" s="194"/>
      <c r="D112" s="80" t="s">
        <v>1517</v>
      </c>
      <c r="E112" s="194"/>
      <c r="F112" s="194"/>
      <c r="G112" s="194"/>
      <c r="H112" s="194"/>
      <c r="I112" s="152">
        <f t="shared" si="16"/>
        <v>1000</v>
      </c>
      <c r="J112" s="359" t="s">
        <v>1707</v>
      </c>
      <c r="K112" s="108"/>
      <c r="L112" s="108"/>
      <c r="M112" s="108"/>
      <c r="N112" s="74"/>
      <c r="W112" s="67"/>
      <c r="X112" s="194"/>
      <c r="Y112" s="580">
        <f t="shared" si="17"/>
        <v>0</v>
      </c>
      <c r="Z112" s="76" t="s">
        <v>1311</v>
      </c>
      <c r="AA112" s="426">
        <f t="shared" si="18"/>
        <v>0</v>
      </c>
      <c r="AB112" s="76" t="s">
        <v>1311</v>
      </c>
      <c r="AC112" s="426">
        <f t="shared" si="19"/>
        <v>0</v>
      </c>
      <c r="AD112" s="76" t="s">
        <v>1311</v>
      </c>
      <c r="AE112" s="426">
        <f t="shared" si="20"/>
        <v>0</v>
      </c>
      <c r="AF112" s="76" t="s">
        <v>1313</v>
      </c>
      <c r="AG112" s="580">
        <f t="shared" si="21"/>
        <v>0</v>
      </c>
      <c r="AH112" s="76" t="s">
        <v>1311</v>
      </c>
      <c r="AI112" s="426">
        <f t="shared" si="22"/>
        <v>0</v>
      </c>
      <c r="AJ112" s="76" t="s">
        <v>1311</v>
      </c>
      <c r="AK112" s="426">
        <f t="shared" si="23"/>
        <v>0</v>
      </c>
      <c r="AL112" s="76" t="s">
        <v>1311</v>
      </c>
      <c r="AM112" s="426">
        <f t="shared" si="24"/>
        <v>0</v>
      </c>
      <c r="AN112" s="586" t="s">
        <v>1313</v>
      </c>
    </row>
    <row r="113" spans="1:40" s="37" customFormat="1" ht="15" hidden="1" customHeight="1" outlineLevel="1">
      <c r="A113" s="55"/>
      <c r="B113" s="194"/>
      <c r="C113" s="194"/>
      <c r="D113" s="80" t="s">
        <v>1518</v>
      </c>
      <c r="E113" s="194"/>
      <c r="F113" s="194"/>
      <c r="G113" s="194"/>
      <c r="H113" s="194"/>
      <c r="I113" s="152">
        <f t="shared" si="16"/>
        <v>1000</v>
      </c>
      <c r="J113" s="359" t="s">
        <v>1710</v>
      </c>
      <c r="K113" s="108"/>
      <c r="L113" s="108"/>
      <c r="M113" s="108"/>
      <c r="N113" s="74"/>
      <c r="W113" s="67"/>
      <c r="X113" s="194"/>
      <c r="Y113" s="580">
        <f t="shared" si="17"/>
        <v>0</v>
      </c>
      <c r="Z113" s="76" t="s">
        <v>1311</v>
      </c>
      <c r="AA113" s="426">
        <f t="shared" si="18"/>
        <v>0</v>
      </c>
      <c r="AB113" s="76" t="s">
        <v>1311</v>
      </c>
      <c r="AC113" s="426">
        <f t="shared" si="19"/>
        <v>0</v>
      </c>
      <c r="AD113" s="76" t="s">
        <v>1311</v>
      </c>
      <c r="AE113" s="426">
        <f t="shared" si="20"/>
        <v>0</v>
      </c>
      <c r="AF113" s="76" t="s">
        <v>1313</v>
      </c>
      <c r="AG113" s="580">
        <f t="shared" si="21"/>
        <v>0</v>
      </c>
      <c r="AH113" s="76" t="s">
        <v>1311</v>
      </c>
      <c r="AI113" s="426">
        <f t="shared" si="22"/>
        <v>0</v>
      </c>
      <c r="AJ113" s="76" t="s">
        <v>1311</v>
      </c>
      <c r="AK113" s="426">
        <f t="shared" si="23"/>
        <v>0</v>
      </c>
      <c r="AL113" s="76" t="s">
        <v>1311</v>
      </c>
      <c r="AM113" s="426">
        <f t="shared" si="24"/>
        <v>0</v>
      </c>
      <c r="AN113" s="586" t="s">
        <v>1313</v>
      </c>
    </row>
    <row r="114" spans="1:40" s="37" customFormat="1" ht="15" hidden="1" customHeight="1" outlineLevel="1">
      <c r="A114" s="55"/>
      <c r="B114" s="194"/>
      <c r="C114" s="194"/>
      <c r="D114" s="194" t="s">
        <v>1520</v>
      </c>
      <c r="E114" s="194"/>
      <c r="F114" s="194"/>
      <c r="G114" s="194"/>
      <c r="H114" s="194"/>
      <c r="I114" s="152">
        <f t="shared" si="16"/>
        <v>1000</v>
      </c>
      <c r="J114" s="359" t="s">
        <v>1711</v>
      </c>
      <c r="K114" s="108"/>
      <c r="L114" s="108"/>
      <c r="M114" s="108"/>
      <c r="N114" s="74"/>
      <c r="W114" s="67"/>
      <c r="X114" s="194"/>
      <c r="Y114" s="580">
        <f t="shared" si="17"/>
        <v>0</v>
      </c>
      <c r="Z114" s="76" t="s">
        <v>1311</v>
      </c>
      <c r="AA114" s="426">
        <f t="shared" si="18"/>
        <v>0</v>
      </c>
      <c r="AB114" s="76" t="s">
        <v>1311</v>
      </c>
      <c r="AC114" s="426">
        <f t="shared" si="19"/>
        <v>0</v>
      </c>
      <c r="AD114" s="76" t="s">
        <v>1311</v>
      </c>
      <c r="AE114" s="426">
        <f t="shared" si="20"/>
        <v>0</v>
      </c>
      <c r="AF114" s="76" t="s">
        <v>1313</v>
      </c>
      <c r="AG114" s="580">
        <f t="shared" si="21"/>
        <v>0</v>
      </c>
      <c r="AH114" s="76" t="s">
        <v>1311</v>
      </c>
      <c r="AI114" s="426">
        <f t="shared" si="22"/>
        <v>0</v>
      </c>
      <c r="AJ114" s="76" t="s">
        <v>1311</v>
      </c>
      <c r="AK114" s="426">
        <f t="shared" si="23"/>
        <v>0</v>
      </c>
      <c r="AL114" s="76" t="s">
        <v>1311</v>
      </c>
      <c r="AM114" s="426">
        <f t="shared" si="24"/>
        <v>0</v>
      </c>
      <c r="AN114" s="586" t="s">
        <v>1313</v>
      </c>
    </row>
    <row r="115" spans="1:40" s="37" customFormat="1" ht="15" hidden="1" customHeight="1" outlineLevel="1">
      <c r="A115" s="55"/>
      <c r="B115" s="194"/>
      <c r="C115" s="194"/>
      <c r="D115" s="80" t="s">
        <v>1521</v>
      </c>
      <c r="E115" s="194"/>
      <c r="F115" s="194"/>
      <c r="G115" s="194"/>
      <c r="H115" s="194"/>
      <c r="I115" s="152">
        <f t="shared" si="16"/>
        <v>1000</v>
      </c>
      <c r="J115" s="359" t="s">
        <v>1712</v>
      </c>
      <c r="K115" s="108"/>
      <c r="L115" s="108"/>
      <c r="M115" s="108"/>
      <c r="N115" s="74"/>
      <c r="W115" s="67"/>
      <c r="X115" s="194"/>
      <c r="Y115" s="580">
        <f t="shared" si="17"/>
        <v>0</v>
      </c>
      <c r="Z115" s="76" t="s">
        <v>1311</v>
      </c>
      <c r="AA115" s="426">
        <f t="shared" si="18"/>
        <v>0</v>
      </c>
      <c r="AB115" s="76" t="s">
        <v>1311</v>
      </c>
      <c r="AC115" s="426">
        <f t="shared" si="19"/>
        <v>0</v>
      </c>
      <c r="AD115" s="76" t="s">
        <v>1311</v>
      </c>
      <c r="AE115" s="426">
        <f t="shared" si="20"/>
        <v>0</v>
      </c>
      <c r="AF115" s="76" t="s">
        <v>1313</v>
      </c>
      <c r="AG115" s="580">
        <f t="shared" si="21"/>
        <v>0</v>
      </c>
      <c r="AH115" s="76" t="s">
        <v>1311</v>
      </c>
      <c r="AI115" s="426">
        <f t="shared" si="22"/>
        <v>0</v>
      </c>
      <c r="AJ115" s="76" t="s">
        <v>1311</v>
      </c>
      <c r="AK115" s="426">
        <f t="shared" si="23"/>
        <v>0</v>
      </c>
      <c r="AL115" s="76" t="s">
        <v>1311</v>
      </c>
      <c r="AM115" s="426">
        <f t="shared" si="24"/>
        <v>0</v>
      </c>
      <c r="AN115" s="586" t="s">
        <v>1313</v>
      </c>
    </row>
    <row r="116" spans="1:40" s="37" customFormat="1" ht="15" hidden="1" customHeight="1" outlineLevel="1">
      <c r="A116" s="55"/>
      <c r="B116" s="194"/>
      <c r="C116" s="194"/>
      <c r="D116" s="194" t="s">
        <v>1522</v>
      </c>
      <c r="E116" s="194"/>
      <c r="F116" s="194"/>
      <c r="G116" s="194"/>
      <c r="H116" s="194"/>
      <c r="I116" s="152">
        <f t="shared" si="16"/>
        <v>1000</v>
      </c>
      <c r="J116" s="359" t="s">
        <v>1713</v>
      </c>
      <c r="K116" s="108"/>
      <c r="L116" s="108"/>
      <c r="M116" s="108"/>
      <c r="N116" s="74"/>
      <c r="W116" s="67"/>
      <c r="X116" s="194"/>
      <c r="Y116" s="580">
        <f t="shared" si="17"/>
        <v>0</v>
      </c>
      <c r="Z116" s="76" t="s">
        <v>1311</v>
      </c>
      <c r="AA116" s="426">
        <f t="shared" si="18"/>
        <v>0</v>
      </c>
      <c r="AB116" s="76" t="s">
        <v>1311</v>
      </c>
      <c r="AC116" s="426">
        <f t="shared" si="19"/>
        <v>0</v>
      </c>
      <c r="AD116" s="76" t="s">
        <v>1311</v>
      </c>
      <c r="AE116" s="426">
        <f t="shared" si="20"/>
        <v>0</v>
      </c>
      <c r="AF116" s="76" t="s">
        <v>1313</v>
      </c>
      <c r="AG116" s="580">
        <f t="shared" si="21"/>
        <v>0</v>
      </c>
      <c r="AH116" s="76" t="s">
        <v>1311</v>
      </c>
      <c r="AI116" s="426">
        <f t="shared" si="22"/>
        <v>0</v>
      </c>
      <c r="AJ116" s="76" t="s">
        <v>1311</v>
      </c>
      <c r="AK116" s="426">
        <f t="shared" si="23"/>
        <v>0</v>
      </c>
      <c r="AL116" s="76" t="s">
        <v>1311</v>
      </c>
      <c r="AM116" s="426">
        <f t="shared" si="24"/>
        <v>0</v>
      </c>
      <c r="AN116" s="586" t="s">
        <v>1313</v>
      </c>
    </row>
    <row r="117" spans="1:40" s="37" customFormat="1" ht="15" hidden="1" customHeight="1" outlineLevel="1">
      <c r="A117" s="55"/>
      <c r="B117" s="194"/>
      <c r="C117" s="194"/>
      <c r="D117" s="80" t="s">
        <v>1447</v>
      </c>
      <c r="E117" s="194"/>
      <c r="F117" s="194"/>
      <c r="G117" s="194"/>
      <c r="H117" s="194"/>
      <c r="I117" s="152">
        <f t="shared" si="16"/>
        <v>1000</v>
      </c>
      <c r="J117" s="359" t="s">
        <v>1714</v>
      </c>
      <c r="K117" s="108"/>
      <c r="L117" s="108"/>
      <c r="M117" s="108"/>
      <c r="N117" s="74"/>
      <c r="W117" s="67"/>
      <c r="X117" s="194"/>
      <c r="Y117" s="580">
        <f t="shared" si="17"/>
        <v>0</v>
      </c>
      <c r="Z117" s="76" t="s">
        <v>1311</v>
      </c>
      <c r="AA117" s="426">
        <f t="shared" si="18"/>
        <v>0</v>
      </c>
      <c r="AB117" s="76" t="s">
        <v>1311</v>
      </c>
      <c r="AC117" s="426">
        <f t="shared" si="19"/>
        <v>0</v>
      </c>
      <c r="AD117" s="76" t="s">
        <v>1311</v>
      </c>
      <c r="AE117" s="426">
        <f t="shared" si="20"/>
        <v>0</v>
      </c>
      <c r="AF117" s="76" t="s">
        <v>1313</v>
      </c>
      <c r="AG117" s="580">
        <f t="shared" si="21"/>
        <v>0</v>
      </c>
      <c r="AH117" s="76" t="s">
        <v>1311</v>
      </c>
      <c r="AI117" s="426">
        <f t="shared" si="22"/>
        <v>0</v>
      </c>
      <c r="AJ117" s="76" t="s">
        <v>1311</v>
      </c>
      <c r="AK117" s="426">
        <f t="shared" si="23"/>
        <v>0</v>
      </c>
      <c r="AL117" s="76" t="s">
        <v>1311</v>
      </c>
      <c r="AM117" s="426">
        <f t="shared" si="24"/>
        <v>0</v>
      </c>
      <c r="AN117" s="586" t="s">
        <v>1313</v>
      </c>
    </row>
    <row r="118" spans="1:40" s="37" customFormat="1" ht="15" hidden="1" customHeight="1" outlineLevel="1">
      <c r="A118" s="55"/>
      <c r="B118" s="194"/>
      <c r="C118" s="194"/>
      <c r="D118" s="80" t="s">
        <v>1448</v>
      </c>
      <c r="E118" s="194"/>
      <c r="F118" s="194"/>
      <c r="G118" s="69"/>
      <c r="H118" s="194"/>
      <c r="I118" s="152">
        <f t="shared" si="16"/>
        <v>1000</v>
      </c>
      <c r="J118" s="359" t="s">
        <v>1716</v>
      </c>
      <c r="K118" s="108"/>
      <c r="L118" s="108"/>
      <c r="M118" s="108"/>
      <c r="N118" s="74"/>
      <c r="W118" s="67"/>
      <c r="X118" s="194"/>
      <c r="Y118" s="580">
        <f t="shared" si="17"/>
        <v>0</v>
      </c>
      <c r="Z118" s="76" t="s">
        <v>1311</v>
      </c>
      <c r="AA118" s="426">
        <f t="shared" si="18"/>
        <v>0</v>
      </c>
      <c r="AB118" s="76" t="s">
        <v>1311</v>
      </c>
      <c r="AC118" s="426">
        <f t="shared" si="19"/>
        <v>0</v>
      </c>
      <c r="AD118" s="76" t="s">
        <v>1311</v>
      </c>
      <c r="AE118" s="426">
        <f t="shared" si="20"/>
        <v>0</v>
      </c>
      <c r="AF118" s="76" t="s">
        <v>1313</v>
      </c>
      <c r="AG118" s="580">
        <f t="shared" si="21"/>
        <v>0</v>
      </c>
      <c r="AH118" s="76" t="s">
        <v>1311</v>
      </c>
      <c r="AI118" s="426">
        <f t="shared" si="22"/>
        <v>0</v>
      </c>
      <c r="AJ118" s="76" t="s">
        <v>1311</v>
      </c>
      <c r="AK118" s="426">
        <f t="shared" si="23"/>
        <v>0</v>
      </c>
      <c r="AL118" s="76" t="s">
        <v>1311</v>
      </c>
      <c r="AM118" s="426">
        <f t="shared" si="24"/>
        <v>0</v>
      </c>
      <c r="AN118" s="586" t="s">
        <v>1313</v>
      </c>
    </row>
    <row r="119" spans="1:40" s="37" customFormat="1" ht="15" customHeight="1" collapsed="1">
      <c r="A119" s="55">
        <v>10000</v>
      </c>
      <c r="B119" s="194" t="s">
        <v>728</v>
      </c>
      <c r="C119" s="194" t="s">
        <v>855</v>
      </c>
      <c r="D119" s="194" t="s">
        <v>319</v>
      </c>
      <c r="E119" s="194"/>
      <c r="F119" s="194"/>
      <c r="G119" s="165" t="e">
        <f t="shared" si="11"/>
        <v>#VALUE!</v>
      </c>
      <c r="H119" s="194" t="s">
        <v>850</v>
      </c>
      <c r="I119" s="152">
        <f t="shared" si="16"/>
        <v>1000</v>
      </c>
      <c r="J119" s="194" t="s">
        <v>320</v>
      </c>
      <c r="K119" s="108"/>
      <c r="L119" s="108"/>
      <c r="M119" s="165" t="e">
        <f t="shared" si="8"/>
        <v>#VALUE!</v>
      </c>
      <c r="N119" s="74" t="s">
        <v>103</v>
      </c>
      <c r="W119" s="67"/>
      <c r="X119" s="194"/>
      <c r="Y119" s="573">
        <f t="shared" si="17"/>
        <v>0</v>
      </c>
      <c r="Z119" s="194" t="s">
        <v>1311</v>
      </c>
      <c r="AA119" s="165">
        <f t="shared" si="18"/>
        <v>0</v>
      </c>
      <c r="AB119" s="194" t="s">
        <v>1311</v>
      </c>
      <c r="AC119" s="165">
        <f t="shared" si="19"/>
        <v>0</v>
      </c>
      <c r="AD119" s="194" t="s">
        <v>1311</v>
      </c>
      <c r="AE119" s="165">
        <f t="shared" si="20"/>
        <v>0</v>
      </c>
      <c r="AF119" s="194" t="s">
        <v>1313</v>
      </c>
      <c r="AG119" s="573">
        <f>VLOOKUP("E2.D.02",Ergebnisse_Errichtung,7,0)</f>
        <v>0</v>
      </c>
      <c r="AH119" s="194" t="s">
        <v>1311</v>
      </c>
      <c r="AI119" s="165">
        <f t="shared" si="22"/>
        <v>0</v>
      </c>
      <c r="AJ119" s="194" t="s">
        <v>1311</v>
      </c>
      <c r="AK119" s="165">
        <f t="shared" si="23"/>
        <v>0</v>
      </c>
      <c r="AL119" s="194" t="s">
        <v>1311</v>
      </c>
      <c r="AM119" s="165">
        <f>VLOOKUP("E2.D.02",Ergebnisse_Errichtung,13,0)</f>
        <v>0</v>
      </c>
      <c r="AN119" s="584" t="s">
        <v>1313</v>
      </c>
    </row>
    <row r="120" spans="1:40" s="37" customFormat="1" ht="15" customHeight="1">
      <c r="A120" s="293">
        <v>10100</v>
      </c>
      <c r="B120" s="172" t="s">
        <v>743</v>
      </c>
      <c r="C120" s="172" t="s">
        <v>856</v>
      </c>
      <c r="D120" s="172" t="s">
        <v>317</v>
      </c>
      <c r="E120" s="172"/>
      <c r="F120" s="172"/>
      <c r="G120" s="172"/>
      <c r="H120" s="172"/>
      <c r="I120" s="172"/>
      <c r="J120" s="172"/>
      <c r="K120" s="293"/>
      <c r="L120" s="293"/>
      <c r="M120" s="157" t="e">
        <f t="shared" si="8"/>
        <v>#VALUE!</v>
      </c>
      <c r="N120" s="295" t="s">
        <v>103</v>
      </c>
      <c r="W120" s="171"/>
      <c r="X120" s="172"/>
      <c r="Y120" s="513">
        <f>SUM(Y126,Y121)</f>
        <v>0</v>
      </c>
      <c r="Z120" s="172"/>
      <c r="AA120" s="158">
        <f>SUM(AA126,AA121)</f>
        <v>0</v>
      </c>
      <c r="AB120" s="172"/>
      <c r="AC120" s="158">
        <f>SUM(AC126,AC121)</f>
        <v>0</v>
      </c>
      <c r="AD120" s="172"/>
      <c r="AE120" s="158">
        <f>SUM(AE126,AE121)</f>
        <v>0</v>
      </c>
      <c r="AF120" s="172"/>
      <c r="AG120" s="513">
        <f>SUM(AG126,AG121)</f>
        <v>0</v>
      </c>
      <c r="AH120" s="172"/>
      <c r="AI120" s="158">
        <f>SUM(AI126,AI121)</f>
        <v>0</v>
      </c>
      <c r="AJ120" s="172"/>
      <c r="AK120" s="158">
        <f>SUM(AK126,AK121)</f>
        <v>0</v>
      </c>
      <c r="AL120" s="172"/>
      <c r="AM120" s="158">
        <f>SUM(AM126,AM121)</f>
        <v>0</v>
      </c>
      <c r="AN120" s="583"/>
    </row>
    <row r="121" spans="1:40" s="37" customFormat="1" ht="15" customHeight="1">
      <c r="A121" s="55">
        <v>10200</v>
      </c>
      <c r="B121" s="194" t="s">
        <v>728</v>
      </c>
      <c r="C121" s="194" t="s">
        <v>857</v>
      </c>
      <c r="D121" s="194" t="s">
        <v>1987</v>
      </c>
      <c r="E121" s="194"/>
      <c r="F121" s="194"/>
      <c r="G121" s="165" t="e">
        <f t="shared" ref="G121:G126" si="25">VLOOKUP(C121,Folgekosten,5,0)</f>
        <v>#VALUE!</v>
      </c>
      <c r="H121" s="194" t="s">
        <v>850</v>
      </c>
      <c r="I121" s="152">
        <f t="shared" ref="I121:I130" si="26">IF(ISNUMBER(VLOOKUP(J121,Nutzungsdauern,5,0)),VLOOKUP(J121,Nutzungsdauern,5,0),1000)</f>
        <v>1000</v>
      </c>
      <c r="J121" s="194" t="s">
        <v>1992</v>
      </c>
      <c r="K121" s="108"/>
      <c r="L121" s="108"/>
      <c r="M121" s="165" t="e">
        <f t="shared" si="8"/>
        <v>#VALUE!</v>
      </c>
      <c r="N121" s="74" t="s">
        <v>103</v>
      </c>
      <c r="W121" s="67"/>
      <c r="X121" s="194"/>
      <c r="Y121" s="573">
        <f>SUM(Y122:Y125)</f>
        <v>0</v>
      </c>
      <c r="Z121" s="194" t="s">
        <v>1311</v>
      </c>
      <c r="AA121" s="165">
        <f>SUM(AA122:AA125)</f>
        <v>0</v>
      </c>
      <c r="AB121" s="194" t="s">
        <v>1311</v>
      </c>
      <c r="AC121" s="165">
        <f>SUM(AC122:AC125)</f>
        <v>0</v>
      </c>
      <c r="AD121" s="194" t="s">
        <v>1311</v>
      </c>
      <c r="AE121" s="165">
        <f>SUM(AE122:AE125)</f>
        <v>0</v>
      </c>
      <c r="AF121" s="194" t="s">
        <v>1313</v>
      </c>
      <c r="AG121" s="573">
        <f t="shared" ref="AG121:AG130" si="27">VLOOKUP(J121,Ergebnisse_Errichtung,7,0)</f>
        <v>0</v>
      </c>
      <c r="AH121" s="194" t="s">
        <v>1311</v>
      </c>
      <c r="AI121" s="165">
        <f t="shared" ref="AI121:AI130" si="28">VLOOKUP(J121,Ergebnisse_Errichtung,9,0)</f>
        <v>0</v>
      </c>
      <c r="AJ121" s="194" t="s">
        <v>1311</v>
      </c>
      <c r="AK121" s="165">
        <f t="shared" ref="AK121:AK130" si="29">VLOOKUP(J121,Ergebnisse_Errichtung,11,0)</f>
        <v>0</v>
      </c>
      <c r="AL121" s="194" t="s">
        <v>1311</v>
      </c>
      <c r="AM121" s="165">
        <f t="shared" ref="AM121:AM130" si="30">VLOOKUP(J121,Ergebnisse_Errichtung,13,0)</f>
        <v>0</v>
      </c>
      <c r="AN121" s="584" t="s">
        <v>1313</v>
      </c>
    </row>
    <row r="122" spans="1:40" s="37" customFormat="1" ht="15" hidden="1" customHeight="1" outlineLevel="1">
      <c r="A122" s="55"/>
      <c r="B122" s="194"/>
      <c r="C122" s="194"/>
      <c r="D122" s="80" t="s">
        <v>1978</v>
      </c>
      <c r="E122" s="194"/>
      <c r="F122" s="194"/>
      <c r="G122" s="69"/>
      <c r="H122" s="194"/>
      <c r="I122" s="152">
        <f t="shared" si="26"/>
        <v>1000</v>
      </c>
      <c r="J122" s="359" t="s">
        <v>316</v>
      </c>
      <c r="K122" s="108"/>
      <c r="L122" s="108"/>
      <c r="M122" s="69"/>
      <c r="N122" s="74"/>
      <c r="W122" s="67"/>
      <c r="X122" s="194"/>
      <c r="Y122" s="580">
        <f>ROUNDDOWN($Y$2/$I122,0)*$AG122</f>
        <v>0</v>
      </c>
      <c r="Z122" s="76" t="s">
        <v>1311</v>
      </c>
      <c r="AA122" s="426">
        <f>ROUNDDOWN($AA$2/$I122,0)*$AI122</f>
        <v>0</v>
      </c>
      <c r="AB122" s="76" t="s">
        <v>1311</v>
      </c>
      <c r="AC122" s="426">
        <f>ROUNDDOWN($AC$2/$I122,0)*$AK122</f>
        <v>0</v>
      </c>
      <c r="AD122" s="76" t="s">
        <v>1311</v>
      </c>
      <c r="AE122" s="426">
        <f>ROUNDDOWN($AE$2/$I122,0)*$AM122</f>
        <v>0</v>
      </c>
      <c r="AF122" s="76" t="s">
        <v>1313</v>
      </c>
      <c r="AG122" s="580">
        <f t="shared" si="27"/>
        <v>0</v>
      </c>
      <c r="AH122" s="76" t="s">
        <v>1311</v>
      </c>
      <c r="AI122" s="426">
        <f t="shared" si="28"/>
        <v>0</v>
      </c>
      <c r="AJ122" s="76" t="s">
        <v>1311</v>
      </c>
      <c r="AK122" s="426">
        <f t="shared" si="29"/>
        <v>0</v>
      </c>
      <c r="AL122" s="76" t="s">
        <v>1311</v>
      </c>
      <c r="AM122" s="426">
        <f t="shared" si="30"/>
        <v>0</v>
      </c>
      <c r="AN122" s="586" t="s">
        <v>1313</v>
      </c>
    </row>
    <row r="123" spans="1:40" s="37" customFormat="1" ht="15" hidden="1" customHeight="1" outlineLevel="1">
      <c r="A123" s="55"/>
      <c r="B123" s="194"/>
      <c r="C123" s="194"/>
      <c r="D123" s="80" t="s">
        <v>1798</v>
      </c>
      <c r="E123" s="194"/>
      <c r="F123" s="194"/>
      <c r="G123" s="69"/>
      <c r="H123" s="194"/>
      <c r="I123" s="152">
        <f t="shared" si="26"/>
        <v>1000</v>
      </c>
      <c r="J123" s="359" t="s">
        <v>1850</v>
      </c>
      <c r="K123" s="108"/>
      <c r="L123" s="108"/>
      <c r="M123" s="69"/>
      <c r="N123" s="74"/>
      <c r="W123" s="67"/>
      <c r="X123" s="194"/>
      <c r="Y123" s="580">
        <f>ROUNDDOWN($Y$2/$I123,0)*$AG123</f>
        <v>0</v>
      </c>
      <c r="Z123" s="76" t="s">
        <v>1311</v>
      </c>
      <c r="AA123" s="426">
        <f>ROUNDDOWN($AA$2/$I123,0)*$AI123</f>
        <v>0</v>
      </c>
      <c r="AB123" s="76" t="s">
        <v>1311</v>
      </c>
      <c r="AC123" s="426">
        <f>ROUNDDOWN($AC$2/$I123,0)*$AK123</f>
        <v>0</v>
      </c>
      <c r="AD123" s="76" t="s">
        <v>1311</v>
      </c>
      <c r="AE123" s="426">
        <f>ROUNDDOWN($AE$2/$I123,0)*$AM123</f>
        <v>0</v>
      </c>
      <c r="AF123" s="76" t="s">
        <v>1313</v>
      </c>
      <c r="AG123" s="580">
        <f t="shared" si="27"/>
        <v>0</v>
      </c>
      <c r="AH123" s="76" t="s">
        <v>1311</v>
      </c>
      <c r="AI123" s="426">
        <f t="shared" si="28"/>
        <v>0</v>
      </c>
      <c r="AJ123" s="76" t="s">
        <v>1311</v>
      </c>
      <c r="AK123" s="426">
        <f t="shared" si="29"/>
        <v>0</v>
      </c>
      <c r="AL123" s="76" t="s">
        <v>1311</v>
      </c>
      <c r="AM123" s="426">
        <f t="shared" si="30"/>
        <v>0</v>
      </c>
      <c r="AN123" s="586" t="s">
        <v>1313</v>
      </c>
    </row>
    <row r="124" spans="1:40" s="37" customFormat="1" ht="15" hidden="1" customHeight="1" outlineLevel="1">
      <c r="A124" s="55"/>
      <c r="B124" s="194"/>
      <c r="C124" s="194"/>
      <c r="D124" s="80" t="s">
        <v>1799</v>
      </c>
      <c r="E124" s="194"/>
      <c r="F124" s="194"/>
      <c r="G124" s="69"/>
      <c r="H124" s="194"/>
      <c r="I124" s="152">
        <f t="shared" si="26"/>
        <v>1000</v>
      </c>
      <c r="J124" s="359" t="s">
        <v>1851</v>
      </c>
      <c r="K124" s="108"/>
      <c r="L124" s="108"/>
      <c r="M124" s="69"/>
      <c r="N124" s="74"/>
      <c r="W124" s="67"/>
      <c r="X124" s="194"/>
      <c r="Y124" s="580">
        <f>ROUNDDOWN($Y$2/$I124,0)*$AG124</f>
        <v>0</v>
      </c>
      <c r="Z124" s="76" t="s">
        <v>1311</v>
      </c>
      <c r="AA124" s="426">
        <f>ROUNDDOWN($AA$2/$I124,0)*$AI124</f>
        <v>0</v>
      </c>
      <c r="AB124" s="76" t="s">
        <v>1311</v>
      </c>
      <c r="AC124" s="426">
        <f>ROUNDDOWN($AC$2/$I124,0)*$AK124</f>
        <v>0</v>
      </c>
      <c r="AD124" s="76" t="s">
        <v>1311</v>
      </c>
      <c r="AE124" s="426">
        <f>ROUNDDOWN($AE$2/$I124,0)*$AM124</f>
        <v>0</v>
      </c>
      <c r="AF124" s="76" t="s">
        <v>1313</v>
      </c>
      <c r="AG124" s="580">
        <f t="shared" si="27"/>
        <v>0</v>
      </c>
      <c r="AH124" s="76" t="s">
        <v>1311</v>
      </c>
      <c r="AI124" s="426">
        <f t="shared" si="28"/>
        <v>0</v>
      </c>
      <c r="AJ124" s="76" t="s">
        <v>1311</v>
      </c>
      <c r="AK124" s="426">
        <f t="shared" si="29"/>
        <v>0</v>
      </c>
      <c r="AL124" s="76" t="s">
        <v>1311</v>
      </c>
      <c r="AM124" s="426">
        <f t="shared" si="30"/>
        <v>0</v>
      </c>
      <c r="AN124" s="586" t="s">
        <v>1313</v>
      </c>
    </row>
    <row r="125" spans="1:40" s="37" customFormat="1" ht="15" hidden="1" customHeight="1" outlineLevel="1">
      <c r="A125" s="55"/>
      <c r="B125" s="194"/>
      <c r="C125" s="194"/>
      <c r="D125" s="80" t="s">
        <v>1797</v>
      </c>
      <c r="E125" s="194"/>
      <c r="F125" s="194"/>
      <c r="G125" s="69"/>
      <c r="H125" s="194"/>
      <c r="I125" s="152">
        <f t="shared" si="26"/>
        <v>1000</v>
      </c>
      <c r="J125" s="359" t="s">
        <v>1852</v>
      </c>
      <c r="K125" s="108"/>
      <c r="L125" s="108"/>
      <c r="M125" s="69"/>
      <c r="N125" s="74"/>
      <c r="W125" s="67"/>
      <c r="X125" s="194"/>
      <c r="Y125" s="580">
        <f>ROUNDDOWN($Y$2/$I125,0)*$AG125</f>
        <v>0</v>
      </c>
      <c r="Z125" s="76" t="s">
        <v>1311</v>
      </c>
      <c r="AA125" s="426">
        <f>ROUNDDOWN($AA$2/$I125,0)*$AI125</f>
        <v>0</v>
      </c>
      <c r="AB125" s="76" t="s">
        <v>1311</v>
      </c>
      <c r="AC125" s="426">
        <f>ROUNDDOWN($AC$2/$I125,0)*$AK125</f>
        <v>0</v>
      </c>
      <c r="AD125" s="76" t="s">
        <v>1311</v>
      </c>
      <c r="AE125" s="426">
        <f>ROUNDDOWN($AE$2/$I125,0)*$AM125</f>
        <v>0</v>
      </c>
      <c r="AF125" s="76" t="s">
        <v>1313</v>
      </c>
      <c r="AG125" s="580">
        <f t="shared" si="27"/>
        <v>0</v>
      </c>
      <c r="AH125" s="76" t="s">
        <v>1311</v>
      </c>
      <c r="AI125" s="426">
        <f t="shared" si="28"/>
        <v>0</v>
      </c>
      <c r="AJ125" s="76" t="s">
        <v>1311</v>
      </c>
      <c r="AK125" s="426">
        <f t="shared" si="29"/>
        <v>0</v>
      </c>
      <c r="AL125" s="76" t="s">
        <v>1311</v>
      </c>
      <c r="AM125" s="426">
        <f t="shared" si="30"/>
        <v>0</v>
      </c>
      <c r="AN125" s="586" t="s">
        <v>1313</v>
      </c>
    </row>
    <row r="126" spans="1:40" s="37" customFormat="1" ht="15" customHeight="1" collapsed="1">
      <c r="A126" s="55">
        <v>10300</v>
      </c>
      <c r="B126" s="194" t="s">
        <v>728</v>
      </c>
      <c r="C126" s="194" t="s">
        <v>858</v>
      </c>
      <c r="D126" s="194" t="s">
        <v>1988</v>
      </c>
      <c r="E126" s="194"/>
      <c r="F126" s="194"/>
      <c r="G126" s="165" t="e">
        <f t="shared" si="25"/>
        <v>#VALUE!</v>
      </c>
      <c r="H126" s="194" t="s">
        <v>850</v>
      </c>
      <c r="I126" s="152">
        <f t="shared" si="26"/>
        <v>1000</v>
      </c>
      <c r="J126" s="194" t="s">
        <v>1993</v>
      </c>
      <c r="K126" s="108"/>
      <c r="L126" s="108"/>
      <c r="M126" s="165" t="e">
        <f t="shared" si="8"/>
        <v>#VALUE!</v>
      </c>
      <c r="N126" s="74" t="s">
        <v>103</v>
      </c>
      <c r="W126" s="67"/>
      <c r="X126" s="194"/>
      <c r="Y126" s="573">
        <f>SUM(Y127:Y130)</f>
        <v>0</v>
      </c>
      <c r="Z126" s="194" t="s">
        <v>1311</v>
      </c>
      <c r="AA126" s="165">
        <f>SUM(AA127:AA130)</f>
        <v>0</v>
      </c>
      <c r="AB126" s="194" t="s">
        <v>1311</v>
      </c>
      <c r="AC126" s="165">
        <f>SUM(AC127:AC130)</f>
        <v>0</v>
      </c>
      <c r="AD126" s="194" t="s">
        <v>1311</v>
      </c>
      <c r="AE126" s="165">
        <f>SUM(AE127:AE130)</f>
        <v>0</v>
      </c>
      <c r="AF126" s="194" t="s">
        <v>1313</v>
      </c>
      <c r="AG126" s="573">
        <f t="shared" si="27"/>
        <v>0</v>
      </c>
      <c r="AH126" s="194" t="s">
        <v>1311</v>
      </c>
      <c r="AI126" s="165">
        <f t="shared" si="28"/>
        <v>0</v>
      </c>
      <c r="AJ126" s="194" t="s">
        <v>1311</v>
      </c>
      <c r="AK126" s="165">
        <f t="shared" si="29"/>
        <v>0</v>
      </c>
      <c r="AL126" s="194" t="s">
        <v>1311</v>
      </c>
      <c r="AM126" s="165">
        <f t="shared" si="30"/>
        <v>0</v>
      </c>
      <c r="AN126" s="584" t="s">
        <v>1313</v>
      </c>
    </row>
    <row r="127" spans="1:40" s="37" customFormat="1" ht="15" hidden="1" customHeight="1" outlineLevel="1">
      <c r="A127" s="55"/>
      <c r="B127" s="194"/>
      <c r="C127" s="194"/>
      <c r="D127" s="80" t="s">
        <v>1978</v>
      </c>
      <c r="E127" s="194"/>
      <c r="F127" s="194"/>
      <c r="G127" s="69"/>
      <c r="H127" s="194"/>
      <c r="I127" s="152">
        <f t="shared" si="26"/>
        <v>1000</v>
      </c>
      <c r="J127" s="359" t="s">
        <v>314</v>
      </c>
      <c r="K127" s="108"/>
      <c r="L127" s="108"/>
      <c r="M127" s="69"/>
      <c r="N127" s="74"/>
      <c r="W127" s="67"/>
      <c r="X127" s="194"/>
      <c r="Y127" s="579">
        <f>ROUNDDOWN($Y$2/$I127,0)*$AG127</f>
        <v>0</v>
      </c>
      <c r="Z127" s="76" t="s">
        <v>1311</v>
      </c>
      <c r="AA127" s="175">
        <f>ROUNDDOWN($AA$2/$I127,0)*$AI127</f>
        <v>0</v>
      </c>
      <c r="AB127" s="76" t="s">
        <v>1311</v>
      </c>
      <c r="AC127" s="175">
        <f>ROUNDDOWN($AC$2/$I127,0)*$AK127</f>
        <v>0</v>
      </c>
      <c r="AD127" s="76" t="s">
        <v>1311</v>
      </c>
      <c r="AE127" s="175">
        <f>ROUNDDOWN($AE$2/$I127,0)*$AM127</f>
        <v>0</v>
      </c>
      <c r="AF127" s="76" t="s">
        <v>1313</v>
      </c>
      <c r="AG127" s="579">
        <f t="shared" si="27"/>
        <v>0</v>
      </c>
      <c r="AH127" s="76" t="s">
        <v>1311</v>
      </c>
      <c r="AI127" s="175">
        <f t="shared" si="28"/>
        <v>0</v>
      </c>
      <c r="AJ127" s="76" t="s">
        <v>1311</v>
      </c>
      <c r="AK127" s="175">
        <f t="shared" si="29"/>
        <v>0</v>
      </c>
      <c r="AL127" s="76" t="s">
        <v>1311</v>
      </c>
      <c r="AM127" s="175">
        <f t="shared" si="30"/>
        <v>0</v>
      </c>
      <c r="AN127" s="586" t="s">
        <v>1313</v>
      </c>
    </row>
    <row r="128" spans="1:40" s="37" customFormat="1" ht="15" hidden="1" customHeight="1" outlineLevel="1">
      <c r="A128" s="55"/>
      <c r="B128" s="194"/>
      <c r="C128" s="194"/>
      <c r="D128" s="80" t="s">
        <v>1798</v>
      </c>
      <c r="E128" s="194"/>
      <c r="F128" s="194"/>
      <c r="G128" s="69"/>
      <c r="H128" s="194"/>
      <c r="I128" s="152">
        <f t="shared" si="26"/>
        <v>1000</v>
      </c>
      <c r="J128" s="359" t="s">
        <v>1853</v>
      </c>
      <c r="K128" s="108"/>
      <c r="L128" s="108"/>
      <c r="M128" s="69"/>
      <c r="N128" s="74"/>
      <c r="W128" s="67"/>
      <c r="X128" s="194"/>
      <c r="Y128" s="579">
        <f>ROUNDDOWN($Y$2/$I128,0)*$AG128</f>
        <v>0</v>
      </c>
      <c r="Z128" s="76" t="s">
        <v>1311</v>
      </c>
      <c r="AA128" s="175">
        <f>ROUNDDOWN($AA$2/$I128,0)*$AI128</f>
        <v>0</v>
      </c>
      <c r="AB128" s="76" t="s">
        <v>1311</v>
      </c>
      <c r="AC128" s="175">
        <f>ROUNDDOWN($AC$2/$I128,0)*$AK128</f>
        <v>0</v>
      </c>
      <c r="AD128" s="76" t="s">
        <v>1311</v>
      </c>
      <c r="AE128" s="175">
        <f>ROUNDDOWN($AE$2/$I128,0)*$AM128</f>
        <v>0</v>
      </c>
      <c r="AF128" s="76" t="s">
        <v>1313</v>
      </c>
      <c r="AG128" s="579">
        <f t="shared" si="27"/>
        <v>0</v>
      </c>
      <c r="AH128" s="76" t="s">
        <v>1311</v>
      </c>
      <c r="AI128" s="175">
        <f t="shared" si="28"/>
        <v>0</v>
      </c>
      <c r="AJ128" s="76" t="s">
        <v>1311</v>
      </c>
      <c r="AK128" s="175">
        <f t="shared" si="29"/>
        <v>0</v>
      </c>
      <c r="AL128" s="76" t="s">
        <v>1311</v>
      </c>
      <c r="AM128" s="175">
        <f t="shared" si="30"/>
        <v>0</v>
      </c>
      <c r="AN128" s="586" t="s">
        <v>1313</v>
      </c>
    </row>
    <row r="129" spans="1:40" s="37" customFormat="1" ht="15" hidden="1" customHeight="1" outlineLevel="1">
      <c r="A129" s="55"/>
      <c r="B129" s="194"/>
      <c r="C129" s="194"/>
      <c r="D129" s="80" t="s">
        <v>1799</v>
      </c>
      <c r="E129" s="194"/>
      <c r="F129" s="194"/>
      <c r="G129" s="69"/>
      <c r="H129" s="194"/>
      <c r="I129" s="152">
        <f t="shared" si="26"/>
        <v>1000</v>
      </c>
      <c r="J129" s="359" t="s">
        <v>1854</v>
      </c>
      <c r="K129" s="108"/>
      <c r="L129" s="108"/>
      <c r="M129" s="69"/>
      <c r="N129" s="74"/>
      <c r="W129" s="67"/>
      <c r="X129" s="194"/>
      <c r="Y129" s="579">
        <f>ROUNDDOWN($Y$2/$I129,0)*$AG129</f>
        <v>0</v>
      </c>
      <c r="Z129" s="76" t="s">
        <v>1311</v>
      </c>
      <c r="AA129" s="175">
        <f>ROUNDDOWN($AA$2/$I129,0)*$AI129</f>
        <v>0</v>
      </c>
      <c r="AB129" s="76" t="s">
        <v>1311</v>
      </c>
      <c r="AC129" s="175">
        <f>ROUNDDOWN($AC$2/$I129,0)*$AK129</f>
        <v>0</v>
      </c>
      <c r="AD129" s="76" t="s">
        <v>1311</v>
      </c>
      <c r="AE129" s="175">
        <f>ROUNDDOWN($AE$2/$I129,0)*$AM129</f>
        <v>0</v>
      </c>
      <c r="AF129" s="76" t="s">
        <v>1313</v>
      </c>
      <c r="AG129" s="579">
        <f t="shared" si="27"/>
        <v>0</v>
      </c>
      <c r="AH129" s="76" t="s">
        <v>1311</v>
      </c>
      <c r="AI129" s="175">
        <f t="shared" si="28"/>
        <v>0</v>
      </c>
      <c r="AJ129" s="76" t="s">
        <v>1311</v>
      </c>
      <c r="AK129" s="175">
        <f t="shared" si="29"/>
        <v>0</v>
      </c>
      <c r="AL129" s="76" t="s">
        <v>1311</v>
      </c>
      <c r="AM129" s="175">
        <f t="shared" si="30"/>
        <v>0</v>
      </c>
      <c r="AN129" s="586" t="s">
        <v>1313</v>
      </c>
    </row>
    <row r="130" spans="1:40" s="37" customFormat="1" ht="15" hidden="1" customHeight="1" outlineLevel="1">
      <c r="A130" s="55"/>
      <c r="B130" s="194"/>
      <c r="C130" s="194"/>
      <c r="D130" s="80" t="s">
        <v>1797</v>
      </c>
      <c r="E130" s="194"/>
      <c r="F130" s="194"/>
      <c r="G130" s="69"/>
      <c r="H130" s="194"/>
      <c r="I130" s="152">
        <f t="shared" si="26"/>
        <v>1000</v>
      </c>
      <c r="J130" s="359" t="s">
        <v>1855</v>
      </c>
      <c r="K130" s="108"/>
      <c r="L130" s="108"/>
      <c r="M130" s="69"/>
      <c r="N130" s="74"/>
      <c r="W130" s="67"/>
      <c r="X130" s="194"/>
      <c r="Y130" s="579">
        <f>ROUNDDOWN($Y$2/$I130,0)*$AG130</f>
        <v>0</v>
      </c>
      <c r="Z130" s="76" t="s">
        <v>1311</v>
      </c>
      <c r="AA130" s="175">
        <f>ROUNDDOWN($AA$2/$I130,0)*$AI130</f>
        <v>0</v>
      </c>
      <c r="AB130" s="76" t="s">
        <v>1311</v>
      </c>
      <c r="AC130" s="175">
        <f>ROUNDDOWN($AC$2/$I130,0)*$AK130</f>
        <v>0</v>
      </c>
      <c r="AD130" s="76" t="s">
        <v>1311</v>
      </c>
      <c r="AE130" s="175">
        <f>ROUNDDOWN($AE$2/$I130,0)*$AM130</f>
        <v>0</v>
      </c>
      <c r="AF130" s="76" t="s">
        <v>1313</v>
      </c>
      <c r="AG130" s="579">
        <f t="shared" si="27"/>
        <v>0</v>
      </c>
      <c r="AH130" s="76" t="s">
        <v>1311</v>
      </c>
      <c r="AI130" s="175">
        <f t="shared" si="28"/>
        <v>0</v>
      </c>
      <c r="AJ130" s="76" t="s">
        <v>1311</v>
      </c>
      <c r="AK130" s="175">
        <f t="shared" si="29"/>
        <v>0</v>
      </c>
      <c r="AL130" s="76" t="s">
        <v>1311</v>
      </c>
      <c r="AM130" s="175">
        <f t="shared" si="30"/>
        <v>0</v>
      </c>
      <c r="AN130" s="586" t="s">
        <v>1313</v>
      </c>
    </row>
    <row r="131" spans="1:40" s="37" customFormat="1" ht="15" customHeight="1" collapsed="1">
      <c r="A131" s="293">
        <v>10800</v>
      </c>
      <c r="B131" s="172" t="s">
        <v>743</v>
      </c>
      <c r="C131" s="172" t="s">
        <v>859</v>
      </c>
      <c r="D131" s="172" t="s">
        <v>310</v>
      </c>
      <c r="E131" s="172"/>
      <c r="F131" s="172"/>
      <c r="G131" s="172"/>
      <c r="H131" s="172"/>
      <c r="I131" s="172"/>
      <c r="J131" s="172"/>
      <c r="K131" s="293"/>
      <c r="L131" s="293"/>
      <c r="M131" s="158" t="e">
        <f t="shared" si="8"/>
        <v>#VALUE!</v>
      </c>
      <c r="N131" s="295" t="s">
        <v>103</v>
      </c>
      <c r="W131" s="171"/>
      <c r="X131" s="172"/>
      <c r="Y131" s="513">
        <f>SUM(Y132,Y137,Y141)</f>
        <v>0</v>
      </c>
      <c r="Z131" s="172"/>
      <c r="AA131" s="158">
        <f>SUM(AA132,AA137,AA141)</f>
        <v>0</v>
      </c>
      <c r="AB131" s="172"/>
      <c r="AC131" s="158">
        <f>SUM(AC132,AC137,AC141)</f>
        <v>0</v>
      </c>
      <c r="AD131" s="172"/>
      <c r="AE131" s="158">
        <f>SUM(AE132,AE137,AE141)</f>
        <v>0</v>
      </c>
      <c r="AF131" s="172"/>
      <c r="AG131" s="513">
        <f>SUM(AG132,AG137,AG141)</f>
        <v>0</v>
      </c>
      <c r="AH131" s="172"/>
      <c r="AI131" s="158">
        <f>SUM(AI132,AI137,AI141)</f>
        <v>0</v>
      </c>
      <c r="AJ131" s="172"/>
      <c r="AK131" s="158">
        <f>SUM(AK132,AK137,AK141)</f>
        <v>0</v>
      </c>
      <c r="AL131" s="172"/>
      <c r="AM131" s="158">
        <f>SUM(AM132,AM137,AM141)</f>
        <v>0</v>
      </c>
      <c r="AN131" s="583"/>
    </row>
    <row r="132" spans="1:40" s="37" customFormat="1" ht="15" customHeight="1">
      <c r="A132" s="293">
        <v>10900</v>
      </c>
      <c r="B132" s="172" t="s">
        <v>743</v>
      </c>
      <c r="C132" s="172" t="s">
        <v>860</v>
      </c>
      <c r="D132" s="172" t="s">
        <v>308</v>
      </c>
      <c r="E132" s="172"/>
      <c r="F132" s="172"/>
      <c r="G132" s="172"/>
      <c r="H132" s="172"/>
      <c r="I132" s="172"/>
      <c r="J132" s="172"/>
      <c r="K132" s="293"/>
      <c r="L132" s="293"/>
      <c r="M132" s="158" t="e">
        <f t="shared" ref="M132:M189" si="31">VLOOKUP(C132,Folgekosten,13,0)</f>
        <v>#VALUE!</v>
      </c>
      <c r="N132" s="295" t="s">
        <v>103</v>
      </c>
      <c r="W132" s="171"/>
      <c r="X132" s="172"/>
      <c r="Y132" s="513">
        <f>SUM(Y133,Y134,Y135,Y136)</f>
        <v>0</v>
      </c>
      <c r="Z132" s="172"/>
      <c r="AA132" s="158">
        <f>SUM(AA133,AA134,AA135,AA136)</f>
        <v>0</v>
      </c>
      <c r="AB132" s="172"/>
      <c r="AC132" s="158">
        <f>SUM(AC133,AC134,AC135,AC136)</f>
        <v>0</v>
      </c>
      <c r="AD132" s="172"/>
      <c r="AE132" s="158">
        <f>SUM(AE133,AE134,AE135,AE136)</f>
        <v>0</v>
      </c>
      <c r="AF132" s="172"/>
      <c r="AG132" s="513">
        <f>SUM(AG133,AG134,AG135,AG136)</f>
        <v>0</v>
      </c>
      <c r="AH132" s="172"/>
      <c r="AI132" s="158">
        <f>SUM(AI133,AI134,AI135,AI136)</f>
        <v>0</v>
      </c>
      <c r="AJ132" s="172"/>
      <c r="AK132" s="158">
        <f>SUM(AK133,AK134,AK135,AK136)</f>
        <v>0</v>
      </c>
      <c r="AL132" s="172"/>
      <c r="AM132" s="158">
        <f>SUM(AM133,AM134,AM135,AM136)</f>
        <v>0</v>
      </c>
      <c r="AN132" s="583"/>
    </row>
    <row r="133" spans="1:40" s="37" customFormat="1" ht="15" customHeight="1">
      <c r="A133" s="55">
        <v>11000</v>
      </c>
      <c r="B133" s="194" t="s">
        <v>728</v>
      </c>
      <c r="C133" s="194" t="s">
        <v>861</v>
      </c>
      <c r="D133" s="194" t="s">
        <v>2305</v>
      </c>
      <c r="E133" s="194"/>
      <c r="F133" s="194"/>
      <c r="G133" s="165" t="e">
        <f t="shared" ref="G133:G144" si="32">VLOOKUP(C133,Folgekosten,5,0)</f>
        <v>#VALUE!</v>
      </c>
      <c r="H133" s="194" t="s">
        <v>850</v>
      </c>
      <c r="I133" s="152">
        <f t="shared" ref="I133:I144" si="33">IF(ISNUMBER(VLOOKUP(J133,Nutzungsdauern,5,0)),VLOOKUP(J133,Nutzungsdauern,5,0),1000)</f>
        <v>1000</v>
      </c>
      <c r="J133" s="194" t="s">
        <v>307</v>
      </c>
      <c r="K133" s="108"/>
      <c r="L133" s="108"/>
      <c r="M133" s="165" t="e">
        <f t="shared" si="31"/>
        <v>#VALUE!</v>
      </c>
      <c r="N133" s="74" t="s">
        <v>103</v>
      </c>
      <c r="W133" s="67"/>
      <c r="X133" s="194"/>
      <c r="Y133" s="573">
        <f>ROUNDDOWN($Y$2/$I133,0)*$AG133</f>
        <v>0</v>
      </c>
      <c r="Z133" s="194" t="s">
        <v>1311</v>
      </c>
      <c r="AA133" s="165">
        <f>ROUNDDOWN($AA$2/$I133,0)*$AI133</f>
        <v>0</v>
      </c>
      <c r="AB133" s="194" t="s">
        <v>1311</v>
      </c>
      <c r="AC133" s="165">
        <f>ROUNDDOWN($AC$2/$I133,0)*$AK133</f>
        <v>0</v>
      </c>
      <c r="AD133" s="194" t="s">
        <v>1311</v>
      </c>
      <c r="AE133" s="165">
        <f>ROUNDDOWN($AE$2/$I133,0)*$AM133</f>
        <v>0</v>
      </c>
      <c r="AF133" s="194" t="s">
        <v>1313</v>
      </c>
      <c r="AG133" s="573">
        <f t="shared" ref="AG133:AG141" si="34">VLOOKUP(J133,Ergebnisse_Errichtung,7,0)</f>
        <v>0</v>
      </c>
      <c r="AH133" s="194" t="s">
        <v>1311</v>
      </c>
      <c r="AI133" s="165">
        <f>VLOOKUP("E2.E.01.a",Ergebnisse_Errichtung,9,0)</f>
        <v>0</v>
      </c>
      <c r="AJ133" s="194" t="s">
        <v>1311</v>
      </c>
      <c r="AK133" s="165">
        <f>VLOOKUP("E2.E.01.a",Ergebnisse_Errichtung,11,0)</f>
        <v>0</v>
      </c>
      <c r="AL133" s="194" t="s">
        <v>1311</v>
      </c>
      <c r="AM133" s="165">
        <f>VLOOKUP("E2.E.01.a",Ergebnisse_Errichtung,13,0)</f>
        <v>0</v>
      </c>
      <c r="AN133" s="584" t="s">
        <v>1313</v>
      </c>
    </row>
    <row r="134" spans="1:40" s="37" customFormat="1" ht="15" customHeight="1">
      <c r="A134" s="55">
        <v>11100</v>
      </c>
      <c r="B134" s="194" t="s">
        <v>728</v>
      </c>
      <c r="C134" s="194" t="s">
        <v>862</v>
      </c>
      <c r="D134" s="194" t="s">
        <v>2306</v>
      </c>
      <c r="E134" s="194"/>
      <c r="F134" s="194"/>
      <c r="G134" s="165" t="e">
        <f t="shared" si="32"/>
        <v>#VALUE!</v>
      </c>
      <c r="H134" s="194" t="s">
        <v>850</v>
      </c>
      <c r="I134" s="152">
        <f t="shared" si="33"/>
        <v>1000</v>
      </c>
      <c r="J134" s="194" t="s">
        <v>306</v>
      </c>
      <c r="K134" s="108"/>
      <c r="L134" s="108"/>
      <c r="M134" s="165" t="e">
        <f t="shared" si="31"/>
        <v>#VALUE!</v>
      </c>
      <c r="N134" s="74" t="s">
        <v>103</v>
      </c>
      <c r="W134" s="67"/>
      <c r="X134" s="194"/>
      <c r="Y134" s="573">
        <f>ROUNDDOWN($Y$2/$I134,0)*$AG134</f>
        <v>0</v>
      </c>
      <c r="Z134" s="194" t="s">
        <v>1311</v>
      </c>
      <c r="AA134" s="165">
        <f>ROUNDDOWN($AA$2/$I134,0)*$AI134</f>
        <v>0</v>
      </c>
      <c r="AB134" s="194" t="s">
        <v>1311</v>
      </c>
      <c r="AC134" s="165">
        <f>ROUNDDOWN($AC$2/$I134,0)*$AK134</f>
        <v>0</v>
      </c>
      <c r="AD134" s="194" t="s">
        <v>1311</v>
      </c>
      <c r="AE134" s="165">
        <f>ROUNDDOWN($AE$2/$I134,0)*$AM134</f>
        <v>0</v>
      </c>
      <c r="AF134" s="194" t="s">
        <v>1313</v>
      </c>
      <c r="AG134" s="573">
        <f t="shared" si="34"/>
        <v>0</v>
      </c>
      <c r="AH134" s="194" t="s">
        <v>1311</v>
      </c>
      <c r="AI134" s="165">
        <f>VLOOKUP("E2.E.01.b",Ergebnisse_Errichtung,9,0)</f>
        <v>0</v>
      </c>
      <c r="AJ134" s="194" t="s">
        <v>1311</v>
      </c>
      <c r="AK134" s="165">
        <f>VLOOKUP("E2.E.01.b",Ergebnisse_Errichtung,11,0)</f>
        <v>0</v>
      </c>
      <c r="AL134" s="194" t="s">
        <v>1311</v>
      </c>
      <c r="AM134" s="165">
        <f>VLOOKUP("E2.E.01.b",Ergebnisse_Errichtung,13,0)</f>
        <v>0</v>
      </c>
      <c r="AN134" s="584" t="s">
        <v>1313</v>
      </c>
    </row>
    <row r="135" spans="1:40" s="37" customFormat="1" ht="15" customHeight="1">
      <c r="A135" s="55"/>
      <c r="B135" s="194" t="s">
        <v>728</v>
      </c>
      <c r="C135" s="194" t="s">
        <v>863</v>
      </c>
      <c r="D135" s="194" t="s">
        <v>1752</v>
      </c>
      <c r="E135" s="194"/>
      <c r="F135" s="194"/>
      <c r="G135" s="165" t="e">
        <f t="shared" si="32"/>
        <v>#VALUE!</v>
      </c>
      <c r="H135" s="194" t="s">
        <v>850</v>
      </c>
      <c r="I135" s="152">
        <f t="shared" si="33"/>
        <v>1000</v>
      </c>
      <c r="J135" s="194" t="s">
        <v>304</v>
      </c>
      <c r="K135" s="108"/>
      <c r="L135" s="108"/>
      <c r="M135" s="165" t="e">
        <f t="shared" si="31"/>
        <v>#VALUE!</v>
      </c>
      <c r="N135" s="74" t="s">
        <v>103</v>
      </c>
      <c r="W135" s="67"/>
      <c r="X135" s="194"/>
      <c r="Y135" s="573">
        <f>ROUNDDOWN($Y$2/$I135,0)*$AG135</f>
        <v>0</v>
      </c>
      <c r="Z135" s="194" t="s">
        <v>1311</v>
      </c>
      <c r="AA135" s="165">
        <f>ROUNDDOWN($AA$2/$I135,0)*$AI135</f>
        <v>0</v>
      </c>
      <c r="AB135" s="194" t="s">
        <v>1311</v>
      </c>
      <c r="AC135" s="165">
        <f>ROUNDDOWN($AC$2/$I135,0)*$AK135</f>
        <v>0</v>
      </c>
      <c r="AD135" s="194" t="s">
        <v>1311</v>
      </c>
      <c r="AE135" s="165">
        <f>ROUNDDOWN($AE$2/$I135,0)*$AM135</f>
        <v>0</v>
      </c>
      <c r="AF135" s="194" t="s">
        <v>1313</v>
      </c>
      <c r="AG135" s="573">
        <f t="shared" si="34"/>
        <v>0</v>
      </c>
      <c r="AH135" s="194" t="s">
        <v>1311</v>
      </c>
      <c r="AI135" s="165">
        <f>VLOOKUP("E2.E.01.d",Ergebnisse_Errichtung,9,0)</f>
        <v>0</v>
      </c>
      <c r="AJ135" s="194" t="s">
        <v>1311</v>
      </c>
      <c r="AK135" s="165">
        <f>VLOOKUP("E2.E.01.d",Ergebnisse_Errichtung,11,0)</f>
        <v>0</v>
      </c>
      <c r="AL135" s="194" t="s">
        <v>1311</v>
      </c>
      <c r="AM135" s="165">
        <f>VLOOKUP("E2.E.01.d",Ergebnisse_Errichtung,13,0)</f>
        <v>0</v>
      </c>
      <c r="AN135" s="584" t="s">
        <v>1313</v>
      </c>
    </row>
    <row r="136" spans="1:40" s="37" customFormat="1" ht="15" customHeight="1">
      <c r="A136" s="55">
        <v>11400</v>
      </c>
      <c r="B136" s="194" t="s">
        <v>728</v>
      </c>
      <c r="C136" s="194" t="s">
        <v>1994</v>
      </c>
      <c r="D136" s="194" t="s">
        <v>1472</v>
      </c>
      <c r="E136" s="194"/>
      <c r="F136" s="194"/>
      <c r="G136" s="165" t="e">
        <f t="shared" si="32"/>
        <v>#VALUE!</v>
      </c>
      <c r="H136" s="194" t="s">
        <v>850</v>
      </c>
      <c r="I136" s="152">
        <f t="shared" si="33"/>
        <v>1000</v>
      </c>
      <c r="J136" s="194" t="s">
        <v>1796</v>
      </c>
      <c r="K136" s="108"/>
      <c r="L136" s="108"/>
      <c r="M136" s="165" t="e">
        <f t="shared" si="31"/>
        <v>#VALUE!</v>
      </c>
      <c r="N136" s="74" t="s">
        <v>103</v>
      </c>
      <c r="W136" s="67"/>
      <c r="X136" s="194"/>
      <c r="Y136" s="573">
        <f>ROUNDDOWN($Y$2/$I136,0)*$AG136</f>
        <v>0</v>
      </c>
      <c r="Z136" s="194" t="s">
        <v>1311</v>
      </c>
      <c r="AA136" s="165">
        <f>ROUNDDOWN($AA$2/$I136,0)*$AI136</f>
        <v>0</v>
      </c>
      <c r="AB136" s="194" t="s">
        <v>1311</v>
      </c>
      <c r="AC136" s="165">
        <f>ROUNDDOWN($AC$2/$I136,0)*$AK136</f>
        <v>0</v>
      </c>
      <c r="AD136" s="194" t="s">
        <v>1311</v>
      </c>
      <c r="AE136" s="165">
        <f>ROUNDDOWN($AE$2/$I136,0)*$AM136</f>
        <v>0</v>
      </c>
      <c r="AF136" s="194" t="s">
        <v>1313</v>
      </c>
      <c r="AG136" s="573">
        <f t="shared" si="34"/>
        <v>0</v>
      </c>
      <c r="AH136" s="194" t="s">
        <v>1311</v>
      </c>
      <c r="AI136" s="165">
        <f>VLOOKUP("E2.E.01.f",Ergebnisse_Errichtung,9,0)</f>
        <v>0</v>
      </c>
      <c r="AJ136" s="194" t="s">
        <v>1311</v>
      </c>
      <c r="AK136" s="165">
        <f>VLOOKUP("E2.E.01.f",Ergebnisse_Errichtung,11,0)</f>
        <v>0</v>
      </c>
      <c r="AL136" s="194" t="s">
        <v>1311</v>
      </c>
      <c r="AM136" s="165">
        <f>VLOOKUP("E2.E.01.f",Ergebnisse_Errichtung,13,0)</f>
        <v>0</v>
      </c>
      <c r="AN136" s="584" t="s">
        <v>1313</v>
      </c>
    </row>
    <row r="137" spans="1:40" s="37" customFormat="1" ht="15" customHeight="1">
      <c r="A137" s="55">
        <v>11500</v>
      </c>
      <c r="B137" s="194" t="s">
        <v>728</v>
      </c>
      <c r="C137" s="194" t="s">
        <v>864</v>
      </c>
      <c r="D137" s="194" t="s">
        <v>302</v>
      </c>
      <c r="E137" s="194"/>
      <c r="F137" s="194"/>
      <c r="G137" s="165" t="e">
        <f t="shared" si="32"/>
        <v>#VALUE!</v>
      </c>
      <c r="H137" s="194" t="s">
        <v>850</v>
      </c>
      <c r="I137" s="152">
        <f t="shared" si="33"/>
        <v>1000</v>
      </c>
      <c r="J137" s="194" t="s">
        <v>303</v>
      </c>
      <c r="K137" s="108"/>
      <c r="L137" s="108"/>
      <c r="M137" s="165" t="e">
        <f t="shared" si="31"/>
        <v>#VALUE!</v>
      </c>
      <c r="N137" s="74" t="s">
        <v>103</v>
      </c>
      <c r="W137" s="67"/>
      <c r="X137" s="194"/>
      <c r="Y137" s="573">
        <f>SUM(Y138:Y140)</f>
        <v>0</v>
      </c>
      <c r="Z137" s="194" t="s">
        <v>1311</v>
      </c>
      <c r="AA137" s="165">
        <f>SUM(AA138:AA140)</f>
        <v>0</v>
      </c>
      <c r="AB137" s="194" t="s">
        <v>1311</v>
      </c>
      <c r="AC137" s="165">
        <f>SUM(AC138:AC140)</f>
        <v>0</v>
      </c>
      <c r="AD137" s="194" t="s">
        <v>1311</v>
      </c>
      <c r="AE137" s="165">
        <f>SUM(AE138:AE140)</f>
        <v>0</v>
      </c>
      <c r="AF137" s="194" t="s">
        <v>1313</v>
      </c>
      <c r="AG137" s="573">
        <f t="shared" si="34"/>
        <v>0</v>
      </c>
      <c r="AH137" s="194" t="s">
        <v>1311</v>
      </c>
      <c r="AI137" s="165">
        <f>VLOOKUP("E2.E.02",Ergebnisse_Errichtung,9,0)</f>
        <v>0</v>
      </c>
      <c r="AJ137" s="194" t="s">
        <v>1311</v>
      </c>
      <c r="AK137" s="165">
        <f>VLOOKUP("E2.E.02",Ergebnisse_Errichtung,11,0)</f>
        <v>0</v>
      </c>
      <c r="AL137" s="194" t="s">
        <v>1311</v>
      </c>
      <c r="AM137" s="165">
        <f>VLOOKUP("E2.E.02",Ergebnisse_Errichtung,13,0)</f>
        <v>0</v>
      </c>
      <c r="AN137" s="584" t="s">
        <v>1313</v>
      </c>
    </row>
    <row r="138" spans="1:40" s="37" customFormat="1" ht="15" hidden="1" customHeight="1" outlineLevel="1">
      <c r="A138" s="55"/>
      <c r="B138" s="194"/>
      <c r="C138" s="194"/>
      <c r="D138" s="80" t="s">
        <v>2308</v>
      </c>
      <c r="E138" s="194"/>
      <c r="F138" s="194"/>
      <c r="G138" s="108"/>
      <c r="H138" s="108"/>
      <c r="I138" s="152">
        <f t="shared" si="33"/>
        <v>1000</v>
      </c>
      <c r="J138" s="359" t="s">
        <v>1569</v>
      </c>
      <c r="K138" s="108"/>
      <c r="L138" s="108"/>
      <c r="M138" s="108"/>
      <c r="N138" s="108"/>
      <c r="W138" s="67"/>
      <c r="X138" s="194"/>
      <c r="Y138" s="580">
        <f>ROUNDDOWN($Y$2/$I138,0)*$AG138</f>
        <v>0</v>
      </c>
      <c r="Z138" s="76" t="s">
        <v>1311</v>
      </c>
      <c r="AA138" s="426">
        <f>ROUNDDOWN($AA$2/$I138,0)*$AI138</f>
        <v>0</v>
      </c>
      <c r="AB138" s="76" t="s">
        <v>1311</v>
      </c>
      <c r="AC138" s="426">
        <f>ROUNDDOWN($AC$2/$I138,0)*$AK138</f>
        <v>0</v>
      </c>
      <c r="AD138" s="76" t="s">
        <v>1311</v>
      </c>
      <c r="AE138" s="426">
        <f>ROUNDDOWN($AE$2/$I138,0)*$AM138</f>
        <v>0</v>
      </c>
      <c r="AF138" s="76" t="s">
        <v>1313</v>
      </c>
      <c r="AG138" s="580">
        <f t="shared" si="34"/>
        <v>0</v>
      </c>
      <c r="AH138" s="76" t="s">
        <v>1311</v>
      </c>
      <c r="AI138" s="426">
        <f>VLOOKUP("E2.E.02a",Ergebnisse_Errichtung,9,0)</f>
        <v>0</v>
      </c>
      <c r="AJ138" s="76" t="s">
        <v>1311</v>
      </c>
      <c r="AK138" s="426">
        <f>VLOOKUP("E2.E.02a",Ergebnisse_Errichtung,11,0)</f>
        <v>0</v>
      </c>
      <c r="AL138" s="76" t="s">
        <v>1311</v>
      </c>
      <c r="AM138" s="426">
        <f>VLOOKUP("E2.E.02a",Ergebnisse_Errichtung,13,0)</f>
        <v>0</v>
      </c>
      <c r="AN138" s="586" t="s">
        <v>1313</v>
      </c>
    </row>
    <row r="139" spans="1:40" s="37" customFormat="1" ht="15" hidden="1" customHeight="1" outlineLevel="1">
      <c r="A139" s="55"/>
      <c r="B139" s="194"/>
      <c r="C139" s="194"/>
      <c r="D139" s="80" t="s">
        <v>2309</v>
      </c>
      <c r="E139" s="194"/>
      <c r="F139" s="194"/>
      <c r="G139" s="108"/>
      <c r="H139" s="108"/>
      <c r="I139" s="152">
        <f t="shared" si="33"/>
        <v>1000</v>
      </c>
      <c r="J139" s="359" t="s">
        <v>1570</v>
      </c>
      <c r="K139" s="108"/>
      <c r="L139" s="108"/>
      <c r="M139" s="108"/>
      <c r="N139" s="108"/>
      <c r="W139" s="67"/>
      <c r="X139" s="194"/>
      <c r="Y139" s="580">
        <f>ROUNDDOWN($Y$2/$I139,0)*$AG139</f>
        <v>0</v>
      </c>
      <c r="Z139" s="76" t="s">
        <v>1311</v>
      </c>
      <c r="AA139" s="426">
        <f>ROUNDDOWN($AA$2/$I139,0)*$AI139</f>
        <v>0</v>
      </c>
      <c r="AB139" s="76" t="s">
        <v>1311</v>
      </c>
      <c r="AC139" s="426">
        <f>ROUNDDOWN($AC$2/$I139,0)*$AK139</f>
        <v>0</v>
      </c>
      <c r="AD139" s="76" t="s">
        <v>1311</v>
      </c>
      <c r="AE139" s="426">
        <f>ROUNDDOWN($AE$2/$I139,0)*$AM139</f>
        <v>0</v>
      </c>
      <c r="AF139" s="76" t="s">
        <v>1313</v>
      </c>
      <c r="AG139" s="580">
        <f t="shared" si="34"/>
        <v>0</v>
      </c>
      <c r="AH139" s="76" t="s">
        <v>1311</v>
      </c>
      <c r="AI139" s="426">
        <f>VLOOKUP("E2.E.02b",Ergebnisse_Errichtung,9,0)</f>
        <v>0</v>
      </c>
      <c r="AJ139" s="76" t="s">
        <v>1311</v>
      </c>
      <c r="AK139" s="426">
        <f>VLOOKUP("E2.E.02b",Ergebnisse_Errichtung,11,0)</f>
        <v>0</v>
      </c>
      <c r="AL139" s="76" t="s">
        <v>1311</v>
      </c>
      <c r="AM139" s="426">
        <f>VLOOKUP("E2.E.02b",Ergebnisse_Errichtung,13,0)</f>
        <v>0</v>
      </c>
      <c r="AN139" s="586" t="s">
        <v>1313</v>
      </c>
    </row>
    <row r="140" spans="1:40" s="37" customFormat="1" ht="15" hidden="1" customHeight="1" outlineLevel="1">
      <c r="A140" s="55"/>
      <c r="B140" s="194"/>
      <c r="C140" s="194"/>
      <c r="D140" s="80" t="s">
        <v>2310</v>
      </c>
      <c r="E140" s="194"/>
      <c r="F140" s="194"/>
      <c r="G140" s="108"/>
      <c r="H140" s="108"/>
      <c r="I140" s="152">
        <f t="shared" ref="I140" si="35">IF(ISNUMBER(VLOOKUP(J140,Nutzungsdauern,5,0)),VLOOKUP(J140,Nutzungsdauern,5,0),1000)</f>
        <v>1000</v>
      </c>
      <c r="J140" s="359" t="s">
        <v>2330</v>
      </c>
      <c r="K140" s="108"/>
      <c r="L140" s="108"/>
      <c r="M140" s="108"/>
      <c r="N140" s="108"/>
      <c r="W140" s="67"/>
      <c r="X140" s="194"/>
      <c r="Y140" s="580">
        <f>ROUNDDOWN($Y$2/$I140,0)*$AG140</f>
        <v>0</v>
      </c>
      <c r="Z140" s="76" t="s">
        <v>1311</v>
      </c>
      <c r="AA140" s="426">
        <f>ROUNDDOWN($AA$2/$I140,0)*$AI140</f>
        <v>0</v>
      </c>
      <c r="AB140" s="76" t="s">
        <v>1311</v>
      </c>
      <c r="AC140" s="426">
        <f>ROUNDDOWN($AC$2/$I140,0)*$AK140</f>
        <v>0</v>
      </c>
      <c r="AD140" s="76" t="s">
        <v>1311</v>
      </c>
      <c r="AE140" s="426">
        <f>ROUNDDOWN($AE$2/$I140,0)*$AM140</f>
        <v>0</v>
      </c>
      <c r="AF140" s="76" t="s">
        <v>1313</v>
      </c>
      <c r="AG140" s="580">
        <f t="shared" si="34"/>
        <v>0</v>
      </c>
      <c r="AH140" s="76" t="s">
        <v>1311</v>
      </c>
      <c r="AI140" s="426">
        <f>VLOOKUP(J140,Ergebnisse_Errichtung,9,0)</f>
        <v>0</v>
      </c>
      <c r="AJ140" s="76" t="s">
        <v>1311</v>
      </c>
      <c r="AK140" s="426">
        <f>VLOOKUP(J140,Ergebnisse_Errichtung,11,0)</f>
        <v>0</v>
      </c>
      <c r="AL140" s="76" t="s">
        <v>1311</v>
      </c>
      <c r="AM140" s="426">
        <f>VLOOKUP(J140,Ergebnisse_Errichtung,13,0)</f>
        <v>0</v>
      </c>
      <c r="AN140" s="586" t="s">
        <v>1313</v>
      </c>
    </row>
    <row r="141" spans="1:40" s="37" customFormat="1" ht="15" customHeight="1" collapsed="1">
      <c r="A141" s="55">
        <v>11600</v>
      </c>
      <c r="B141" s="194" t="s">
        <v>728</v>
      </c>
      <c r="C141" s="194" t="s">
        <v>865</v>
      </c>
      <c r="D141" s="194" t="s">
        <v>300</v>
      </c>
      <c r="E141" s="194"/>
      <c r="F141" s="194"/>
      <c r="G141" s="165" t="e">
        <f t="shared" si="32"/>
        <v>#VALUE!</v>
      </c>
      <c r="H141" s="194" t="s">
        <v>850</v>
      </c>
      <c r="I141" s="152">
        <f t="shared" si="33"/>
        <v>1000</v>
      </c>
      <c r="J141" s="194" t="s">
        <v>301</v>
      </c>
      <c r="K141" s="108"/>
      <c r="L141" s="108"/>
      <c r="M141" s="165" t="e">
        <f t="shared" si="31"/>
        <v>#VALUE!</v>
      </c>
      <c r="N141" s="74" t="s">
        <v>103</v>
      </c>
      <c r="W141" s="67"/>
      <c r="X141" s="194"/>
      <c r="Y141" s="573">
        <f>ROUNDDOWN($Y$2/$I141,0)*$AG141</f>
        <v>0</v>
      </c>
      <c r="Z141" s="194" t="s">
        <v>1311</v>
      </c>
      <c r="AA141" s="165">
        <f>ROUNDDOWN($AA$2/$I141,0)*$AI141</f>
        <v>0</v>
      </c>
      <c r="AB141" s="194" t="s">
        <v>1311</v>
      </c>
      <c r="AC141" s="165">
        <f>ROUNDDOWN($AC$2/$I141,0)*$AK141</f>
        <v>0</v>
      </c>
      <c r="AD141" s="194" t="s">
        <v>1311</v>
      </c>
      <c r="AE141" s="165">
        <f>ROUNDDOWN($AE$2/$I141,0)*$AM141</f>
        <v>0</v>
      </c>
      <c r="AF141" s="194" t="s">
        <v>1313</v>
      </c>
      <c r="AG141" s="573">
        <f t="shared" si="34"/>
        <v>0</v>
      </c>
      <c r="AH141" s="194" t="s">
        <v>1311</v>
      </c>
      <c r="AI141" s="165">
        <f>VLOOKUP("E2.E.03",Ergebnisse_Errichtung,9,0)</f>
        <v>0</v>
      </c>
      <c r="AJ141" s="194" t="s">
        <v>1311</v>
      </c>
      <c r="AK141" s="165">
        <f>VLOOKUP("E2.E.03",Ergebnisse_Errichtung,11,0)</f>
        <v>0</v>
      </c>
      <c r="AL141" s="194" t="s">
        <v>1311</v>
      </c>
      <c r="AM141" s="165">
        <f>VLOOKUP("E2.E.03",Ergebnisse_Errichtung,13,0)</f>
        <v>0</v>
      </c>
      <c r="AN141" s="584" t="s">
        <v>1313</v>
      </c>
    </row>
    <row r="142" spans="1:40" s="37" customFormat="1" ht="15" customHeight="1">
      <c r="A142" s="55">
        <v>11700</v>
      </c>
      <c r="B142" s="194" t="s">
        <v>728</v>
      </c>
      <c r="C142" s="194" t="s">
        <v>866</v>
      </c>
      <c r="D142" s="194" t="s">
        <v>297</v>
      </c>
      <c r="E142" s="194"/>
      <c r="F142" s="194"/>
      <c r="G142" s="165" t="e">
        <f t="shared" si="32"/>
        <v>#VALUE!</v>
      </c>
      <c r="H142" s="194" t="s">
        <v>850</v>
      </c>
      <c r="I142" s="152">
        <f t="shared" si="33"/>
        <v>50</v>
      </c>
      <c r="J142" s="194" t="s">
        <v>298</v>
      </c>
      <c r="K142" s="108"/>
      <c r="L142" s="108"/>
      <c r="M142" s="165" t="e">
        <f t="shared" si="31"/>
        <v>#VALUE!</v>
      </c>
      <c r="N142" s="74" t="s">
        <v>103</v>
      </c>
      <c r="W142" s="67"/>
      <c r="X142" s="194"/>
      <c r="Y142" s="532"/>
      <c r="Z142" s="194"/>
      <c r="AA142" s="194"/>
      <c r="AB142" s="194"/>
      <c r="AC142" s="194"/>
      <c r="AD142" s="194"/>
      <c r="AE142" s="194"/>
      <c r="AF142" s="194"/>
      <c r="AG142" s="532"/>
      <c r="AH142" s="194"/>
      <c r="AI142" s="194"/>
      <c r="AJ142" s="194"/>
      <c r="AK142" s="194"/>
      <c r="AL142" s="194"/>
      <c r="AM142" s="194"/>
      <c r="AN142" s="584"/>
    </row>
    <row r="143" spans="1:40" s="37" customFormat="1" ht="15" customHeight="1">
      <c r="A143" s="55">
        <v>11800</v>
      </c>
      <c r="B143" s="194" t="s">
        <v>728</v>
      </c>
      <c r="C143" s="194" t="s">
        <v>867</v>
      </c>
      <c r="D143" s="194" t="s">
        <v>295</v>
      </c>
      <c r="E143" s="194"/>
      <c r="F143" s="194"/>
      <c r="G143" s="165" t="e">
        <f t="shared" si="32"/>
        <v>#VALUE!</v>
      </c>
      <c r="H143" s="194" t="s">
        <v>850</v>
      </c>
      <c r="I143" s="152">
        <f t="shared" si="33"/>
        <v>50</v>
      </c>
      <c r="J143" s="194" t="s">
        <v>296</v>
      </c>
      <c r="K143" s="108"/>
      <c r="L143" s="108"/>
      <c r="M143" s="165" t="e">
        <f t="shared" si="31"/>
        <v>#VALUE!</v>
      </c>
      <c r="N143" s="74" t="s">
        <v>103</v>
      </c>
      <c r="W143" s="67"/>
      <c r="X143" s="194"/>
      <c r="Y143" s="532"/>
      <c r="Z143" s="194"/>
      <c r="AA143" s="194"/>
      <c r="AB143" s="194"/>
      <c r="AC143" s="194"/>
      <c r="AD143" s="194"/>
      <c r="AE143" s="194"/>
      <c r="AF143" s="194"/>
      <c r="AG143" s="532"/>
      <c r="AH143" s="194"/>
      <c r="AI143" s="194"/>
      <c r="AJ143" s="194"/>
      <c r="AK143" s="194"/>
      <c r="AL143" s="194"/>
      <c r="AM143" s="194"/>
      <c r="AN143" s="584"/>
    </row>
    <row r="144" spans="1:40" s="37" customFormat="1" ht="15" customHeight="1">
      <c r="A144" s="55">
        <v>12000</v>
      </c>
      <c r="B144" s="194" t="s">
        <v>728</v>
      </c>
      <c r="C144" s="194" t="s">
        <v>868</v>
      </c>
      <c r="D144" s="194" t="s">
        <v>869</v>
      </c>
      <c r="E144" s="194"/>
      <c r="F144" s="194"/>
      <c r="G144" s="165" t="e">
        <f t="shared" si="32"/>
        <v>#VALUE!</v>
      </c>
      <c r="H144" s="194" t="s">
        <v>850</v>
      </c>
      <c r="I144" s="152">
        <f t="shared" si="33"/>
        <v>50</v>
      </c>
      <c r="J144" s="194" t="s">
        <v>294</v>
      </c>
      <c r="K144" s="108"/>
      <c r="L144" s="108"/>
      <c r="M144" s="165" t="e">
        <f t="shared" si="31"/>
        <v>#VALUE!</v>
      </c>
      <c r="N144" s="74" t="s">
        <v>103</v>
      </c>
      <c r="W144" s="67"/>
      <c r="X144" s="194"/>
      <c r="Y144" s="532"/>
      <c r="Z144" s="194"/>
      <c r="AA144" s="194"/>
      <c r="AB144" s="194"/>
      <c r="AC144" s="194"/>
      <c r="AD144" s="194"/>
      <c r="AE144" s="194"/>
      <c r="AF144" s="194"/>
      <c r="AG144" s="532"/>
      <c r="AH144" s="194"/>
      <c r="AI144" s="194"/>
      <c r="AJ144" s="194"/>
      <c r="AK144" s="194"/>
      <c r="AL144" s="194"/>
      <c r="AM144" s="194"/>
      <c r="AN144" s="584"/>
    </row>
    <row r="145" spans="1:40" s="37" customFormat="1" ht="15" customHeight="1">
      <c r="A145" s="293">
        <v>12200</v>
      </c>
      <c r="B145" s="172" t="s">
        <v>743</v>
      </c>
      <c r="C145" s="172" t="s">
        <v>870</v>
      </c>
      <c r="D145" s="172" t="s">
        <v>871</v>
      </c>
      <c r="E145" s="172"/>
      <c r="F145" s="172"/>
      <c r="G145" s="172"/>
      <c r="H145" s="172"/>
      <c r="I145" s="172"/>
      <c r="J145" s="172"/>
      <c r="K145" s="293"/>
      <c r="L145" s="293"/>
      <c r="M145" s="158" t="e">
        <f t="shared" si="31"/>
        <v>#VALUE!</v>
      </c>
      <c r="N145" s="295" t="s">
        <v>103</v>
      </c>
      <c r="W145" s="171"/>
      <c r="X145" s="172"/>
      <c r="Y145" s="513">
        <f>Y148+Y168</f>
        <v>0</v>
      </c>
      <c r="Z145" s="172" t="s">
        <v>1311</v>
      </c>
      <c r="AA145" s="158">
        <f>AA148+AA168</f>
        <v>0</v>
      </c>
      <c r="AB145" s="172" t="s">
        <v>1311</v>
      </c>
      <c r="AC145" s="158">
        <f>AC148+AC168</f>
        <v>0</v>
      </c>
      <c r="AD145" s="172" t="s">
        <v>1311</v>
      </c>
      <c r="AE145" s="158">
        <f>AE148+AE168</f>
        <v>0</v>
      </c>
      <c r="AF145" s="172" t="s">
        <v>1313</v>
      </c>
      <c r="AG145" s="513">
        <f>AG148+AG168</f>
        <v>0</v>
      </c>
      <c r="AH145" s="172"/>
      <c r="AI145" s="158">
        <f>AI148+AI168</f>
        <v>0</v>
      </c>
      <c r="AJ145" s="172"/>
      <c r="AK145" s="158">
        <f>AK148+AK168</f>
        <v>0</v>
      </c>
      <c r="AL145" s="172"/>
      <c r="AM145" s="158">
        <f>AM148+AM168</f>
        <v>0</v>
      </c>
      <c r="AN145" s="583"/>
    </row>
    <row r="146" spans="1:40" s="37" customFormat="1" ht="15" customHeight="1">
      <c r="A146" s="55">
        <v>12300</v>
      </c>
      <c r="B146" s="194" t="s">
        <v>728</v>
      </c>
      <c r="C146" s="194" t="s">
        <v>872</v>
      </c>
      <c r="D146" s="194" t="s">
        <v>873</v>
      </c>
      <c r="E146" s="194"/>
      <c r="F146" s="194"/>
      <c r="G146" s="165" t="e">
        <f>VLOOKUP(C146,Folgekosten,5,0)</f>
        <v>#VALUE!</v>
      </c>
      <c r="H146" s="194" t="s">
        <v>850</v>
      </c>
      <c r="I146" s="152">
        <f>IF(ISNUMBER(VLOOKUP(J146,Nutzungsdauern,5,0)),VLOOKUP(J146,Nutzungsdauern,5,0),1000)</f>
        <v>25</v>
      </c>
      <c r="J146" s="194" t="s">
        <v>289</v>
      </c>
      <c r="K146" s="108"/>
      <c r="L146" s="108"/>
      <c r="M146" s="165" t="e">
        <f t="shared" si="31"/>
        <v>#VALUE!</v>
      </c>
      <c r="N146" s="74" t="s">
        <v>103</v>
      </c>
      <c r="W146" s="67"/>
      <c r="X146" s="194"/>
      <c r="Y146" s="522"/>
      <c r="Z146" s="194"/>
      <c r="AA146" s="67"/>
      <c r="AB146" s="194"/>
      <c r="AC146" s="67"/>
      <c r="AD146" s="194"/>
      <c r="AE146" s="67"/>
      <c r="AF146" s="194"/>
      <c r="AG146" s="532"/>
      <c r="AH146" s="194"/>
      <c r="AI146" s="194"/>
      <c r="AJ146" s="194"/>
      <c r="AK146" s="194"/>
      <c r="AL146" s="194"/>
      <c r="AM146" s="194"/>
      <c r="AN146" s="584"/>
    </row>
    <row r="147" spans="1:40" s="37" customFormat="1" ht="15" customHeight="1">
      <c r="A147" s="55">
        <v>12400</v>
      </c>
      <c r="B147" s="194" t="s">
        <v>728</v>
      </c>
      <c r="C147" s="194" t="s">
        <v>874</v>
      </c>
      <c r="D147" s="194" t="s">
        <v>287</v>
      </c>
      <c r="E147" s="194"/>
      <c r="F147" s="194"/>
      <c r="G147" s="165" t="e">
        <f>VLOOKUP(C147,Folgekosten,5,0)</f>
        <v>#VALUE!</v>
      </c>
      <c r="H147" s="194" t="s">
        <v>850</v>
      </c>
      <c r="I147" s="152">
        <f>IF(ISNUMBER(VLOOKUP(J147,Nutzungsdauern,5,0)),VLOOKUP(J147,Nutzungsdauern,5,0),1000)</f>
        <v>25</v>
      </c>
      <c r="J147" s="194" t="s">
        <v>288</v>
      </c>
      <c r="K147" s="108"/>
      <c r="L147" s="108"/>
      <c r="M147" s="165" t="e">
        <f t="shared" si="31"/>
        <v>#VALUE!</v>
      </c>
      <c r="N147" s="74" t="s">
        <v>103</v>
      </c>
      <c r="W147" s="67"/>
      <c r="X147" s="194"/>
      <c r="Y147" s="522"/>
      <c r="Z147" s="194"/>
      <c r="AA147" s="67"/>
      <c r="AB147" s="194"/>
      <c r="AC147" s="67"/>
      <c r="AD147" s="194"/>
      <c r="AE147" s="67"/>
      <c r="AF147" s="194"/>
      <c r="AG147" s="532"/>
      <c r="AH147" s="194"/>
      <c r="AI147" s="194"/>
      <c r="AJ147" s="194"/>
      <c r="AK147" s="194"/>
      <c r="AL147" s="194"/>
      <c r="AM147" s="194"/>
      <c r="AN147" s="584"/>
    </row>
    <row r="148" spans="1:40" s="37" customFormat="1" ht="15" customHeight="1">
      <c r="A148" s="293">
        <v>12500</v>
      </c>
      <c r="B148" s="172" t="s">
        <v>743</v>
      </c>
      <c r="C148" s="172" t="s">
        <v>875</v>
      </c>
      <c r="D148" s="172" t="s">
        <v>285</v>
      </c>
      <c r="E148" s="172"/>
      <c r="F148" s="172"/>
      <c r="G148" s="172"/>
      <c r="H148" s="172"/>
      <c r="I148" s="172"/>
      <c r="J148" s="172"/>
      <c r="K148" s="293"/>
      <c r="L148" s="293"/>
      <c r="M148" s="158" t="e">
        <f t="shared" si="31"/>
        <v>#VALUE!</v>
      </c>
      <c r="N148" s="295" t="s">
        <v>103</v>
      </c>
      <c r="W148" s="171"/>
      <c r="X148" s="172"/>
      <c r="Y148" s="513">
        <f>Y149</f>
        <v>0</v>
      </c>
      <c r="Z148" s="172" t="s">
        <v>1311</v>
      </c>
      <c r="AA148" s="158">
        <f>AA149</f>
        <v>0</v>
      </c>
      <c r="AB148" s="172" t="s">
        <v>1311</v>
      </c>
      <c r="AC148" s="158">
        <f>AC149</f>
        <v>0</v>
      </c>
      <c r="AD148" s="172" t="s">
        <v>1311</v>
      </c>
      <c r="AE148" s="158">
        <f>AE149</f>
        <v>0</v>
      </c>
      <c r="AF148" s="172" t="s">
        <v>1313</v>
      </c>
      <c r="AG148" s="513">
        <f>AG149</f>
        <v>0</v>
      </c>
      <c r="AH148" s="172"/>
      <c r="AI148" s="158">
        <f>AI149</f>
        <v>0</v>
      </c>
      <c r="AJ148" s="172"/>
      <c r="AK148" s="158">
        <f>AK149</f>
        <v>0</v>
      </c>
      <c r="AL148" s="172"/>
      <c r="AM148" s="158">
        <f>AM149</f>
        <v>0</v>
      </c>
      <c r="AN148" s="583"/>
    </row>
    <row r="149" spans="1:40" s="37" customFormat="1" ht="15" customHeight="1">
      <c r="A149" s="55">
        <v>12600</v>
      </c>
      <c r="B149" s="194" t="s">
        <v>728</v>
      </c>
      <c r="C149" s="194" t="s">
        <v>876</v>
      </c>
      <c r="D149" s="194" t="s">
        <v>283</v>
      </c>
      <c r="E149" s="194"/>
      <c r="F149" s="194"/>
      <c r="G149" s="165" t="e">
        <f>VLOOKUP(C149,Folgekosten,5,0)</f>
        <v>#VALUE!</v>
      </c>
      <c r="H149" s="194" t="s">
        <v>850</v>
      </c>
      <c r="I149" s="152">
        <f>IF(ISNUMBER(VLOOKUP(J149,Nutzungsdauern,5,0)),VLOOKUP(J149,Nutzungsdauern,5,0),1000)</f>
        <v>25</v>
      </c>
      <c r="J149" s="194" t="s">
        <v>284</v>
      </c>
      <c r="K149" s="108"/>
      <c r="L149" s="108"/>
      <c r="M149" s="165" t="e">
        <f t="shared" si="31"/>
        <v>#VALUE!</v>
      </c>
      <c r="N149" s="74" t="s">
        <v>103</v>
      </c>
      <c r="W149" s="67"/>
      <c r="X149" s="194"/>
      <c r="Y149" s="573">
        <f>ROUNDDOWN($Y$2/$I149,0)*$AG149</f>
        <v>0</v>
      </c>
      <c r="Z149" s="194" t="s">
        <v>1311</v>
      </c>
      <c r="AA149" s="165">
        <f>ROUNDDOWN($AA$2/$I149,0)*$AI149</f>
        <v>0</v>
      </c>
      <c r="AB149" s="194" t="s">
        <v>1311</v>
      </c>
      <c r="AC149" s="165">
        <f>ROUNDDOWN($AC$2/$I149,0)*$AK149</f>
        <v>0</v>
      </c>
      <c r="AD149" s="194" t="s">
        <v>1311</v>
      </c>
      <c r="AE149" s="165">
        <f>ROUNDDOWN($AE$2/$I149,0)*$AM149</f>
        <v>0</v>
      </c>
      <c r="AF149" s="194" t="s">
        <v>1313</v>
      </c>
      <c r="AG149" s="573">
        <f>VLOOKUP("E3.C.01",Ergebnisse_Errichtung,7,0)</f>
        <v>0</v>
      </c>
      <c r="AH149" s="194" t="s">
        <v>1311</v>
      </c>
      <c r="AI149" s="165">
        <f>VLOOKUP("E3.C.01",Ergebnisse_Errichtung,9,0)</f>
        <v>0</v>
      </c>
      <c r="AJ149" s="194" t="s">
        <v>1311</v>
      </c>
      <c r="AK149" s="165">
        <f>VLOOKUP("E3.C.01",Ergebnisse_Errichtung,11,0)</f>
        <v>0</v>
      </c>
      <c r="AL149" s="194" t="s">
        <v>1311</v>
      </c>
      <c r="AM149" s="165">
        <f>VLOOKUP("E3.C.01",Ergebnisse_Errichtung,13,0)</f>
        <v>0</v>
      </c>
      <c r="AN149" s="584" t="s">
        <v>1313</v>
      </c>
    </row>
    <row r="150" spans="1:40" s="37" customFormat="1" ht="15" customHeight="1">
      <c r="A150" s="55">
        <v>12700</v>
      </c>
      <c r="B150" s="194" t="s">
        <v>728</v>
      </c>
      <c r="C150" s="194" t="s">
        <v>877</v>
      </c>
      <c r="D150" s="194" t="s">
        <v>281</v>
      </c>
      <c r="E150" s="194"/>
      <c r="F150" s="194"/>
      <c r="G150" s="165" t="e">
        <f>VLOOKUP(C150,Folgekosten,5,0)</f>
        <v>#VALUE!</v>
      </c>
      <c r="H150" s="194" t="s">
        <v>850</v>
      </c>
      <c r="I150" s="152">
        <f>IF(ISNUMBER(VLOOKUP(J150,Nutzungsdauern,5,0)),VLOOKUP(J150,Nutzungsdauern,5,0),1000)</f>
        <v>40</v>
      </c>
      <c r="J150" s="194" t="s">
        <v>282</v>
      </c>
      <c r="K150" s="108"/>
      <c r="L150" s="108"/>
      <c r="M150" s="165" t="e">
        <f t="shared" si="31"/>
        <v>#VALUE!</v>
      </c>
      <c r="N150" s="74" t="s">
        <v>103</v>
      </c>
      <c r="W150" s="67"/>
      <c r="X150" s="194"/>
      <c r="Y150" s="522"/>
      <c r="Z150" s="194"/>
      <c r="AA150" s="67"/>
      <c r="AB150" s="194"/>
      <c r="AC150" s="67"/>
      <c r="AD150" s="194"/>
      <c r="AE150" s="67"/>
      <c r="AF150" s="194"/>
      <c r="AG150" s="532"/>
      <c r="AH150" s="194"/>
      <c r="AI150" s="194"/>
      <c r="AJ150" s="194"/>
      <c r="AK150" s="194"/>
      <c r="AL150" s="194"/>
      <c r="AM150" s="194"/>
      <c r="AN150" s="584"/>
    </row>
    <row r="151" spans="1:40" s="37" customFormat="1" ht="15" customHeight="1">
      <c r="A151" s="55">
        <v>12800</v>
      </c>
      <c r="B151" s="194" t="s">
        <v>728</v>
      </c>
      <c r="C151" s="194" t="s">
        <v>878</v>
      </c>
      <c r="D151" s="194" t="s">
        <v>279</v>
      </c>
      <c r="E151" s="194"/>
      <c r="F151" s="194"/>
      <c r="G151" s="165" t="e">
        <f>VLOOKUP(C151,Folgekosten,5,0)</f>
        <v>#VALUE!</v>
      </c>
      <c r="H151" s="194" t="s">
        <v>850</v>
      </c>
      <c r="I151" s="152">
        <f>IF(ISNUMBER(VLOOKUP(J151,Nutzungsdauern,5,0)),VLOOKUP(J151,Nutzungsdauern,5,0),1000)</f>
        <v>30</v>
      </c>
      <c r="J151" s="194" t="s">
        <v>280</v>
      </c>
      <c r="K151" s="108"/>
      <c r="L151" s="108"/>
      <c r="M151" s="165" t="e">
        <f t="shared" si="31"/>
        <v>#VALUE!</v>
      </c>
      <c r="N151" s="74" t="s">
        <v>103</v>
      </c>
      <c r="W151" s="67"/>
      <c r="X151" s="194"/>
      <c r="Y151" s="522"/>
      <c r="Z151" s="194"/>
      <c r="AA151" s="67"/>
      <c r="AB151" s="194"/>
      <c r="AC151" s="67"/>
      <c r="AD151" s="194"/>
      <c r="AE151" s="67"/>
      <c r="AF151" s="194"/>
      <c r="AG151" s="532"/>
      <c r="AH151" s="194"/>
      <c r="AI151" s="194"/>
      <c r="AJ151" s="194"/>
      <c r="AK151" s="194"/>
      <c r="AL151" s="194"/>
      <c r="AM151" s="194"/>
      <c r="AN151" s="584"/>
    </row>
    <row r="152" spans="1:40" s="37" customFormat="1" ht="15" customHeight="1">
      <c r="A152" s="55">
        <v>12900</v>
      </c>
      <c r="B152" s="194" t="s">
        <v>728</v>
      </c>
      <c r="C152" s="194" t="s">
        <v>879</v>
      </c>
      <c r="D152" s="194" t="s">
        <v>277</v>
      </c>
      <c r="E152" s="194"/>
      <c r="F152" s="194"/>
      <c r="G152" s="165" t="e">
        <f>VLOOKUP(C152,Folgekosten,5,0)</f>
        <v>#VALUE!</v>
      </c>
      <c r="H152" s="194" t="s">
        <v>850</v>
      </c>
      <c r="I152" s="152">
        <f>IF(ISNUMBER(VLOOKUP(J152,Nutzungsdauern,5,0)),VLOOKUP(J152,Nutzungsdauern,5,0),1000)</f>
        <v>25</v>
      </c>
      <c r="J152" s="194" t="s">
        <v>278</v>
      </c>
      <c r="K152" s="108"/>
      <c r="L152" s="108"/>
      <c r="M152" s="165" t="e">
        <f t="shared" si="31"/>
        <v>#VALUE!</v>
      </c>
      <c r="N152" s="74" t="s">
        <v>103</v>
      </c>
      <c r="W152" s="67"/>
      <c r="X152" s="194"/>
      <c r="Y152" s="522"/>
      <c r="Z152" s="194"/>
      <c r="AA152" s="67"/>
      <c r="AB152" s="194"/>
      <c r="AC152" s="67"/>
      <c r="AD152" s="194"/>
      <c r="AE152" s="67"/>
      <c r="AF152" s="194"/>
      <c r="AG152" s="532"/>
      <c r="AH152" s="194"/>
      <c r="AI152" s="194"/>
      <c r="AJ152" s="194"/>
      <c r="AK152" s="194"/>
      <c r="AL152" s="194"/>
      <c r="AM152" s="194"/>
      <c r="AN152" s="584"/>
    </row>
    <row r="153" spans="1:40" s="37" customFormat="1" ht="15" customHeight="1">
      <c r="A153" s="293">
        <v>13000</v>
      </c>
      <c r="B153" s="172" t="s">
        <v>743</v>
      </c>
      <c r="C153" s="172" t="s">
        <v>880</v>
      </c>
      <c r="D153" s="172" t="s">
        <v>274</v>
      </c>
      <c r="E153" s="172"/>
      <c r="F153" s="172"/>
      <c r="G153" s="172"/>
      <c r="H153" s="172"/>
      <c r="I153" s="172"/>
      <c r="J153" s="172"/>
      <c r="K153" s="293"/>
      <c r="L153" s="293"/>
      <c r="M153" s="158" t="e">
        <f t="shared" si="31"/>
        <v>#VALUE!</v>
      </c>
      <c r="N153" s="295" t="s">
        <v>103</v>
      </c>
      <c r="W153" s="171"/>
      <c r="X153" s="172"/>
      <c r="Y153" s="572"/>
      <c r="Z153" s="172"/>
      <c r="AA153" s="171"/>
      <c r="AB153" s="172"/>
      <c r="AC153" s="171"/>
      <c r="AD153" s="172"/>
      <c r="AE153" s="171"/>
      <c r="AF153" s="172"/>
      <c r="AG153" s="577"/>
      <c r="AH153" s="172"/>
      <c r="AI153" s="172"/>
      <c r="AJ153" s="172"/>
      <c r="AK153" s="172"/>
      <c r="AL153" s="172"/>
      <c r="AM153" s="172"/>
      <c r="AN153" s="583"/>
    </row>
    <row r="154" spans="1:40" s="37" customFormat="1" ht="15" customHeight="1">
      <c r="A154" s="293">
        <v>13100</v>
      </c>
      <c r="B154" s="172" t="s">
        <v>743</v>
      </c>
      <c r="C154" s="172" t="s">
        <v>881</v>
      </c>
      <c r="D154" s="172" t="s">
        <v>272</v>
      </c>
      <c r="E154" s="172"/>
      <c r="F154" s="172"/>
      <c r="G154" s="172"/>
      <c r="H154" s="172"/>
      <c r="I154" s="172"/>
      <c r="J154" s="172"/>
      <c r="K154" s="293"/>
      <c r="L154" s="293"/>
      <c r="M154" s="158" t="e">
        <f t="shared" si="31"/>
        <v>#VALUE!</v>
      </c>
      <c r="N154" s="295" t="s">
        <v>103</v>
      </c>
      <c r="W154" s="171"/>
      <c r="X154" s="172"/>
      <c r="Y154" s="572"/>
      <c r="Z154" s="172"/>
      <c r="AA154" s="171"/>
      <c r="AB154" s="172"/>
      <c r="AC154" s="171"/>
      <c r="AD154" s="172"/>
      <c r="AE154" s="171"/>
      <c r="AF154" s="172"/>
      <c r="AG154" s="577"/>
      <c r="AH154" s="172"/>
      <c r="AI154" s="172"/>
      <c r="AJ154" s="172"/>
      <c r="AK154" s="172"/>
      <c r="AL154" s="172"/>
      <c r="AM154" s="172"/>
      <c r="AN154" s="583"/>
    </row>
    <row r="155" spans="1:40" s="37" customFormat="1" ht="15" customHeight="1">
      <c r="A155" s="55">
        <v>13200</v>
      </c>
      <c r="B155" s="194" t="s">
        <v>728</v>
      </c>
      <c r="C155" s="194" t="s">
        <v>882</v>
      </c>
      <c r="D155" s="194" t="s">
        <v>883</v>
      </c>
      <c r="E155" s="194"/>
      <c r="F155" s="194"/>
      <c r="G155" s="165" t="e">
        <f t="shared" ref="G155:G161" si="36">VLOOKUP(C155,Folgekosten,5,0)</f>
        <v>#VALUE!</v>
      </c>
      <c r="H155" s="194" t="s">
        <v>850</v>
      </c>
      <c r="I155" s="152">
        <f t="shared" ref="I155:I161" si="37">IF(ISNUMBER(VLOOKUP(J155,Nutzungsdauern,5,0)),VLOOKUP(J155,Nutzungsdauern,5,0),1000)</f>
        <v>20</v>
      </c>
      <c r="J155" s="194" t="s">
        <v>2284</v>
      </c>
      <c r="K155" s="108"/>
      <c r="L155" s="108"/>
      <c r="M155" s="165" t="e">
        <f t="shared" si="31"/>
        <v>#VALUE!</v>
      </c>
      <c r="N155" s="74" t="s">
        <v>103</v>
      </c>
      <c r="W155" s="67"/>
      <c r="X155" s="194"/>
      <c r="Y155" s="522"/>
      <c r="Z155" s="194"/>
      <c r="AA155" s="67"/>
      <c r="AB155" s="194"/>
      <c r="AC155" s="67"/>
      <c r="AD155" s="194"/>
      <c r="AE155" s="67"/>
      <c r="AF155" s="194"/>
      <c r="AG155" s="532"/>
      <c r="AH155" s="194"/>
      <c r="AI155" s="194"/>
      <c r="AJ155" s="194"/>
      <c r="AK155" s="194"/>
      <c r="AL155" s="194"/>
      <c r="AM155" s="194"/>
      <c r="AN155" s="584"/>
    </row>
    <row r="156" spans="1:40" s="37" customFormat="1" ht="15" customHeight="1">
      <c r="A156" s="55">
        <v>13300</v>
      </c>
      <c r="B156" s="194" t="s">
        <v>728</v>
      </c>
      <c r="C156" s="194" t="s">
        <v>884</v>
      </c>
      <c r="D156" s="194" t="s">
        <v>885</v>
      </c>
      <c r="E156" s="194"/>
      <c r="F156" s="194"/>
      <c r="G156" s="165" t="e">
        <f t="shared" si="36"/>
        <v>#VALUE!</v>
      </c>
      <c r="H156" s="194" t="s">
        <v>850</v>
      </c>
      <c r="I156" s="152">
        <f t="shared" si="37"/>
        <v>12</v>
      </c>
      <c r="J156" s="194" t="s">
        <v>2285</v>
      </c>
      <c r="K156" s="108"/>
      <c r="L156" s="108"/>
      <c r="M156" s="165" t="e">
        <f t="shared" si="31"/>
        <v>#VALUE!</v>
      </c>
      <c r="N156" s="74" t="s">
        <v>103</v>
      </c>
      <c r="W156" s="67"/>
      <c r="X156" s="194"/>
      <c r="Y156" s="522"/>
      <c r="Z156" s="194"/>
      <c r="AA156" s="67"/>
      <c r="AB156" s="194"/>
      <c r="AC156" s="67"/>
      <c r="AD156" s="194"/>
      <c r="AE156" s="67"/>
      <c r="AF156" s="194"/>
      <c r="AG156" s="532"/>
      <c r="AH156" s="194"/>
      <c r="AI156" s="194"/>
      <c r="AJ156" s="194"/>
      <c r="AK156" s="194"/>
      <c r="AL156" s="194"/>
      <c r="AM156" s="194"/>
      <c r="AN156" s="584"/>
    </row>
    <row r="157" spans="1:40" s="37" customFormat="1" ht="15" customHeight="1">
      <c r="A157" s="55">
        <v>13400</v>
      </c>
      <c r="B157" s="194" t="s">
        <v>728</v>
      </c>
      <c r="C157" s="194" t="s">
        <v>886</v>
      </c>
      <c r="D157" s="194" t="s">
        <v>270</v>
      </c>
      <c r="E157" s="194"/>
      <c r="F157" s="194"/>
      <c r="G157" s="165" t="e">
        <f t="shared" si="36"/>
        <v>#VALUE!</v>
      </c>
      <c r="H157" s="194" t="s">
        <v>850</v>
      </c>
      <c r="I157" s="152">
        <f t="shared" si="37"/>
        <v>20</v>
      </c>
      <c r="J157" s="194" t="s">
        <v>271</v>
      </c>
      <c r="K157" s="108"/>
      <c r="L157" s="108"/>
      <c r="M157" s="165" t="e">
        <f t="shared" si="31"/>
        <v>#VALUE!</v>
      </c>
      <c r="N157" s="74" t="s">
        <v>103</v>
      </c>
      <c r="W157" s="67"/>
      <c r="X157" s="194"/>
      <c r="Y157" s="522"/>
      <c r="Z157" s="194"/>
      <c r="AA157" s="67"/>
      <c r="AB157" s="194"/>
      <c r="AC157" s="67"/>
      <c r="AD157" s="194"/>
      <c r="AE157" s="67"/>
      <c r="AF157" s="194"/>
      <c r="AG157" s="532"/>
      <c r="AH157" s="194"/>
      <c r="AI157" s="194"/>
      <c r="AJ157" s="194"/>
      <c r="AK157" s="194"/>
      <c r="AL157" s="194"/>
      <c r="AM157" s="194"/>
      <c r="AN157" s="584"/>
    </row>
    <row r="158" spans="1:40" s="37" customFormat="1" ht="15" customHeight="1">
      <c r="A158" s="55">
        <v>13500</v>
      </c>
      <c r="B158" s="194" t="s">
        <v>728</v>
      </c>
      <c r="C158" s="194" t="s">
        <v>887</v>
      </c>
      <c r="D158" s="194" t="s">
        <v>268</v>
      </c>
      <c r="E158" s="194"/>
      <c r="F158" s="194"/>
      <c r="G158" s="165" t="e">
        <f t="shared" si="36"/>
        <v>#VALUE!</v>
      </c>
      <c r="H158" s="194" t="s">
        <v>850</v>
      </c>
      <c r="I158" s="152">
        <f t="shared" si="37"/>
        <v>15</v>
      </c>
      <c r="J158" s="194" t="s">
        <v>269</v>
      </c>
      <c r="K158" s="108"/>
      <c r="L158" s="108"/>
      <c r="M158" s="165" t="e">
        <f t="shared" si="31"/>
        <v>#VALUE!</v>
      </c>
      <c r="N158" s="74" t="s">
        <v>103</v>
      </c>
      <c r="W158" s="67"/>
      <c r="X158" s="194"/>
      <c r="Y158" s="522"/>
      <c r="Z158" s="194"/>
      <c r="AA158" s="67"/>
      <c r="AB158" s="194"/>
      <c r="AC158" s="67"/>
      <c r="AD158" s="194"/>
      <c r="AE158" s="67"/>
      <c r="AF158" s="194"/>
      <c r="AG158" s="532"/>
      <c r="AH158" s="194"/>
      <c r="AI158" s="194"/>
      <c r="AJ158" s="194"/>
      <c r="AK158" s="194"/>
      <c r="AL158" s="194"/>
      <c r="AM158" s="194"/>
      <c r="AN158" s="584"/>
    </row>
    <row r="159" spans="1:40" s="37" customFormat="1" ht="15" customHeight="1">
      <c r="A159" s="55">
        <v>13600</v>
      </c>
      <c r="B159" s="194" t="s">
        <v>728</v>
      </c>
      <c r="C159" s="194" t="s">
        <v>888</v>
      </c>
      <c r="D159" s="194" t="s">
        <v>266</v>
      </c>
      <c r="E159" s="194"/>
      <c r="F159" s="194"/>
      <c r="G159" s="165" t="e">
        <f t="shared" si="36"/>
        <v>#VALUE!</v>
      </c>
      <c r="H159" s="194" t="s">
        <v>850</v>
      </c>
      <c r="I159" s="152">
        <f t="shared" si="37"/>
        <v>15</v>
      </c>
      <c r="J159" s="194" t="s">
        <v>267</v>
      </c>
      <c r="K159" s="108"/>
      <c r="L159" s="108"/>
      <c r="M159" s="165" t="e">
        <f t="shared" si="31"/>
        <v>#VALUE!</v>
      </c>
      <c r="N159" s="74" t="s">
        <v>103</v>
      </c>
      <c r="W159" s="67"/>
      <c r="X159" s="194"/>
      <c r="Y159" s="522"/>
      <c r="Z159" s="194"/>
      <c r="AA159" s="67"/>
      <c r="AB159" s="194"/>
      <c r="AC159" s="67"/>
      <c r="AD159" s="194"/>
      <c r="AE159" s="67"/>
      <c r="AF159" s="194"/>
      <c r="AG159" s="532"/>
      <c r="AH159" s="194"/>
      <c r="AI159" s="194"/>
      <c r="AJ159" s="194"/>
      <c r="AK159" s="194"/>
      <c r="AL159" s="194"/>
      <c r="AM159" s="194"/>
      <c r="AN159" s="584"/>
    </row>
    <row r="160" spans="1:40" s="37" customFormat="1" ht="15" customHeight="1">
      <c r="A160" s="55">
        <v>13700</v>
      </c>
      <c r="B160" s="194" t="s">
        <v>728</v>
      </c>
      <c r="C160" s="194" t="s">
        <v>889</v>
      </c>
      <c r="D160" s="194" t="s">
        <v>264</v>
      </c>
      <c r="E160" s="194"/>
      <c r="F160" s="194"/>
      <c r="G160" s="165" t="e">
        <f t="shared" si="36"/>
        <v>#VALUE!</v>
      </c>
      <c r="H160" s="194" t="s">
        <v>850</v>
      </c>
      <c r="I160" s="152">
        <f t="shared" si="37"/>
        <v>20</v>
      </c>
      <c r="J160" s="194" t="s">
        <v>265</v>
      </c>
      <c r="K160" s="108"/>
      <c r="L160" s="108"/>
      <c r="M160" s="165" t="e">
        <f t="shared" si="31"/>
        <v>#VALUE!</v>
      </c>
      <c r="N160" s="74" t="s">
        <v>103</v>
      </c>
      <c r="W160" s="67"/>
      <c r="X160" s="194"/>
      <c r="Y160" s="522"/>
      <c r="Z160" s="194"/>
      <c r="AA160" s="67"/>
      <c r="AB160" s="194"/>
      <c r="AC160" s="67"/>
      <c r="AD160" s="194"/>
      <c r="AE160" s="67"/>
      <c r="AF160" s="194"/>
      <c r="AG160" s="532"/>
      <c r="AH160" s="194"/>
      <c r="AI160" s="194"/>
      <c r="AJ160" s="194"/>
      <c r="AK160" s="194"/>
      <c r="AL160" s="194"/>
      <c r="AM160" s="194"/>
      <c r="AN160" s="584"/>
    </row>
    <row r="161" spans="1:40" s="37" customFormat="1" ht="15" customHeight="1">
      <c r="A161" s="55">
        <v>13800</v>
      </c>
      <c r="B161" s="194" t="s">
        <v>728</v>
      </c>
      <c r="C161" s="194" t="s">
        <v>890</v>
      </c>
      <c r="D161" s="194" t="s">
        <v>262</v>
      </c>
      <c r="E161" s="194"/>
      <c r="F161" s="194"/>
      <c r="G161" s="165" t="e">
        <f t="shared" si="36"/>
        <v>#VALUE!</v>
      </c>
      <c r="H161" s="194" t="s">
        <v>850</v>
      </c>
      <c r="I161" s="152">
        <f t="shared" si="37"/>
        <v>20</v>
      </c>
      <c r="J161" s="194" t="s">
        <v>263</v>
      </c>
      <c r="K161" s="108"/>
      <c r="L161" s="108"/>
      <c r="M161" s="165" t="e">
        <f t="shared" si="31"/>
        <v>#VALUE!</v>
      </c>
      <c r="N161" s="74" t="s">
        <v>103</v>
      </c>
      <c r="W161" s="67"/>
      <c r="X161" s="194"/>
      <c r="Y161" s="522"/>
      <c r="Z161" s="194"/>
      <c r="AA161" s="67"/>
      <c r="AB161" s="194"/>
      <c r="AC161" s="67"/>
      <c r="AD161" s="194"/>
      <c r="AE161" s="67"/>
      <c r="AF161" s="194"/>
      <c r="AG161" s="532"/>
      <c r="AH161" s="194"/>
      <c r="AI161" s="194"/>
      <c r="AJ161" s="194"/>
      <c r="AK161" s="194"/>
      <c r="AL161" s="194"/>
      <c r="AM161" s="194"/>
      <c r="AN161" s="584"/>
    </row>
    <row r="162" spans="1:40" s="37" customFormat="1" ht="15" customHeight="1">
      <c r="A162" s="293">
        <v>13900</v>
      </c>
      <c r="B162" s="172" t="s">
        <v>743</v>
      </c>
      <c r="C162" s="172" t="s">
        <v>891</v>
      </c>
      <c r="D162" s="172" t="s">
        <v>259</v>
      </c>
      <c r="E162" s="172"/>
      <c r="F162" s="172"/>
      <c r="G162" s="172"/>
      <c r="H162" s="172"/>
      <c r="I162" s="172"/>
      <c r="J162" s="172"/>
      <c r="K162" s="293"/>
      <c r="L162" s="293"/>
      <c r="M162" s="158" t="e">
        <f t="shared" si="31"/>
        <v>#VALUE!</v>
      </c>
      <c r="N162" s="295" t="s">
        <v>103</v>
      </c>
      <c r="W162" s="171"/>
      <c r="X162" s="172"/>
      <c r="Y162" s="572"/>
      <c r="Z162" s="172"/>
      <c r="AA162" s="171"/>
      <c r="AB162" s="172"/>
      <c r="AC162" s="171"/>
      <c r="AD162" s="172"/>
      <c r="AE162" s="171"/>
      <c r="AF162" s="172"/>
      <c r="AG162" s="577"/>
      <c r="AH162" s="172"/>
      <c r="AI162" s="172"/>
      <c r="AJ162" s="172"/>
      <c r="AK162" s="172"/>
      <c r="AL162" s="172"/>
      <c r="AM162" s="172"/>
      <c r="AN162" s="583"/>
    </row>
    <row r="163" spans="1:40" s="37" customFormat="1" ht="15" customHeight="1">
      <c r="A163" s="55">
        <v>14000</v>
      </c>
      <c r="B163" s="194" t="s">
        <v>728</v>
      </c>
      <c r="C163" s="194" t="s">
        <v>892</v>
      </c>
      <c r="D163" s="194" t="s">
        <v>257</v>
      </c>
      <c r="E163" s="194"/>
      <c r="F163" s="194"/>
      <c r="G163" s="165" t="e">
        <f t="shared" ref="G163:G168" si="38">VLOOKUP(C163,Folgekosten,5,0)</f>
        <v>#VALUE!</v>
      </c>
      <c r="H163" s="194" t="s">
        <v>850</v>
      </c>
      <c r="I163" s="152">
        <f t="shared" ref="I163:I168" si="39">IF(ISNUMBER(VLOOKUP(J163,Nutzungsdauern,5,0)),VLOOKUP(J163,Nutzungsdauern,5,0),1000)</f>
        <v>25</v>
      </c>
      <c r="J163" s="194" t="s">
        <v>258</v>
      </c>
      <c r="K163" s="108"/>
      <c r="L163" s="108"/>
      <c r="M163" s="165" t="e">
        <f t="shared" si="31"/>
        <v>#VALUE!</v>
      </c>
      <c r="N163" s="74" t="s">
        <v>103</v>
      </c>
      <c r="W163" s="67"/>
      <c r="X163" s="194"/>
      <c r="Y163" s="522"/>
      <c r="Z163" s="194"/>
      <c r="AA163" s="67"/>
      <c r="AB163" s="194"/>
      <c r="AC163" s="67"/>
      <c r="AD163" s="194"/>
      <c r="AE163" s="67"/>
      <c r="AF163" s="194"/>
      <c r="AG163" s="532"/>
      <c r="AH163" s="194"/>
      <c r="AI163" s="194"/>
      <c r="AJ163" s="194"/>
      <c r="AK163" s="194"/>
      <c r="AL163" s="194"/>
      <c r="AM163" s="194"/>
      <c r="AN163" s="584"/>
    </row>
    <row r="164" spans="1:40" s="37" customFormat="1" ht="15" customHeight="1">
      <c r="A164" s="55">
        <v>14100</v>
      </c>
      <c r="B164" s="194" t="s">
        <v>728</v>
      </c>
      <c r="C164" s="194" t="s">
        <v>893</v>
      </c>
      <c r="D164" s="194" t="s">
        <v>255</v>
      </c>
      <c r="E164" s="194"/>
      <c r="F164" s="194"/>
      <c r="G164" s="165" t="e">
        <f t="shared" si="38"/>
        <v>#VALUE!</v>
      </c>
      <c r="H164" s="194" t="s">
        <v>850</v>
      </c>
      <c r="I164" s="152">
        <f t="shared" si="39"/>
        <v>30</v>
      </c>
      <c r="J164" s="194" t="s">
        <v>256</v>
      </c>
      <c r="K164" s="108"/>
      <c r="L164" s="108"/>
      <c r="M164" s="165" t="e">
        <f t="shared" si="31"/>
        <v>#VALUE!</v>
      </c>
      <c r="N164" s="74" t="s">
        <v>103</v>
      </c>
      <c r="W164" s="67"/>
      <c r="X164" s="194"/>
      <c r="Y164" s="522"/>
      <c r="Z164" s="194"/>
      <c r="AA164" s="67"/>
      <c r="AB164" s="194"/>
      <c r="AC164" s="67"/>
      <c r="AD164" s="194"/>
      <c r="AE164" s="67"/>
      <c r="AF164" s="194"/>
      <c r="AG164" s="532"/>
      <c r="AH164" s="194"/>
      <c r="AI164" s="194"/>
      <c r="AJ164" s="194"/>
      <c r="AK164" s="194"/>
      <c r="AL164" s="194"/>
      <c r="AM164" s="194"/>
      <c r="AN164" s="584"/>
    </row>
    <row r="165" spans="1:40" s="37" customFormat="1" ht="15" customHeight="1">
      <c r="A165" s="55">
        <v>14200</v>
      </c>
      <c r="B165" s="194" t="s">
        <v>728</v>
      </c>
      <c r="C165" s="194" t="s">
        <v>894</v>
      </c>
      <c r="D165" s="194" t="s">
        <v>253</v>
      </c>
      <c r="E165" s="194"/>
      <c r="F165" s="194"/>
      <c r="G165" s="165" t="e">
        <f t="shared" si="38"/>
        <v>#VALUE!</v>
      </c>
      <c r="H165" s="194" t="s">
        <v>850</v>
      </c>
      <c r="I165" s="152">
        <f t="shared" si="39"/>
        <v>20</v>
      </c>
      <c r="J165" s="194" t="s">
        <v>254</v>
      </c>
      <c r="K165" s="108"/>
      <c r="L165" s="108"/>
      <c r="M165" s="165" t="e">
        <f t="shared" si="31"/>
        <v>#VALUE!</v>
      </c>
      <c r="N165" s="74" t="s">
        <v>103</v>
      </c>
      <c r="W165" s="67"/>
      <c r="X165" s="194"/>
      <c r="Y165" s="522"/>
      <c r="Z165" s="194"/>
      <c r="AA165" s="67"/>
      <c r="AB165" s="194"/>
      <c r="AC165" s="67"/>
      <c r="AD165" s="194"/>
      <c r="AE165" s="67"/>
      <c r="AF165" s="194"/>
      <c r="AG165" s="532"/>
      <c r="AH165" s="194"/>
      <c r="AI165" s="194"/>
      <c r="AJ165" s="194"/>
      <c r="AK165" s="194"/>
      <c r="AL165" s="194"/>
      <c r="AM165" s="194"/>
      <c r="AN165" s="584"/>
    </row>
    <row r="166" spans="1:40" s="37" customFormat="1" ht="15" customHeight="1">
      <c r="A166" s="55">
        <v>14300</v>
      </c>
      <c r="B166" s="194" t="s">
        <v>728</v>
      </c>
      <c r="C166" s="194" t="s">
        <v>895</v>
      </c>
      <c r="D166" s="194" t="s">
        <v>251</v>
      </c>
      <c r="E166" s="194"/>
      <c r="F166" s="194"/>
      <c r="G166" s="165" t="e">
        <f t="shared" si="38"/>
        <v>#VALUE!</v>
      </c>
      <c r="H166" s="194" t="s">
        <v>850</v>
      </c>
      <c r="I166" s="152">
        <f t="shared" si="39"/>
        <v>20</v>
      </c>
      <c r="J166" s="194" t="s">
        <v>252</v>
      </c>
      <c r="K166" s="108"/>
      <c r="L166" s="108"/>
      <c r="M166" s="165" t="e">
        <f t="shared" si="31"/>
        <v>#VALUE!</v>
      </c>
      <c r="N166" s="74" t="s">
        <v>103</v>
      </c>
      <c r="W166" s="67"/>
      <c r="X166" s="194"/>
      <c r="Y166" s="522"/>
      <c r="Z166" s="194"/>
      <c r="AA166" s="67"/>
      <c r="AB166" s="194"/>
      <c r="AC166" s="67"/>
      <c r="AD166" s="194"/>
      <c r="AE166" s="67"/>
      <c r="AF166" s="194"/>
      <c r="AG166" s="532"/>
      <c r="AH166" s="194"/>
      <c r="AI166" s="194"/>
      <c r="AJ166" s="194"/>
      <c r="AK166" s="194"/>
      <c r="AL166" s="194"/>
      <c r="AM166" s="194"/>
      <c r="AN166" s="584"/>
    </row>
    <row r="167" spans="1:40" s="37" customFormat="1" ht="15" customHeight="1">
      <c r="A167" s="55">
        <v>14400</v>
      </c>
      <c r="B167" s="194" t="s">
        <v>728</v>
      </c>
      <c r="C167" s="194" t="s">
        <v>896</v>
      </c>
      <c r="D167" s="194" t="s">
        <v>249</v>
      </c>
      <c r="E167" s="194"/>
      <c r="F167" s="194"/>
      <c r="G167" s="165" t="e">
        <f t="shared" si="38"/>
        <v>#VALUE!</v>
      </c>
      <c r="H167" s="194" t="s">
        <v>850</v>
      </c>
      <c r="I167" s="152">
        <f t="shared" si="39"/>
        <v>20</v>
      </c>
      <c r="J167" s="194" t="s">
        <v>250</v>
      </c>
      <c r="K167" s="108"/>
      <c r="L167" s="108"/>
      <c r="M167" s="165" t="e">
        <f t="shared" si="31"/>
        <v>#VALUE!</v>
      </c>
      <c r="N167" s="74" t="s">
        <v>103</v>
      </c>
      <c r="W167" s="67"/>
      <c r="X167" s="194"/>
      <c r="Y167" s="522"/>
      <c r="Z167" s="194"/>
      <c r="AA167" s="67"/>
      <c r="AB167" s="194"/>
      <c r="AC167" s="67"/>
      <c r="AD167" s="194"/>
      <c r="AE167" s="67"/>
      <c r="AF167" s="194"/>
      <c r="AG167" s="532"/>
      <c r="AH167" s="194"/>
      <c r="AI167" s="194"/>
      <c r="AJ167" s="194"/>
      <c r="AK167" s="194"/>
      <c r="AL167" s="194"/>
      <c r="AM167" s="194"/>
      <c r="AN167" s="584"/>
    </row>
    <row r="168" spans="1:40" s="37" customFormat="1" ht="15" customHeight="1">
      <c r="A168" s="55">
        <v>14500</v>
      </c>
      <c r="B168" s="194" t="s">
        <v>728</v>
      </c>
      <c r="C168" s="194" t="s">
        <v>897</v>
      </c>
      <c r="D168" s="194" t="s">
        <v>246</v>
      </c>
      <c r="E168" s="194"/>
      <c r="F168" s="194"/>
      <c r="G168" s="165" t="e">
        <f t="shared" si="38"/>
        <v>#VALUE!</v>
      </c>
      <c r="H168" s="194" t="s">
        <v>850</v>
      </c>
      <c r="I168" s="152">
        <f t="shared" si="39"/>
        <v>25</v>
      </c>
      <c r="J168" s="194" t="s">
        <v>247</v>
      </c>
      <c r="K168" s="108"/>
      <c r="L168" s="108"/>
      <c r="M168" s="165" t="e">
        <f t="shared" si="31"/>
        <v>#VALUE!</v>
      </c>
      <c r="N168" s="74" t="s">
        <v>103</v>
      </c>
      <c r="W168" s="67"/>
      <c r="X168" s="194"/>
      <c r="Y168" s="573">
        <f>ROUNDDOWN($Y$2/$I168,0)*$AG168</f>
        <v>0</v>
      </c>
      <c r="Z168" s="194" t="s">
        <v>1311</v>
      </c>
      <c r="AA168" s="165">
        <f>ROUNDDOWN($AA$2/$I168,0)*$AI168</f>
        <v>0</v>
      </c>
      <c r="AB168" s="194" t="s">
        <v>1311</v>
      </c>
      <c r="AC168" s="165">
        <f>ROUNDDOWN($AC$2/$I168,0)*$AK168</f>
        <v>0</v>
      </c>
      <c r="AD168" s="194" t="s">
        <v>1311</v>
      </c>
      <c r="AE168" s="165">
        <f>ROUNDDOWN($AE$2/$I168,0)*$AM168</f>
        <v>0</v>
      </c>
      <c r="AF168" s="194" t="s">
        <v>1313</v>
      </c>
      <c r="AG168" s="573">
        <f>VLOOKUP(J168,Ergebnisse_Errichtung,7,0)</f>
        <v>0</v>
      </c>
      <c r="AH168" s="194" t="s">
        <v>1311</v>
      </c>
      <c r="AI168" s="165">
        <f>VLOOKUP(J168,Ergebnisse_Errichtung,9,0)</f>
        <v>0</v>
      </c>
      <c r="AJ168" s="194" t="s">
        <v>1311</v>
      </c>
      <c r="AK168" s="165">
        <f>VLOOKUP(J168,Ergebnisse_Errichtung,11,0)</f>
        <v>0</v>
      </c>
      <c r="AL168" s="194" t="s">
        <v>1311</v>
      </c>
      <c r="AM168" s="165">
        <f>VLOOKUP(J168,Ergebnisse_Errichtung,13,0)</f>
        <v>0</v>
      </c>
      <c r="AN168" s="584" t="s">
        <v>1313</v>
      </c>
    </row>
    <row r="169" spans="1:40" s="37" customFormat="1" ht="15" customHeight="1">
      <c r="A169" s="293">
        <v>14600</v>
      </c>
      <c r="B169" s="172" t="s">
        <v>743</v>
      </c>
      <c r="C169" s="172" t="s">
        <v>898</v>
      </c>
      <c r="D169" s="172" t="s">
        <v>229</v>
      </c>
      <c r="E169" s="172"/>
      <c r="F169" s="172"/>
      <c r="G169" s="172"/>
      <c r="H169" s="172"/>
      <c r="I169" s="172"/>
      <c r="J169" s="172"/>
      <c r="K169" s="293"/>
      <c r="L169" s="293"/>
      <c r="M169" s="158" t="e">
        <f t="shared" si="31"/>
        <v>#VALUE!</v>
      </c>
      <c r="N169" s="295" t="s">
        <v>103</v>
      </c>
      <c r="W169" s="171"/>
      <c r="X169" s="172"/>
      <c r="Y169" s="572"/>
      <c r="Z169" s="172"/>
      <c r="AA169" s="171"/>
      <c r="AB169" s="172"/>
      <c r="AC169" s="171"/>
      <c r="AD169" s="172"/>
      <c r="AE169" s="171"/>
      <c r="AF169" s="172"/>
      <c r="AG169" s="577"/>
      <c r="AH169" s="172"/>
      <c r="AI169" s="172"/>
      <c r="AJ169" s="172"/>
      <c r="AK169" s="172"/>
      <c r="AL169" s="172"/>
      <c r="AM169" s="172"/>
      <c r="AN169" s="583"/>
    </row>
    <row r="170" spans="1:40" s="37" customFormat="1" ht="15" customHeight="1">
      <c r="A170" s="55">
        <v>14700</v>
      </c>
      <c r="B170" s="194" t="s">
        <v>728</v>
      </c>
      <c r="C170" s="194" t="s">
        <v>899</v>
      </c>
      <c r="D170" s="194" t="s">
        <v>227</v>
      </c>
      <c r="E170" s="194"/>
      <c r="F170" s="194"/>
      <c r="G170" s="165" t="e">
        <f t="shared" ref="G170:G179" si="40">VLOOKUP(C170,Folgekosten,5,0)</f>
        <v>#VALUE!</v>
      </c>
      <c r="H170" s="194" t="s">
        <v>850</v>
      </c>
      <c r="I170" s="152">
        <f t="shared" ref="I170:I179" si="41">IF(ISNUMBER(VLOOKUP(J170,Nutzungsdauern,5,0)),VLOOKUP(J170,Nutzungsdauern,5,0),1000)</f>
        <v>10</v>
      </c>
      <c r="J170" s="194" t="s">
        <v>228</v>
      </c>
      <c r="K170" s="108"/>
      <c r="L170" s="108"/>
      <c r="M170" s="165" t="e">
        <f t="shared" si="31"/>
        <v>#VALUE!</v>
      </c>
      <c r="N170" s="74" t="s">
        <v>103</v>
      </c>
      <c r="W170" s="67"/>
      <c r="X170" s="194"/>
      <c r="Y170" s="522"/>
      <c r="Z170" s="194"/>
      <c r="AA170" s="67"/>
      <c r="AB170" s="194"/>
      <c r="AC170" s="67"/>
      <c r="AD170" s="194"/>
      <c r="AE170" s="67"/>
      <c r="AF170" s="194"/>
      <c r="AG170" s="532"/>
      <c r="AH170" s="194"/>
      <c r="AI170" s="194"/>
      <c r="AJ170" s="194"/>
      <c r="AK170" s="194"/>
      <c r="AL170" s="194"/>
      <c r="AM170" s="194"/>
      <c r="AN170" s="584"/>
    </row>
    <row r="171" spans="1:40" s="37" customFormat="1" ht="15" customHeight="1">
      <c r="A171" s="55">
        <v>14800</v>
      </c>
      <c r="B171" s="194" t="s">
        <v>728</v>
      </c>
      <c r="C171" s="194" t="s">
        <v>900</v>
      </c>
      <c r="D171" s="194" t="s">
        <v>225</v>
      </c>
      <c r="E171" s="194"/>
      <c r="F171" s="194"/>
      <c r="G171" s="165" t="e">
        <f t="shared" si="40"/>
        <v>#VALUE!</v>
      </c>
      <c r="H171" s="194" t="s">
        <v>850</v>
      </c>
      <c r="I171" s="152">
        <f t="shared" si="41"/>
        <v>20</v>
      </c>
      <c r="J171" s="194" t="s">
        <v>226</v>
      </c>
      <c r="K171" s="108"/>
      <c r="L171" s="108"/>
      <c r="M171" s="165" t="e">
        <f t="shared" si="31"/>
        <v>#VALUE!</v>
      </c>
      <c r="N171" s="74" t="s">
        <v>103</v>
      </c>
      <c r="W171" s="67"/>
      <c r="X171" s="194"/>
      <c r="Y171" s="522"/>
      <c r="Z171" s="194"/>
      <c r="AA171" s="67"/>
      <c r="AB171" s="194"/>
      <c r="AC171" s="67"/>
      <c r="AD171" s="194"/>
      <c r="AE171" s="67"/>
      <c r="AF171" s="194"/>
      <c r="AG171" s="532"/>
      <c r="AH171" s="194"/>
      <c r="AI171" s="194"/>
      <c r="AJ171" s="194"/>
      <c r="AK171" s="194"/>
      <c r="AL171" s="194"/>
      <c r="AM171" s="194"/>
      <c r="AN171" s="584"/>
    </row>
    <row r="172" spans="1:40" s="37" customFormat="1" ht="15" customHeight="1">
      <c r="A172" s="55">
        <v>14900</v>
      </c>
      <c r="B172" s="194" t="s">
        <v>728</v>
      </c>
      <c r="C172" s="194" t="s">
        <v>901</v>
      </c>
      <c r="D172" s="194" t="s">
        <v>223</v>
      </c>
      <c r="E172" s="194"/>
      <c r="F172" s="194"/>
      <c r="G172" s="165" t="e">
        <f t="shared" si="40"/>
        <v>#VALUE!</v>
      </c>
      <c r="H172" s="194" t="s">
        <v>850</v>
      </c>
      <c r="I172" s="152">
        <f t="shared" si="41"/>
        <v>14</v>
      </c>
      <c r="J172" s="194" t="s">
        <v>224</v>
      </c>
      <c r="K172" s="108"/>
      <c r="L172" s="108"/>
      <c r="M172" s="165" t="e">
        <f t="shared" si="31"/>
        <v>#VALUE!</v>
      </c>
      <c r="N172" s="74" t="s">
        <v>103</v>
      </c>
      <c r="W172" s="67"/>
      <c r="X172" s="194"/>
      <c r="Y172" s="522"/>
      <c r="Z172" s="194"/>
      <c r="AA172" s="67"/>
      <c r="AB172" s="194"/>
      <c r="AC172" s="67"/>
      <c r="AD172" s="194"/>
      <c r="AE172" s="67"/>
      <c r="AF172" s="194"/>
      <c r="AG172" s="532"/>
      <c r="AH172" s="194"/>
      <c r="AI172" s="194"/>
      <c r="AJ172" s="194"/>
      <c r="AK172" s="194"/>
      <c r="AL172" s="194"/>
      <c r="AM172" s="194"/>
      <c r="AN172" s="584"/>
    </row>
    <row r="173" spans="1:40" s="37" customFormat="1" ht="15" customHeight="1">
      <c r="A173" s="55">
        <v>15000</v>
      </c>
      <c r="B173" s="194" t="s">
        <v>728</v>
      </c>
      <c r="C173" s="194" t="s">
        <v>902</v>
      </c>
      <c r="D173" s="194" t="s">
        <v>221</v>
      </c>
      <c r="E173" s="194"/>
      <c r="F173" s="194"/>
      <c r="G173" s="165" t="e">
        <f t="shared" si="40"/>
        <v>#VALUE!</v>
      </c>
      <c r="H173" s="194" t="s">
        <v>850</v>
      </c>
      <c r="I173" s="152">
        <f t="shared" si="41"/>
        <v>15</v>
      </c>
      <c r="J173" s="194" t="s">
        <v>222</v>
      </c>
      <c r="K173" s="108"/>
      <c r="L173" s="108"/>
      <c r="M173" s="165" t="e">
        <f t="shared" si="31"/>
        <v>#VALUE!</v>
      </c>
      <c r="N173" s="74" t="s">
        <v>103</v>
      </c>
      <c r="W173" s="67"/>
      <c r="X173" s="194"/>
      <c r="Y173" s="522"/>
      <c r="Z173" s="194"/>
      <c r="AA173" s="67"/>
      <c r="AB173" s="194"/>
      <c r="AC173" s="67"/>
      <c r="AD173" s="194"/>
      <c r="AE173" s="67"/>
      <c r="AF173" s="194"/>
      <c r="AG173" s="532"/>
      <c r="AH173" s="194"/>
      <c r="AI173" s="194"/>
      <c r="AJ173" s="194"/>
      <c r="AK173" s="194"/>
      <c r="AL173" s="194"/>
      <c r="AM173" s="194"/>
      <c r="AN173" s="584"/>
    </row>
    <row r="174" spans="1:40" s="37" customFormat="1" ht="15" customHeight="1">
      <c r="A174" s="55">
        <v>15100</v>
      </c>
      <c r="B174" s="194" t="s">
        <v>728</v>
      </c>
      <c r="C174" s="194" t="s">
        <v>903</v>
      </c>
      <c r="D174" s="194" t="s">
        <v>219</v>
      </c>
      <c r="E174" s="194"/>
      <c r="F174" s="194"/>
      <c r="G174" s="165" t="e">
        <f t="shared" si="40"/>
        <v>#VALUE!</v>
      </c>
      <c r="H174" s="194" t="s">
        <v>850</v>
      </c>
      <c r="I174" s="152">
        <f t="shared" si="41"/>
        <v>16</v>
      </c>
      <c r="J174" s="194" t="s">
        <v>220</v>
      </c>
      <c r="K174" s="108"/>
      <c r="L174" s="108"/>
      <c r="M174" s="165" t="e">
        <f t="shared" si="31"/>
        <v>#VALUE!</v>
      </c>
      <c r="N174" s="74" t="s">
        <v>103</v>
      </c>
      <c r="W174" s="67"/>
      <c r="X174" s="194"/>
      <c r="Y174" s="522"/>
      <c r="Z174" s="194"/>
      <c r="AA174" s="67"/>
      <c r="AB174" s="194"/>
      <c r="AC174" s="67"/>
      <c r="AD174" s="194"/>
      <c r="AE174" s="67"/>
      <c r="AF174" s="194"/>
      <c r="AG174" s="532"/>
      <c r="AH174" s="194"/>
      <c r="AI174" s="194"/>
      <c r="AJ174" s="194"/>
      <c r="AK174" s="194"/>
      <c r="AL174" s="194"/>
      <c r="AM174" s="194"/>
      <c r="AN174" s="584"/>
    </row>
    <row r="175" spans="1:40" s="37" customFormat="1" ht="15" customHeight="1">
      <c r="A175" s="55">
        <v>15200</v>
      </c>
      <c r="B175" s="194" t="s">
        <v>728</v>
      </c>
      <c r="C175" s="194" t="s">
        <v>904</v>
      </c>
      <c r="D175" s="194" t="s">
        <v>217</v>
      </c>
      <c r="E175" s="194"/>
      <c r="F175" s="194"/>
      <c r="G175" s="165" t="e">
        <f t="shared" si="40"/>
        <v>#VALUE!</v>
      </c>
      <c r="H175" s="194" t="s">
        <v>850</v>
      </c>
      <c r="I175" s="152">
        <f t="shared" si="41"/>
        <v>10</v>
      </c>
      <c r="J175" s="194" t="s">
        <v>218</v>
      </c>
      <c r="K175" s="108"/>
      <c r="L175" s="108"/>
      <c r="M175" s="165" t="e">
        <f t="shared" si="31"/>
        <v>#VALUE!</v>
      </c>
      <c r="N175" s="74" t="s">
        <v>103</v>
      </c>
      <c r="W175" s="67"/>
      <c r="X175" s="194"/>
      <c r="Y175" s="522"/>
      <c r="Z175" s="194"/>
      <c r="AA175" s="67"/>
      <c r="AB175" s="194"/>
      <c r="AC175" s="67"/>
      <c r="AD175" s="194"/>
      <c r="AE175" s="67"/>
      <c r="AF175" s="194"/>
      <c r="AG175" s="532"/>
      <c r="AH175" s="194"/>
      <c r="AI175" s="194"/>
      <c r="AJ175" s="194"/>
      <c r="AK175" s="194"/>
      <c r="AL175" s="194"/>
      <c r="AM175" s="194"/>
      <c r="AN175" s="584"/>
    </row>
    <row r="176" spans="1:40" s="37" customFormat="1" ht="15" customHeight="1">
      <c r="A176" s="55">
        <v>15300</v>
      </c>
      <c r="B176" s="194" t="s">
        <v>728</v>
      </c>
      <c r="C176" s="194" t="s">
        <v>905</v>
      </c>
      <c r="D176" s="194" t="s">
        <v>215</v>
      </c>
      <c r="E176" s="194"/>
      <c r="F176" s="194"/>
      <c r="G176" s="165" t="e">
        <f t="shared" si="40"/>
        <v>#VALUE!</v>
      </c>
      <c r="H176" s="194" t="s">
        <v>850</v>
      </c>
      <c r="I176" s="152">
        <f t="shared" si="41"/>
        <v>10</v>
      </c>
      <c r="J176" s="194" t="s">
        <v>216</v>
      </c>
      <c r="K176" s="108"/>
      <c r="L176" s="108"/>
      <c r="M176" s="165" t="e">
        <f t="shared" si="31"/>
        <v>#VALUE!</v>
      </c>
      <c r="N176" s="74" t="s">
        <v>103</v>
      </c>
      <c r="W176" s="67"/>
      <c r="X176" s="194"/>
      <c r="Y176" s="522"/>
      <c r="Z176" s="194"/>
      <c r="AA176" s="67"/>
      <c r="AB176" s="194"/>
      <c r="AC176" s="67"/>
      <c r="AD176" s="194"/>
      <c r="AE176" s="67"/>
      <c r="AF176" s="194"/>
      <c r="AG176" s="532"/>
      <c r="AH176" s="194"/>
      <c r="AI176" s="194"/>
      <c r="AJ176" s="194"/>
      <c r="AK176" s="194"/>
      <c r="AL176" s="194"/>
      <c r="AM176" s="194"/>
      <c r="AN176" s="584"/>
    </row>
    <row r="177" spans="1:40" s="37" customFormat="1" ht="15" customHeight="1">
      <c r="A177" s="55">
        <v>15400</v>
      </c>
      <c r="B177" s="194" t="s">
        <v>728</v>
      </c>
      <c r="C177" s="194" t="s">
        <v>906</v>
      </c>
      <c r="D177" s="194" t="s">
        <v>213</v>
      </c>
      <c r="E177" s="194"/>
      <c r="F177" s="194"/>
      <c r="G177" s="165" t="e">
        <f t="shared" si="40"/>
        <v>#VALUE!</v>
      </c>
      <c r="H177" s="194" t="s">
        <v>850</v>
      </c>
      <c r="I177" s="152">
        <f t="shared" si="41"/>
        <v>17</v>
      </c>
      <c r="J177" s="194" t="s">
        <v>214</v>
      </c>
      <c r="K177" s="108"/>
      <c r="L177" s="108"/>
      <c r="M177" s="165" t="e">
        <f t="shared" si="31"/>
        <v>#VALUE!</v>
      </c>
      <c r="N177" s="74" t="s">
        <v>103</v>
      </c>
      <c r="W177" s="67"/>
      <c r="X177" s="194"/>
      <c r="Y177" s="522"/>
      <c r="Z177" s="194"/>
      <c r="AA177" s="67"/>
      <c r="AB177" s="194"/>
      <c r="AC177" s="67"/>
      <c r="AD177" s="194"/>
      <c r="AE177" s="67"/>
      <c r="AF177" s="194"/>
      <c r="AG177" s="532"/>
      <c r="AH177" s="194"/>
      <c r="AI177" s="194"/>
      <c r="AJ177" s="194"/>
      <c r="AK177" s="194"/>
      <c r="AL177" s="194"/>
      <c r="AM177" s="194"/>
      <c r="AN177" s="584"/>
    </row>
    <row r="178" spans="1:40" s="37" customFormat="1" ht="15" customHeight="1">
      <c r="A178" s="55">
        <v>15500</v>
      </c>
      <c r="B178" s="194" t="s">
        <v>728</v>
      </c>
      <c r="C178" s="194" t="s">
        <v>907</v>
      </c>
      <c r="D178" s="194" t="s">
        <v>210</v>
      </c>
      <c r="E178" s="194"/>
      <c r="F178" s="194"/>
      <c r="G178" s="165" t="e">
        <f t="shared" si="40"/>
        <v>#VALUE!</v>
      </c>
      <c r="H178" s="194" t="s">
        <v>850</v>
      </c>
      <c r="I178" s="152">
        <f t="shared" si="41"/>
        <v>18</v>
      </c>
      <c r="J178" s="194" t="s">
        <v>211</v>
      </c>
      <c r="K178" s="108"/>
      <c r="L178" s="108"/>
      <c r="M178" s="165" t="e">
        <f t="shared" si="31"/>
        <v>#VALUE!</v>
      </c>
      <c r="N178" s="74" t="s">
        <v>103</v>
      </c>
      <c r="W178" s="67"/>
      <c r="X178" s="194"/>
      <c r="Y178" s="522"/>
      <c r="Z178" s="194"/>
      <c r="AA178" s="67"/>
      <c r="AB178" s="194"/>
      <c r="AC178" s="67"/>
      <c r="AD178" s="194"/>
      <c r="AE178" s="67"/>
      <c r="AF178" s="194"/>
      <c r="AG178" s="532"/>
      <c r="AH178" s="194"/>
      <c r="AI178" s="194"/>
      <c r="AJ178" s="194"/>
      <c r="AK178" s="194"/>
      <c r="AL178" s="194"/>
      <c r="AM178" s="194"/>
      <c r="AN178" s="584"/>
    </row>
    <row r="179" spans="1:40" s="37" customFormat="1" ht="15" customHeight="1">
      <c r="A179" s="55">
        <v>15600</v>
      </c>
      <c r="B179" s="194" t="s">
        <v>728</v>
      </c>
      <c r="C179" s="194" t="s">
        <v>908</v>
      </c>
      <c r="D179" s="194" t="s">
        <v>909</v>
      </c>
      <c r="E179" s="194"/>
      <c r="F179" s="194"/>
      <c r="G179" s="165" t="e">
        <f t="shared" si="40"/>
        <v>#VALUE!</v>
      </c>
      <c r="H179" s="194" t="s">
        <v>850</v>
      </c>
      <c r="I179" s="152">
        <f t="shared" si="41"/>
        <v>20</v>
      </c>
      <c r="J179" s="194" t="s">
        <v>197</v>
      </c>
      <c r="K179" s="108"/>
      <c r="L179" s="108"/>
      <c r="M179" s="165" t="e">
        <f t="shared" si="31"/>
        <v>#VALUE!</v>
      </c>
      <c r="N179" s="74" t="s">
        <v>103</v>
      </c>
      <c r="W179" s="67"/>
      <c r="X179" s="194"/>
      <c r="Y179" s="522"/>
      <c r="Z179" s="194"/>
      <c r="AA179" s="67"/>
      <c r="AB179" s="194"/>
      <c r="AC179" s="67"/>
      <c r="AD179" s="194"/>
      <c r="AE179" s="67"/>
      <c r="AF179" s="194"/>
      <c r="AG179" s="532"/>
      <c r="AH179" s="194"/>
      <c r="AI179" s="194"/>
      <c r="AJ179" s="194"/>
      <c r="AK179" s="194"/>
      <c r="AL179" s="194"/>
      <c r="AM179" s="194"/>
      <c r="AN179" s="584"/>
    </row>
    <row r="180" spans="1:40" s="37" customFormat="1" ht="15" customHeight="1">
      <c r="A180" s="293">
        <v>15800</v>
      </c>
      <c r="B180" s="172" t="s">
        <v>743</v>
      </c>
      <c r="C180" s="172" t="s">
        <v>910</v>
      </c>
      <c r="D180" s="172" t="s">
        <v>911</v>
      </c>
      <c r="E180" s="172"/>
      <c r="F180" s="172"/>
      <c r="G180" s="172"/>
      <c r="H180" s="172"/>
      <c r="I180" s="172"/>
      <c r="J180" s="172"/>
      <c r="K180" s="293"/>
      <c r="L180" s="293"/>
      <c r="M180" s="158" t="e">
        <f t="shared" si="31"/>
        <v>#VALUE!</v>
      </c>
      <c r="N180" s="295" t="s">
        <v>103</v>
      </c>
      <c r="W180" s="171"/>
      <c r="X180" s="172"/>
      <c r="Y180" s="513">
        <f>SUM(Y182,Y189,Y202)</f>
        <v>0</v>
      </c>
      <c r="Z180" s="172" t="s">
        <v>1311</v>
      </c>
      <c r="AA180" s="158">
        <f>SUM(AA182,AA189,AA202)</f>
        <v>0</v>
      </c>
      <c r="AB180" s="172" t="s">
        <v>1311</v>
      </c>
      <c r="AC180" s="158">
        <f>SUM(AC182,AC189,AC202)</f>
        <v>0</v>
      </c>
      <c r="AD180" s="172" t="s">
        <v>1311</v>
      </c>
      <c r="AE180" s="158">
        <f>SUM(AE182,AE189,AE202)</f>
        <v>0</v>
      </c>
      <c r="AF180" s="172" t="s">
        <v>1313</v>
      </c>
      <c r="AG180" s="577"/>
      <c r="AH180" s="172"/>
      <c r="AI180" s="172"/>
      <c r="AJ180" s="172"/>
      <c r="AK180" s="172"/>
      <c r="AL180" s="172"/>
      <c r="AM180" s="172"/>
      <c r="AN180" s="583"/>
    </row>
    <row r="181" spans="1:40" s="37" customFormat="1" ht="15" customHeight="1">
      <c r="A181" s="55">
        <v>15900</v>
      </c>
      <c r="B181" s="194" t="s">
        <v>728</v>
      </c>
      <c r="C181" s="194" t="s">
        <v>912</v>
      </c>
      <c r="D181" s="194" t="s">
        <v>913</v>
      </c>
      <c r="E181" s="194"/>
      <c r="F181" s="194"/>
      <c r="G181" s="165" t="e">
        <f>VLOOKUP(C181,Folgekosten,5,0)</f>
        <v>#VALUE!</v>
      </c>
      <c r="H181" s="194" t="s">
        <v>850</v>
      </c>
      <c r="I181" s="152">
        <f>IF(ISNUMBER(VLOOKUP(J181,Nutzungsdauern,5,0)),VLOOKUP(J181,Nutzungsdauern,5,0),1000)</f>
        <v>30</v>
      </c>
      <c r="J181" s="194" t="s">
        <v>192</v>
      </c>
      <c r="K181" s="108"/>
      <c r="L181" s="108"/>
      <c r="M181" s="165" t="e">
        <f t="shared" si="31"/>
        <v>#VALUE!</v>
      </c>
      <c r="N181" s="74" t="s">
        <v>103</v>
      </c>
      <c r="W181" s="67"/>
      <c r="X181" s="194"/>
      <c r="Y181" s="522"/>
      <c r="Z181" s="194"/>
      <c r="AA181" s="67"/>
      <c r="AB181" s="194"/>
      <c r="AC181" s="67"/>
      <c r="AD181" s="194"/>
      <c r="AE181" s="67"/>
      <c r="AF181" s="194"/>
      <c r="AG181" s="532"/>
      <c r="AH181" s="194"/>
      <c r="AI181" s="194"/>
      <c r="AJ181" s="194"/>
      <c r="AK181" s="194"/>
      <c r="AL181" s="194"/>
      <c r="AM181" s="194"/>
      <c r="AN181" s="584"/>
    </row>
    <row r="182" spans="1:40" s="37" customFormat="1" ht="15" customHeight="1">
      <c r="A182" s="293">
        <v>16000</v>
      </c>
      <c r="B182" s="172" t="s">
        <v>743</v>
      </c>
      <c r="C182" s="172" t="s">
        <v>914</v>
      </c>
      <c r="D182" s="172" t="s">
        <v>190</v>
      </c>
      <c r="E182" s="172"/>
      <c r="F182" s="172"/>
      <c r="G182" s="172"/>
      <c r="H182" s="172"/>
      <c r="I182" s="172"/>
      <c r="J182" s="172"/>
      <c r="K182" s="293"/>
      <c r="L182" s="293"/>
      <c r="M182" s="158" t="e">
        <f t="shared" si="31"/>
        <v>#VALUE!</v>
      </c>
      <c r="N182" s="295" t="s">
        <v>103</v>
      </c>
      <c r="W182" s="171"/>
      <c r="X182" s="172"/>
      <c r="Y182" s="513">
        <f>SUM(Y183,Y186)</f>
        <v>0</v>
      </c>
      <c r="Z182" s="172" t="s">
        <v>1311</v>
      </c>
      <c r="AA182" s="158">
        <f>SUM(AA183,AA186)</f>
        <v>0</v>
      </c>
      <c r="AB182" s="172" t="s">
        <v>1311</v>
      </c>
      <c r="AC182" s="158">
        <f>SUM(AC183,AC186)</f>
        <v>0</v>
      </c>
      <c r="AD182" s="172" t="s">
        <v>1311</v>
      </c>
      <c r="AE182" s="158">
        <f>SUM(AE183,AE186)</f>
        <v>0</v>
      </c>
      <c r="AF182" s="172" t="s">
        <v>1313</v>
      </c>
      <c r="AG182" s="513">
        <f>SUM(AG183,AG186)</f>
        <v>0</v>
      </c>
      <c r="AH182" s="172"/>
      <c r="AI182" s="158">
        <f>SUM(AI183,AI186)</f>
        <v>0</v>
      </c>
      <c r="AJ182" s="172"/>
      <c r="AK182" s="158">
        <f>SUM(AK183,AK186)</f>
        <v>0</v>
      </c>
      <c r="AL182" s="172"/>
      <c r="AM182" s="158">
        <f>SUM(AM183,AM186)</f>
        <v>0</v>
      </c>
      <c r="AN182" s="583"/>
    </row>
    <row r="183" spans="1:40" s="37" customFormat="1" ht="15" customHeight="1">
      <c r="A183" s="293">
        <v>16100</v>
      </c>
      <c r="B183" s="172" t="s">
        <v>743</v>
      </c>
      <c r="C183" s="172" t="s">
        <v>915</v>
      </c>
      <c r="D183" s="172" t="s">
        <v>188</v>
      </c>
      <c r="E183" s="172"/>
      <c r="F183" s="172"/>
      <c r="G183" s="172"/>
      <c r="H183" s="172"/>
      <c r="I183" s="172"/>
      <c r="J183" s="172"/>
      <c r="K183" s="293"/>
      <c r="L183" s="293"/>
      <c r="M183" s="158" t="e">
        <f t="shared" si="31"/>
        <v>#VALUE!</v>
      </c>
      <c r="N183" s="295" t="s">
        <v>103</v>
      </c>
      <c r="W183" s="171"/>
      <c r="X183" s="172"/>
      <c r="Y183" s="513">
        <f>SUM(Y184:Y185)</f>
        <v>0</v>
      </c>
      <c r="Z183" s="172" t="s">
        <v>1311</v>
      </c>
      <c r="AA183" s="158">
        <f>SUM(AA184:AA185)</f>
        <v>0</v>
      </c>
      <c r="AB183" s="172" t="s">
        <v>1311</v>
      </c>
      <c r="AC183" s="158">
        <f>SUM(AC184:AC185)</f>
        <v>0</v>
      </c>
      <c r="AD183" s="172" t="s">
        <v>1311</v>
      </c>
      <c r="AE183" s="158">
        <f>SUM(AE184:AE185)</f>
        <v>0</v>
      </c>
      <c r="AF183" s="172" t="s">
        <v>1313</v>
      </c>
      <c r="AG183" s="513">
        <f>SUM(AG184:AG185)</f>
        <v>0</v>
      </c>
      <c r="AH183" s="172"/>
      <c r="AI183" s="158">
        <f>SUM(AI184:AI185)</f>
        <v>0</v>
      </c>
      <c r="AJ183" s="172"/>
      <c r="AK183" s="158">
        <f>SUM(AK184:AK185)</f>
        <v>0</v>
      </c>
      <c r="AL183" s="172"/>
      <c r="AM183" s="158">
        <f>SUM(AM184:AM185)</f>
        <v>0</v>
      </c>
      <c r="AN183" s="583"/>
    </row>
    <row r="184" spans="1:40" s="37" customFormat="1" ht="15" customHeight="1">
      <c r="A184" s="55">
        <v>16200</v>
      </c>
      <c r="B184" s="194" t="s">
        <v>728</v>
      </c>
      <c r="C184" s="194" t="s">
        <v>916</v>
      </c>
      <c r="D184" s="80" t="s">
        <v>2301</v>
      </c>
      <c r="E184" s="194"/>
      <c r="F184" s="194"/>
      <c r="G184" s="165" t="e">
        <f t="shared" ref="G184:G189" si="42">VLOOKUP(C184,Folgekosten,5,0)</f>
        <v>#VALUE!</v>
      </c>
      <c r="H184" s="194" t="s">
        <v>850</v>
      </c>
      <c r="I184" s="152">
        <f t="shared" ref="I184:I201" si="43">IF(ISNUMBER(VLOOKUP(J184,Nutzungsdauern,5,0)),VLOOKUP(J184,Nutzungsdauern,5,0),1000)</f>
        <v>1000</v>
      </c>
      <c r="J184" s="194" t="s">
        <v>187</v>
      </c>
      <c r="K184" s="108"/>
      <c r="L184" s="108"/>
      <c r="M184" s="165" t="e">
        <f t="shared" si="31"/>
        <v>#VALUE!</v>
      </c>
      <c r="N184" s="74" t="s">
        <v>103</v>
      </c>
      <c r="W184" s="67"/>
      <c r="X184" s="194"/>
      <c r="Y184" s="573">
        <f>ROUNDDOWN($Y$2/$I184,0)*$AG184</f>
        <v>0</v>
      </c>
      <c r="Z184" s="194" t="s">
        <v>1311</v>
      </c>
      <c r="AA184" s="165">
        <f>ROUNDDOWN($AA$2/$I184,0)*$AI184</f>
        <v>0</v>
      </c>
      <c r="AB184" s="194" t="s">
        <v>1311</v>
      </c>
      <c r="AC184" s="165">
        <f>ROUNDDOWN($AC$2/$I184,0)*$AK184</f>
        <v>0</v>
      </c>
      <c r="AD184" s="194" t="s">
        <v>1311</v>
      </c>
      <c r="AE184" s="165">
        <f>ROUNDDOWN($AE$2/$I184,0)*$AM184</f>
        <v>0</v>
      </c>
      <c r="AF184" s="194" t="s">
        <v>1313</v>
      </c>
      <c r="AG184" s="573">
        <f>VLOOKUP(J184,Ergebnisse_Errichtung,7,0)</f>
        <v>0</v>
      </c>
      <c r="AH184" s="194" t="s">
        <v>1311</v>
      </c>
      <c r="AI184" s="165">
        <f>VLOOKUP(J184,Ergebnisse_Errichtung,9,0)</f>
        <v>0</v>
      </c>
      <c r="AJ184" s="194" t="s">
        <v>1311</v>
      </c>
      <c r="AK184" s="165">
        <f>VLOOKUP(J184,Ergebnisse_Errichtung,11,0)</f>
        <v>0</v>
      </c>
      <c r="AL184" s="194" t="s">
        <v>1311</v>
      </c>
      <c r="AM184" s="165">
        <f>VLOOKUP(J184,Ergebnisse_Errichtung,13,0)</f>
        <v>0</v>
      </c>
      <c r="AN184" s="584" t="s">
        <v>1313</v>
      </c>
    </row>
    <row r="185" spans="1:40" s="37" customFormat="1" ht="15" customHeight="1">
      <c r="A185" s="55">
        <v>16300</v>
      </c>
      <c r="B185" s="194" t="s">
        <v>728</v>
      </c>
      <c r="C185" s="194" t="s">
        <v>917</v>
      </c>
      <c r="D185" s="80" t="s">
        <v>2302</v>
      </c>
      <c r="E185" s="194"/>
      <c r="F185" s="194"/>
      <c r="G185" s="165" t="e">
        <f t="shared" si="42"/>
        <v>#VALUE!</v>
      </c>
      <c r="H185" s="194" t="s">
        <v>850</v>
      </c>
      <c r="I185" s="152">
        <f t="shared" si="43"/>
        <v>1000</v>
      </c>
      <c r="J185" s="194" t="s">
        <v>186</v>
      </c>
      <c r="K185" s="108"/>
      <c r="L185" s="108"/>
      <c r="M185" s="165" t="e">
        <f t="shared" si="31"/>
        <v>#VALUE!</v>
      </c>
      <c r="N185" s="74" t="s">
        <v>103</v>
      </c>
      <c r="W185" s="67"/>
      <c r="X185" s="194"/>
      <c r="Y185" s="573">
        <f>ROUNDDOWN($Y$2/$I185,0)*$AG185</f>
        <v>0</v>
      </c>
      <c r="Z185" s="194" t="s">
        <v>1311</v>
      </c>
      <c r="AA185" s="165">
        <f>ROUNDDOWN($AA$2/$I185,0)*$AI185</f>
        <v>0</v>
      </c>
      <c r="AB185" s="194" t="s">
        <v>1311</v>
      </c>
      <c r="AC185" s="165">
        <f>ROUNDDOWN($AC$2/$I185,0)*$AK185</f>
        <v>0</v>
      </c>
      <c r="AD185" s="194" t="s">
        <v>1311</v>
      </c>
      <c r="AE185" s="165">
        <f>ROUNDDOWN($AE$2/$I185,0)*$AM185</f>
        <v>0</v>
      </c>
      <c r="AF185" s="194" t="s">
        <v>1313</v>
      </c>
      <c r="AG185" s="573">
        <f>VLOOKUP(J185,Ergebnisse_Errichtung,7,0)</f>
        <v>0</v>
      </c>
      <c r="AH185" s="194" t="s">
        <v>1311</v>
      </c>
      <c r="AI185" s="165">
        <f>VLOOKUP(J185,Ergebnisse_Errichtung,9,0)</f>
        <v>0</v>
      </c>
      <c r="AJ185" s="194" t="s">
        <v>1311</v>
      </c>
      <c r="AK185" s="165">
        <f>VLOOKUP(J185,Ergebnisse_Errichtung,11,0)</f>
        <v>0</v>
      </c>
      <c r="AL185" s="194" t="s">
        <v>1311</v>
      </c>
      <c r="AM185" s="165">
        <f>VLOOKUP(J185,Ergebnisse_Errichtung,13,0)</f>
        <v>0</v>
      </c>
      <c r="AN185" s="584" t="s">
        <v>1313</v>
      </c>
    </row>
    <row r="186" spans="1:40" s="37" customFormat="1" ht="15" customHeight="1">
      <c r="A186" s="55">
        <v>16700</v>
      </c>
      <c r="B186" s="194" t="s">
        <v>728</v>
      </c>
      <c r="C186" s="194" t="s">
        <v>918</v>
      </c>
      <c r="D186" s="194" t="s">
        <v>183</v>
      </c>
      <c r="E186" s="194"/>
      <c r="F186" s="194"/>
      <c r="G186" s="165" t="e">
        <f t="shared" si="42"/>
        <v>#VALUE!</v>
      </c>
      <c r="H186" s="194" t="s">
        <v>850</v>
      </c>
      <c r="I186" s="152">
        <f t="shared" si="43"/>
        <v>1000</v>
      </c>
      <c r="J186" s="194" t="s">
        <v>184</v>
      </c>
      <c r="K186" s="108"/>
      <c r="L186" s="108"/>
      <c r="M186" s="165" t="e">
        <f t="shared" si="31"/>
        <v>#VALUE!</v>
      </c>
      <c r="N186" s="74" t="s">
        <v>103</v>
      </c>
      <c r="W186" s="67"/>
      <c r="X186" s="194"/>
      <c r="Y186" s="573">
        <f>ROUNDDOWN($Y$2/$I186,0)*$AG186</f>
        <v>0</v>
      </c>
      <c r="Z186" s="194" t="s">
        <v>1311</v>
      </c>
      <c r="AA186" s="165">
        <f>ROUNDDOWN($AA$2/$I186,0)*$AI186</f>
        <v>0</v>
      </c>
      <c r="AB186" s="194" t="s">
        <v>1311</v>
      </c>
      <c r="AC186" s="165">
        <f>ROUNDDOWN($AC$2/$I186,0)*$AK186</f>
        <v>0</v>
      </c>
      <c r="AD186" s="194" t="s">
        <v>1311</v>
      </c>
      <c r="AE186" s="165">
        <f>ROUNDDOWN($AE$2/$I186,0)*$AM186</f>
        <v>0</v>
      </c>
      <c r="AF186" s="194" t="s">
        <v>1313</v>
      </c>
      <c r="AG186" s="573">
        <f>VLOOKUP(J186,Ergebnisse_Errichtung,7,0)</f>
        <v>0</v>
      </c>
      <c r="AH186" s="194" t="s">
        <v>1311</v>
      </c>
      <c r="AI186" s="165">
        <f>VLOOKUP(J186,Ergebnisse_Errichtung,9,0)</f>
        <v>0</v>
      </c>
      <c r="AJ186" s="194" t="s">
        <v>1311</v>
      </c>
      <c r="AK186" s="165">
        <f>VLOOKUP(J186,Ergebnisse_Errichtung,11,0)</f>
        <v>0</v>
      </c>
      <c r="AL186" s="194" t="s">
        <v>1311</v>
      </c>
      <c r="AM186" s="165">
        <f>VLOOKUP(J186,Ergebnisse_Errichtung,13,0)</f>
        <v>0</v>
      </c>
      <c r="AN186" s="584" t="s">
        <v>1313</v>
      </c>
    </row>
    <row r="187" spans="1:40" s="37" customFormat="1" ht="15" customHeight="1">
      <c r="A187" s="55">
        <v>16800</v>
      </c>
      <c r="B187" s="194" t="s">
        <v>728</v>
      </c>
      <c r="C187" s="194" t="s">
        <v>919</v>
      </c>
      <c r="D187" s="194" t="s">
        <v>181</v>
      </c>
      <c r="E187" s="194"/>
      <c r="F187" s="194"/>
      <c r="G187" s="165" t="e">
        <f t="shared" si="42"/>
        <v>#VALUE!</v>
      </c>
      <c r="H187" s="194" t="s">
        <v>850</v>
      </c>
      <c r="I187" s="152">
        <f t="shared" si="43"/>
        <v>15</v>
      </c>
      <c r="J187" s="194" t="s">
        <v>182</v>
      </c>
      <c r="K187" s="108"/>
      <c r="L187" s="108"/>
      <c r="M187" s="165" t="e">
        <f t="shared" si="31"/>
        <v>#VALUE!</v>
      </c>
      <c r="N187" s="74" t="s">
        <v>103</v>
      </c>
      <c r="W187" s="67"/>
      <c r="X187" s="194"/>
      <c r="Y187" s="522"/>
      <c r="Z187" s="194"/>
      <c r="AA187" s="67"/>
      <c r="AB187" s="194"/>
      <c r="AC187" s="67"/>
      <c r="AD187" s="194"/>
      <c r="AE187" s="67"/>
      <c r="AF187" s="194"/>
      <c r="AG187" s="532"/>
      <c r="AH187" s="194"/>
      <c r="AI187" s="194"/>
      <c r="AJ187" s="194"/>
      <c r="AK187" s="194"/>
      <c r="AL187" s="194"/>
      <c r="AM187" s="194"/>
      <c r="AN187" s="584"/>
    </row>
    <row r="188" spans="1:40" s="37" customFormat="1" ht="15" customHeight="1">
      <c r="A188" s="55">
        <v>16900</v>
      </c>
      <c r="B188" s="194" t="s">
        <v>728</v>
      </c>
      <c r="C188" s="194" t="s">
        <v>920</v>
      </c>
      <c r="D188" s="194" t="s">
        <v>179</v>
      </c>
      <c r="E188" s="194"/>
      <c r="F188" s="194"/>
      <c r="G188" s="165" t="e">
        <f t="shared" si="42"/>
        <v>#VALUE!</v>
      </c>
      <c r="H188" s="194" t="s">
        <v>850</v>
      </c>
      <c r="I188" s="152">
        <f t="shared" si="43"/>
        <v>30</v>
      </c>
      <c r="J188" s="194" t="s">
        <v>180</v>
      </c>
      <c r="K188" s="108"/>
      <c r="L188" s="108"/>
      <c r="M188" s="165" t="e">
        <f t="shared" si="31"/>
        <v>#VALUE!</v>
      </c>
      <c r="N188" s="74" t="s">
        <v>103</v>
      </c>
      <c r="W188" s="67"/>
      <c r="X188" s="194"/>
      <c r="Y188" s="522"/>
      <c r="Z188" s="194"/>
      <c r="AA188" s="67"/>
      <c r="AB188" s="194"/>
      <c r="AC188" s="67"/>
      <c r="AD188" s="194"/>
      <c r="AE188" s="67"/>
      <c r="AF188" s="194"/>
      <c r="AG188" s="532"/>
      <c r="AH188" s="194"/>
      <c r="AI188" s="194"/>
      <c r="AJ188" s="194"/>
      <c r="AK188" s="194"/>
      <c r="AL188" s="194"/>
      <c r="AM188" s="194"/>
      <c r="AN188" s="584"/>
    </row>
    <row r="189" spans="1:40" s="37" customFormat="1" ht="15" customHeight="1">
      <c r="A189" s="55">
        <v>17100</v>
      </c>
      <c r="B189" s="194" t="s">
        <v>728</v>
      </c>
      <c r="C189" s="194" t="s">
        <v>921</v>
      </c>
      <c r="D189" s="194" t="s">
        <v>177</v>
      </c>
      <c r="E189" s="194"/>
      <c r="F189" s="194"/>
      <c r="G189" s="165" t="e">
        <f t="shared" si="42"/>
        <v>#VALUE!</v>
      </c>
      <c r="H189" s="194" t="s">
        <v>850</v>
      </c>
      <c r="I189" s="152">
        <f t="shared" si="43"/>
        <v>1000</v>
      </c>
      <c r="J189" s="194" t="s">
        <v>178</v>
      </c>
      <c r="K189" s="108"/>
      <c r="L189" s="108"/>
      <c r="M189" s="165" t="e">
        <f t="shared" si="31"/>
        <v>#VALUE!</v>
      </c>
      <c r="N189" s="74" t="s">
        <v>103</v>
      </c>
      <c r="W189" s="67"/>
      <c r="X189" s="194"/>
      <c r="Y189" s="593">
        <f>SUM(Y190,Y193,Y198)</f>
        <v>0</v>
      </c>
      <c r="Z189" s="194" t="s">
        <v>1311</v>
      </c>
      <c r="AA189" s="387">
        <f>SUM(AA190,AA193,AA198)</f>
        <v>0</v>
      </c>
      <c r="AB189" s="194" t="s">
        <v>1311</v>
      </c>
      <c r="AC189" s="387">
        <f>SUM(AC190,AC193,AC198)</f>
        <v>0</v>
      </c>
      <c r="AD189" s="194" t="s">
        <v>1311</v>
      </c>
      <c r="AE189" s="387">
        <f>SUM(AE190,AE193,AE198)</f>
        <v>0</v>
      </c>
      <c r="AF189" s="194" t="s">
        <v>1313</v>
      </c>
      <c r="AG189" s="573">
        <f t="shared" ref="AG189:AG196" si="44">VLOOKUP(J189,Ergebnisse_Errichtung,7,0)</f>
        <v>0</v>
      </c>
      <c r="AH189" s="194" t="s">
        <v>1311</v>
      </c>
      <c r="AI189" s="165">
        <f t="shared" ref="AI189:AI196" si="45">VLOOKUP(J189,Ergebnisse_Errichtung,9,0)</f>
        <v>0</v>
      </c>
      <c r="AJ189" s="194" t="s">
        <v>1311</v>
      </c>
      <c r="AK189" s="165">
        <f t="shared" ref="AK189:AK196" si="46">VLOOKUP(J189,Ergebnisse_Errichtung,11,0)</f>
        <v>0</v>
      </c>
      <c r="AL189" s="194" t="s">
        <v>1311</v>
      </c>
      <c r="AM189" s="165">
        <f t="shared" ref="AM189:AM196" si="47">VLOOKUP(J189,Ergebnisse_Errichtung,13,0)</f>
        <v>0</v>
      </c>
      <c r="AN189" s="584" t="s">
        <v>1313</v>
      </c>
    </row>
    <row r="190" spans="1:40" s="37" customFormat="1" ht="15" hidden="1" customHeight="1" outlineLevel="1">
      <c r="A190" s="55"/>
      <c r="B190" s="194"/>
      <c r="C190" s="194"/>
      <c r="D190" s="194" t="s">
        <v>175</v>
      </c>
      <c r="E190" s="194"/>
      <c r="F190" s="194"/>
      <c r="G190" s="194"/>
      <c r="H190" s="194"/>
      <c r="I190" s="152">
        <f t="shared" si="43"/>
        <v>1000</v>
      </c>
      <c r="J190" s="359" t="s">
        <v>176</v>
      </c>
      <c r="K190" s="108"/>
      <c r="L190" s="108"/>
      <c r="M190" s="74"/>
      <c r="N190" s="74"/>
      <c r="W190" s="67"/>
      <c r="X190" s="194"/>
      <c r="Y190" s="513">
        <f>SUM(Y191:Y192)</f>
        <v>0</v>
      </c>
      <c r="Z190" s="194"/>
      <c r="AA190" s="158">
        <f>SUM(AA191:AA192)</f>
        <v>0</v>
      </c>
      <c r="AB190" s="194"/>
      <c r="AC190" s="158">
        <f>SUM(AC191:AC192)</f>
        <v>0</v>
      </c>
      <c r="AD190" s="194"/>
      <c r="AE190" s="158">
        <f>SUM(AE191:AE192)</f>
        <v>0</v>
      </c>
      <c r="AF190" s="194"/>
      <c r="AG190" s="578">
        <f t="shared" si="44"/>
        <v>0</v>
      </c>
      <c r="AH190" s="194" t="s">
        <v>1311</v>
      </c>
      <c r="AI190" s="163">
        <f t="shared" si="45"/>
        <v>0</v>
      </c>
      <c r="AJ190" s="194" t="s">
        <v>1311</v>
      </c>
      <c r="AK190" s="163">
        <f t="shared" si="46"/>
        <v>0</v>
      </c>
      <c r="AL190" s="194" t="s">
        <v>1311</v>
      </c>
      <c r="AM190" s="163">
        <f t="shared" si="47"/>
        <v>0</v>
      </c>
      <c r="AN190" s="584" t="s">
        <v>1313</v>
      </c>
    </row>
    <row r="191" spans="1:40" s="37" customFormat="1" ht="15" hidden="1" customHeight="1" outlineLevel="1">
      <c r="A191" s="55"/>
      <c r="B191" s="194"/>
      <c r="C191" s="194"/>
      <c r="D191" s="80" t="s">
        <v>1477</v>
      </c>
      <c r="E191" s="194"/>
      <c r="F191" s="194"/>
      <c r="G191" s="194"/>
      <c r="H191" s="194"/>
      <c r="I191" s="152">
        <f t="shared" si="43"/>
        <v>1000</v>
      </c>
      <c r="J191" s="359" t="s">
        <v>2022</v>
      </c>
      <c r="K191" s="108"/>
      <c r="L191" s="108"/>
      <c r="M191" s="74"/>
      <c r="N191" s="74"/>
      <c r="W191" s="67"/>
      <c r="X191" s="194"/>
      <c r="Y191" s="579">
        <f>ROUNDDOWN($Y$2/$I191,0)*$AG191</f>
        <v>0</v>
      </c>
      <c r="Z191" s="76" t="s">
        <v>1311</v>
      </c>
      <c r="AA191" s="175">
        <f>ROUNDDOWN($AA$2/$I191,0)*$AI191</f>
        <v>0</v>
      </c>
      <c r="AB191" s="76" t="s">
        <v>1311</v>
      </c>
      <c r="AC191" s="175">
        <f>ROUNDDOWN($AC$2/$I191,0)*$AK191</f>
        <v>0</v>
      </c>
      <c r="AD191" s="76" t="s">
        <v>1311</v>
      </c>
      <c r="AE191" s="175">
        <f>ROUNDDOWN($AE$2/$I191,0)*$AM191</f>
        <v>0</v>
      </c>
      <c r="AF191" s="76" t="s">
        <v>1313</v>
      </c>
      <c r="AG191" s="579">
        <f t="shared" si="44"/>
        <v>0</v>
      </c>
      <c r="AH191" s="76" t="s">
        <v>1311</v>
      </c>
      <c r="AI191" s="175">
        <f t="shared" si="45"/>
        <v>0</v>
      </c>
      <c r="AJ191" s="76" t="s">
        <v>1311</v>
      </c>
      <c r="AK191" s="175">
        <f t="shared" si="46"/>
        <v>0</v>
      </c>
      <c r="AL191" s="76" t="s">
        <v>1311</v>
      </c>
      <c r="AM191" s="175">
        <f t="shared" si="47"/>
        <v>0</v>
      </c>
      <c r="AN191" s="586" t="s">
        <v>1313</v>
      </c>
    </row>
    <row r="192" spans="1:40" s="37" customFormat="1" ht="15" hidden="1" customHeight="1" outlineLevel="1">
      <c r="A192" s="55"/>
      <c r="B192" s="194"/>
      <c r="C192" s="194"/>
      <c r="D192" s="80" t="s">
        <v>1612</v>
      </c>
      <c r="E192" s="194"/>
      <c r="F192" s="194"/>
      <c r="G192" s="194"/>
      <c r="H192" s="194"/>
      <c r="I192" s="152">
        <f t="shared" si="43"/>
        <v>1000</v>
      </c>
      <c r="J192" s="359" t="s">
        <v>2018</v>
      </c>
      <c r="K192" s="108"/>
      <c r="L192" s="108"/>
      <c r="M192" s="74"/>
      <c r="N192" s="74"/>
      <c r="W192" s="67"/>
      <c r="X192" s="194"/>
      <c r="Y192" s="579">
        <f>ROUNDDOWN($Y$2/$I192,0)*$AG192</f>
        <v>0</v>
      </c>
      <c r="Z192" s="76" t="s">
        <v>1311</v>
      </c>
      <c r="AA192" s="175">
        <f>ROUNDDOWN($AA$2/$I192,0)*$AI192</f>
        <v>0</v>
      </c>
      <c r="AB192" s="76" t="s">
        <v>1311</v>
      </c>
      <c r="AC192" s="175">
        <f>ROUNDDOWN($AC$2/$I192,0)*$AK192</f>
        <v>0</v>
      </c>
      <c r="AD192" s="76" t="s">
        <v>1311</v>
      </c>
      <c r="AE192" s="175">
        <f>ROUNDDOWN($AE$2/$I192,0)*$AM192</f>
        <v>0</v>
      </c>
      <c r="AF192" s="76" t="s">
        <v>1313</v>
      </c>
      <c r="AG192" s="579">
        <f t="shared" si="44"/>
        <v>0</v>
      </c>
      <c r="AH192" s="76" t="s">
        <v>1311</v>
      </c>
      <c r="AI192" s="175">
        <f t="shared" si="45"/>
        <v>0</v>
      </c>
      <c r="AJ192" s="76" t="s">
        <v>1311</v>
      </c>
      <c r="AK192" s="175">
        <f t="shared" si="46"/>
        <v>0</v>
      </c>
      <c r="AL192" s="76" t="s">
        <v>1311</v>
      </c>
      <c r="AM192" s="175">
        <f t="shared" si="47"/>
        <v>0</v>
      </c>
      <c r="AN192" s="586" t="s">
        <v>1313</v>
      </c>
    </row>
    <row r="193" spans="1:40" s="37" customFormat="1" ht="15" hidden="1" customHeight="1" outlineLevel="1">
      <c r="A193" s="55"/>
      <c r="B193" s="194"/>
      <c r="C193" s="194"/>
      <c r="D193" s="194" t="s">
        <v>172</v>
      </c>
      <c r="E193" s="194"/>
      <c r="F193" s="194"/>
      <c r="G193" s="194"/>
      <c r="H193" s="194"/>
      <c r="I193" s="152">
        <f t="shared" si="43"/>
        <v>1000</v>
      </c>
      <c r="J193" s="359" t="s">
        <v>173</v>
      </c>
      <c r="K193" s="108"/>
      <c r="L193" s="108"/>
      <c r="M193" s="74"/>
      <c r="N193" s="74"/>
      <c r="W193" s="67"/>
      <c r="X193" s="194"/>
      <c r="Y193" s="513">
        <f>SUM(Y194:Y196)</f>
        <v>0</v>
      </c>
      <c r="Z193" s="194"/>
      <c r="AA193" s="158">
        <f>SUM(AA194:AA196)</f>
        <v>0</v>
      </c>
      <c r="AB193" s="194"/>
      <c r="AC193" s="158">
        <f>SUM(AC194:AC196)</f>
        <v>0</v>
      </c>
      <c r="AD193" s="194"/>
      <c r="AE193" s="158">
        <f>SUM(AE194:AE196)</f>
        <v>0</v>
      </c>
      <c r="AF193" s="194"/>
      <c r="AG193" s="578">
        <f t="shared" si="44"/>
        <v>0</v>
      </c>
      <c r="AH193" s="194" t="s">
        <v>1311</v>
      </c>
      <c r="AI193" s="163">
        <f t="shared" si="45"/>
        <v>0</v>
      </c>
      <c r="AJ193" s="194" t="s">
        <v>1311</v>
      </c>
      <c r="AK193" s="163">
        <f t="shared" si="46"/>
        <v>0</v>
      </c>
      <c r="AL193" s="194" t="s">
        <v>1311</v>
      </c>
      <c r="AM193" s="163">
        <f t="shared" si="47"/>
        <v>0</v>
      </c>
      <c r="AN193" s="584" t="s">
        <v>1313</v>
      </c>
    </row>
    <row r="194" spans="1:40" s="37" customFormat="1" ht="15" hidden="1" customHeight="1" outlineLevel="1">
      <c r="A194" s="55"/>
      <c r="B194" s="194"/>
      <c r="C194" s="194"/>
      <c r="D194" s="80" t="s">
        <v>1613</v>
      </c>
      <c r="E194" s="194"/>
      <c r="F194" s="194"/>
      <c r="G194" s="194"/>
      <c r="H194" s="194"/>
      <c r="I194" s="152">
        <f t="shared" si="43"/>
        <v>1000</v>
      </c>
      <c r="J194" s="359" t="s">
        <v>1965</v>
      </c>
      <c r="K194" s="108"/>
      <c r="L194" s="108"/>
      <c r="M194" s="74"/>
      <c r="N194" s="74"/>
      <c r="W194" s="67"/>
      <c r="X194" s="194"/>
      <c r="Y194" s="579">
        <f>ROUNDDOWN($Y$2/$I194,0)*$AG194</f>
        <v>0</v>
      </c>
      <c r="Z194" s="76" t="s">
        <v>1311</v>
      </c>
      <c r="AA194" s="175">
        <f>ROUNDDOWN($AA$2/$I194,0)*$AI194</f>
        <v>0</v>
      </c>
      <c r="AB194" s="76" t="s">
        <v>1311</v>
      </c>
      <c r="AC194" s="175">
        <f>ROUNDDOWN($AC$2/$I194,0)*$AK194</f>
        <v>0</v>
      </c>
      <c r="AD194" s="76" t="s">
        <v>1311</v>
      </c>
      <c r="AE194" s="175">
        <f>ROUNDDOWN($AE$2/$I194,0)*$AM194</f>
        <v>0</v>
      </c>
      <c r="AF194" s="76" t="s">
        <v>1313</v>
      </c>
      <c r="AG194" s="579">
        <f t="shared" si="44"/>
        <v>0</v>
      </c>
      <c r="AH194" s="76" t="s">
        <v>1311</v>
      </c>
      <c r="AI194" s="175">
        <f t="shared" si="45"/>
        <v>0</v>
      </c>
      <c r="AJ194" s="76" t="s">
        <v>1311</v>
      </c>
      <c r="AK194" s="175">
        <f t="shared" si="46"/>
        <v>0</v>
      </c>
      <c r="AL194" s="76" t="s">
        <v>1311</v>
      </c>
      <c r="AM194" s="175">
        <f t="shared" si="47"/>
        <v>0</v>
      </c>
      <c r="AN194" s="586" t="s">
        <v>1313</v>
      </c>
    </row>
    <row r="195" spans="1:40" s="37" customFormat="1" ht="15" hidden="1" customHeight="1" outlineLevel="1">
      <c r="A195" s="55"/>
      <c r="B195" s="194"/>
      <c r="C195" s="194"/>
      <c r="D195" s="80" t="s">
        <v>1614</v>
      </c>
      <c r="E195" s="194"/>
      <c r="F195" s="194"/>
      <c r="G195" s="194"/>
      <c r="H195" s="194"/>
      <c r="I195" s="152">
        <f t="shared" si="43"/>
        <v>1000</v>
      </c>
      <c r="J195" s="359" t="s">
        <v>1966</v>
      </c>
      <c r="K195" s="108"/>
      <c r="L195" s="108"/>
      <c r="M195" s="74"/>
      <c r="N195" s="74"/>
      <c r="W195" s="67"/>
      <c r="X195" s="194"/>
      <c r="Y195" s="579">
        <f>ROUNDDOWN($Y$2/$I195,0)*$AG195</f>
        <v>0</v>
      </c>
      <c r="Z195" s="76" t="s">
        <v>1311</v>
      </c>
      <c r="AA195" s="175">
        <f>ROUNDDOWN($AA$2/$I195,0)*$AI195</f>
        <v>0</v>
      </c>
      <c r="AB195" s="76" t="s">
        <v>1311</v>
      </c>
      <c r="AC195" s="175">
        <f>ROUNDDOWN($AC$2/$I195,0)*$AK195</f>
        <v>0</v>
      </c>
      <c r="AD195" s="76" t="s">
        <v>1311</v>
      </c>
      <c r="AE195" s="175">
        <f>ROUNDDOWN($AE$2/$I195,0)*$AM195</f>
        <v>0</v>
      </c>
      <c r="AF195" s="76" t="s">
        <v>1313</v>
      </c>
      <c r="AG195" s="579">
        <f t="shared" si="44"/>
        <v>0</v>
      </c>
      <c r="AH195" s="76" t="s">
        <v>1311</v>
      </c>
      <c r="AI195" s="175">
        <f t="shared" si="45"/>
        <v>0</v>
      </c>
      <c r="AJ195" s="76" t="s">
        <v>1311</v>
      </c>
      <c r="AK195" s="175">
        <f t="shared" si="46"/>
        <v>0</v>
      </c>
      <c r="AL195" s="76" t="s">
        <v>1311</v>
      </c>
      <c r="AM195" s="175">
        <f t="shared" si="47"/>
        <v>0</v>
      </c>
      <c r="AN195" s="586" t="s">
        <v>1313</v>
      </c>
    </row>
    <row r="196" spans="1:40" s="37" customFormat="1" ht="15" hidden="1" customHeight="1" outlineLevel="1">
      <c r="A196" s="55"/>
      <c r="B196" s="194"/>
      <c r="C196" s="194"/>
      <c r="D196" s="80" t="s">
        <v>2146</v>
      </c>
      <c r="E196" s="194"/>
      <c r="F196" s="194"/>
      <c r="G196" s="194"/>
      <c r="H196" s="194"/>
      <c r="I196" s="152">
        <f t="shared" si="43"/>
        <v>1000</v>
      </c>
      <c r="J196" s="359" t="s">
        <v>2143</v>
      </c>
      <c r="K196" s="108"/>
      <c r="L196" s="108"/>
      <c r="M196" s="74"/>
      <c r="N196" s="74"/>
      <c r="W196" s="67"/>
      <c r="X196" s="194"/>
      <c r="Y196" s="579">
        <f>ROUNDDOWN($Y$2/$I196,0)*$AG196</f>
        <v>0</v>
      </c>
      <c r="Z196" s="76" t="s">
        <v>1311</v>
      </c>
      <c r="AA196" s="175">
        <f>ROUNDDOWN($AA$2/$I196,0)*$AI196</f>
        <v>0</v>
      </c>
      <c r="AB196" s="76" t="s">
        <v>1311</v>
      </c>
      <c r="AC196" s="175">
        <f>ROUNDDOWN($AC$2/$I196,0)*$AK196</f>
        <v>0</v>
      </c>
      <c r="AD196" s="76" t="s">
        <v>1311</v>
      </c>
      <c r="AE196" s="175">
        <f>ROUNDDOWN($AE$2/$I196,0)*$AM196</f>
        <v>0</v>
      </c>
      <c r="AF196" s="76" t="s">
        <v>1313</v>
      </c>
      <c r="AG196" s="579">
        <f t="shared" si="44"/>
        <v>0</v>
      </c>
      <c r="AH196" s="76" t="s">
        <v>1311</v>
      </c>
      <c r="AI196" s="175">
        <f t="shared" si="45"/>
        <v>0</v>
      </c>
      <c r="AJ196" s="76" t="s">
        <v>1311</v>
      </c>
      <c r="AK196" s="175">
        <f t="shared" si="46"/>
        <v>0</v>
      </c>
      <c r="AL196" s="76" t="s">
        <v>1311</v>
      </c>
      <c r="AM196" s="175">
        <f t="shared" si="47"/>
        <v>0</v>
      </c>
      <c r="AN196" s="586" t="s">
        <v>1313</v>
      </c>
    </row>
    <row r="197" spans="1:40" s="37" customFormat="1" ht="15" hidden="1" customHeight="1" outlineLevel="1">
      <c r="A197" s="55"/>
      <c r="B197" s="194"/>
      <c r="C197" s="194"/>
      <c r="D197" s="194" t="s">
        <v>170</v>
      </c>
      <c r="E197" s="194"/>
      <c r="F197" s="194"/>
      <c r="G197" s="194"/>
      <c r="H197" s="194"/>
      <c r="I197" s="152">
        <f t="shared" si="43"/>
        <v>1000</v>
      </c>
      <c r="J197" s="359" t="s">
        <v>171</v>
      </c>
      <c r="K197" s="108"/>
      <c r="L197" s="108"/>
      <c r="M197" s="74"/>
      <c r="N197" s="74"/>
      <c r="W197" s="67"/>
      <c r="X197" s="194"/>
      <c r="Y197" s="522"/>
      <c r="Z197" s="194"/>
      <c r="AA197" s="67"/>
      <c r="AB197" s="194"/>
      <c r="AC197" s="67"/>
      <c r="AD197" s="194"/>
      <c r="AE197" s="67"/>
      <c r="AF197" s="194"/>
      <c r="AG197" s="532"/>
      <c r="AH197" s="194"/>
      <c r="AI197" s="194"/>
      <c r="AJ197" s="194"/>
      <c r="AK197" s="194"/>
      <c r="AL197" s="194"/>
      <c r="AM197" s="194"/>
      <c r="AN197" s="584"/>
    </row>
    <row r="198" spans="1:40" s="37" customFormat="1" ht="15" hidden="1" customHeight="1" outlineLevel="1">
      <c r="A198" s="55"/>
      <c r="B198" s="194"/>
      <c r="C198" s="194"/>
      <c r="D198" s="194" t="s">
        <v>1176</v>
      </c>
      <c r="E198" s="194"/>
      <c r="F198" s="194"/>
      <c r="G198" s="194"/>
      <c r="H198" s="194"/>
      <c r="I198" s="152">
        <f t="shared" si="43"/>
        <v>1000</v>
      </c>
      <c r="J198" s="359" t="s">
        <v>1486</v>
      </c>
      <c r="K198" s="108"/>
      <c r="L198" s="108"/>
      <c r="M198" s="74"/>
      <c r="N198" s="74"/>
      <c r="W198" s="67"/>
      <c r="X198" s="194"/>
      <c r="Y198" s="578">
        <f>SUM(Y199:Y200)</f>
        <v>0</v>
      </c>
      <c r="Z198" s="194" t="s">
        <v>1311</v>
      </c>
      <c r="AA198" s="163">
        <f>SUM(AA199:AA200)</f>
        <v>0</v>
      </c>
      <c r="AB198" s="194" t="s">
        <v>1311</v>
      </c>
      <c r="AC198" s="163">
        <f>SUM(AC199:AC200)</f>
        <v>0</v>
      </c>
      <c r="AD198" s="194" t="s">
        <v>1311</v>
      </c>
      <c r="AE198" s="163">
        <f>SUM(AE199:AE200)</f>
        <v>0</v>
      </c>
      <c r="AF198" s="194" t="s">
        <v>1313</v>
      </c>
      <c r="AG198" s="578">
        <f>VLOOKUP(J198,Ergebnisse_Errichtung,7,0)</f>
        <v>0</v>
      </c>
      <c r="AH198" s="194" t="s">
        <v>1311</v>
      </c>
      <c r="AI198" s="163">
        <f>VLOOKUP(J198,Ergebnisse_Errichtung,9,0)</f>
        <v>0</v>
      </c>
      <c r="AJ198" s="194" t="s">
        <v>1311</v>
      </c>
      <c r="AK198" s="163">
        <f>VLOOKUP(J198,Ergebnisse_Errichtung,11,0)</f>
        <v>0</v>
      </c>
      <c r="AL198" s="194" t="s">
        <v>1311</v>
      </c>
      <c r="AM198" s="163">
        <f>VLOOKUP(J198,Ergebnisse_Errichtung,13,0)</f>
        <v>0</v>
      </c>
      <c r="AN198" s="584" t="s">
        <v>1313</v>
      </c>
    </row>
    <row r="199" spans="1:40" s="37" customFormat="1" ht="15" hidden="1" customHeight="1" outlineLevel="1">
      <c r="A199" s="55"/>
      <c r="B199" s="194"/>
      <c r="C199" s="194"/>
      <c r="D199" s="80" t="s">
        <v>1482</v>
      </c>
      <c r="E199" s="194"/>
      <c r="F199" s="194"/>
      <c r="G199" s="194"/>
      <c r="H199" s="194"/>
      <c r="I199" s="152">
        <f t="shared" si="43"/>
        <v>1000</v>
      </c>
      <c r="J199" s="359" t="s">
        <v>1876</v>
      </c>
      <c r="K199" s="108"/>
      <c r="L199" s="108"/>
      <c r="M199" s="74"/>
      <c r="N199" s="74"/>
      <c r="W199" s="67"/>
      <c r="X199" s="194"/>
      <c r="Y199" s="579">
        <f>ROUNDDOWN($Y$2/$I199,0)*$AG199</f>
        <v>0</v>
      </c>
      <c r="Z199" s="76" t="s">
        <v>1311</v>
      </c>
      <c r="AA199" s="175">
        <f>ROUNDDOWN($AA$2/$I199,0)*$AI199</f>
        <v>0</v>
      </c>
      <c r="AB199" s="76" t="s">
        <v>1311</v>
      </c>
      <c r="AC199" s="175">
        <f>ROUNDDOWN($AC$2/$I199,0)*$AK199</f>
        <v>0</v>
      </c>
      <c r="AD199" s="76" t="s">
        <v>1311</v>
      </c>
      <c r="AE199" s="175">
        <f>ROUNDDOWN($AE$2/$I199,0)*$AM199</f>
        <v>0</v>
      </c>
      <c r="AF199" s="76" t="s">
        <v>1313</v>
      </c>
      <c r="AG199" s="579">
        <f>VLOOKUP(J199,Ergebnisse_Errichtung,7,0)</f>
        <v>0</v>
      </c>
      <c r="AH199" s="76" t="s">
        <v>1311</v>
      </c>
      <c r="AI199" s="175">
        <f>VLOOKUP(J199,Ergebnisse_Errichtung,9,0)</f>
        <v>0</v>
      </c>
      <c r="AJ199" s="76" t="s">
        <v>1311</v>
      </c>
      <c r="AK199" s="175">
        <f>VLOOKUP(J199,Ergebnisse_Errichtung,11,0)</f>
        <v>0</v>
      </c>
      <c r="AL199" s="76" t="s">
        <v>1311</v>
      </c>
      <c r="AM199" s="175">
        <f>VLOOKUP(J199,Ergebnisse_Errichtung,13,0)</f>
        <v>0</v>
      </c>
      <c r="AN199" s="586" t="s">
        <v>1313</v>
      </c>
    </row>
    <row r="200" spans="1:40" s="37" customFormat="1" ht="15" hidden="1" customHeight="1" outlineLevel="1">
      <c r="A200" s="55"/>
      <c r="B200" s="194"/>
      <c r="C200" s="194"/>
      <c r="D200" s="80" t="s">
        <v>1483</v>
      </c>
      <c r="E200" s="194"/>
      <c r="F200" s="194"/>
      <c r="G200" s="194"/>
      <c r="H200" s="194"/>
      <c r="I200" s="152">
        <f t="shared" si="43"/>
        <v>1000</v>
      </c>
      <c r="J200" s="359" t="s">
        <v>1877</v>
      </c>
      <c r="K200" s="108"/>
      <c r="L200" s="108"/>
      <c r="M200" s="74"/>
      <c r="N200" s="74"/>
      <c r="W200" s="67"/>
      <c r="X200" s="194"/>
      <c r="Y200" s="579">
        <f>ROUNDDOWN($Y$2/$I200,0)*$AG200</f>
        <v>0</v>
      </c>
      <c r="Z200" s="76" t="s">
        <v>1311</v>
      </c>
      <c r="AA200" s="175">
        <f>ROUNDDOWN($AA$2/$I200,0)*$AI200</f>
        <v>0</v>
      </c>
      <c r="AB200" s="76" t="s">
        <v>1311</v>
      </c>
      <c r="AC200" s="175">
        <f>ROUNDDOWN($AC$2/$I200,0)*$AK200</f>
        <v>0</v>
      </c>
      <c r="AD200" s="76" t="s">
        <v>1311</v>
      </c>
      <c r="AE200" s="175">
        <f>ROUNDDOWN($AE$2/$I200,0)*$AM200</f>
        <v>0</v>
      </c>
      <c r="AF200" s="76" t="s">
        <v>1313</v>
      </c>
      <c r="AG200" s="579">
        <f>VLOOKUP(J200,Ergebnisse_Errichtung,7,0)</f>
        <v>0</v>
      </c>
      <c r="AH200" s="76" t="s">
        <v>1311</v>
      </c>
      <c r="AI200" s="175">
        <f>VLOOKUP(J200,Ergebnisse_Errichtung,9,0)</f>
        <v>0</v>
      </c>
      <c r="AJ200" s="76" t="s">
        <v>1311</v>
      </c>
      <c r="AK200" s="175">
        <f>VLOOKUP(J200,Ergebnisse_Errichtung,11,0)</f>
        <v>0</v>
      </c>
      <c r="AL200" s="76" t="s">
        <v>1311</v>
      </c>
      <c r="AM200" s="175">
        <f>VLOOKUP(J200,Ergebnisse_Errichtung,13,0)</f>
        <v>0</v>
      </c>
      <c r="AN200" s="586" t="s">
        <v>1313</v>
      </c>
    </row>
    <row r="201" spans="1:40" s="37" customFormat="1" ht="15" hidden="1" customHeight="1" outlineLevel="1">
      <c r="A201" s="55"/>
      <c r="B201" s="194"/>
      <c r="C201" s="194"/>
      <c r="D201" s="194" t="s">
        <v>168</v>
      </c>
      <c r="E201" s="194"/>
      <c r="F201" s="194"/>
      <c r="G201" s="194"/>
      <c r="H201" s="194"/>
      <c r="I201" s="152">
        <f t="shared" si="43"/>
        <v>1000</v>
      </c>
      <c r="J201" s="359" t="s">
        <v>169</v>
      </c>
      <c r="K201" s="108"/>
      <c r="L201" s="108"/>
      <c r="M201" s="74"/>
      <c r="N201" s="74"/>
      <c r="W201" s="67"/>
      <c r="X201" s="194"/>
      <c r="Y201" s="522"/>
      <c r="Z201" s="194"/>
      <c r="AA201" s="67"/>
      <c r="AB201" s="194"/>
      <c r="AC201" s="67"/>
      <c r="AD201" s="194"/>
      <c r="AE201" s="67"/>
      <c r="AF201" s="194"/>
      <c r="AG201" s="532"/>
      <c r="AH201" s="194"/>
      <c r="AI201" s="194"/>
      <c r="AJ201" s="194"/>
      <c r="AK201" s="194"/>
      <c r="AL201" s="194"/>
      <c r="AM201" s="194"/>
      <c r="AN201" s="584"/>
    </row>
    <row r="202" spans="1:40" s="37" customFormat="1" ht="15" customHeight="1" collapsed="1">
      <c r="A202" s="293">
        <v>17200</v>
      </c>
      <c r="B202" s="172" t="s">
        <v>743</v>
      </c>
      <c r="C202" s="172" t="s">
        <v>922</v>
      </c>
      <c r="D202" s="172" t="s">
        <v>166</v>
      </c>
      <c r="E202" s="172"/>
      <c r="F202" s="172"/>
      <c r="G202" s="172"/>
      <c r="H202" s="172"/>
      <c r="I202" s="172"/>
      <c r="J202" s="172"/>
      <c r="K202" s="293"/>
      <c r="L202" s="293"/>
      <c r="M202" s="158" t="e">
        <f t="shared" ref="M202:M246" si="48">VLOOKUP(C202,Folgekosten,13,0)</f>
        <v>#VALUE!</v>
      </c>
      <c r="N202" s="295" t="s">
        <v>103</v>
      </c>
      <c r="W202" s="171"/>
      <c r="X202" s="172"/>
      <c r="Y202" s="513">
        <f>SUM(Y218,Y221,Y212,Y207,Y203)</f>
        <v>0</v>
      </c>
      <c r="Z202" s="172"/>
      <c r="AA202" s="158">
        <f>SUM(AA218,AA221,AA212,AA207,AA203)</f>
        <v>0</v>
      </c>
      <c r="AB202" s="172"/>
      <c r="AC202" s="158">
        <f>SUM(AC218,AC221,AC212,AC207,AC203)</f>
        <v>0</v>
      </c>
      <c r="AD202" s="172"/>
      <c r="AE202" s="158">
        <f>SUM(AE218,AE221,AE212,AE207,AE203)</f>
        <v>0</v>
      </c>
      <c r="AF202" s="172"/>
      <c r="AG202" s="513">
        <f>SUM(AG218:AG221,AG212,AG207,AG203)</f>
        <v>0</v>
      </c>
      <c r="AH202" s="172"/>
      <c r="AI202" s="158">
        <f>SUM(AI218:AI221,AI212,AI207,AI203)</f>
        <v>0</v>
      </c>
      <c r="AJ202" s="172"/>
      <c r="AK202" s="158">
        <f>SUM(AK218:AK221,AK212,AK207,AK203)</f>
        <v>0</v>
      </c>
      <c r="AL202" s="172"/>
      <c r="AM202" s="158">
        <f>SUM(AM218:AM221,AM212,AM207,AM203)</f>
        <v>0</v>
      </c>
      <c r="AN202" s="583"/>
    </row>
    <row r="203" spans="1:40" s="37" customFormat="1" ht="15" customHeight="1">
      <c r="A203" s="55">
        <v>17300</v>
      </c>
      <c r="B203" s="194" t="s">
        <v>728</v>
      </c>
      <c r="C203" s="194" t="s">
        <v>923</v>
      </c>
      <c r="D203" s="194" t="s">
        <v>164</v>
      </c>
      <c r="E203" s="194"/>
      <c r="F203" s="194"/>
      <c r="G203" s="165" t="e">
        <f>VLOOKUP(C203,Folgekosten,5,0)</f>
        <v>#VALUE!</v>
      </c>
      <c r="H203" s="194" t="s">
        <v>850</v>
      </c>
      <c r="I203" s="152">
        <f>IF(ISNUMBER(VLOOKUP(J203,Nutzungsdauern,5,0)),VLOOKUP(J203,Nutzungsdauern,5,0),1000)</f>
        <v>20</v>
      </c>
      <c r="J203" s="194" t="s">
        <v>165</v>
      </c>
      <c r="K203" s="108"/>
      <c r="L203" s="108"/>
      <c r="M203" s="165" t="e">
        <f t="shared" si="48"/>
        <v>#VALUE!</v>
      </c>
      <c r="N203" s="74" t="s">
        <v>103</v>
      </c>
      <c r="W203" s="67"/>
      <c r="X203" s="194"/>
      <c r="Y203" s="573">
        <f>SUM(Y204:Y206)</f>
        <v>0</v>
      </c>
      <c r="Z203" s="194" t="s">
        <v>1311</v>
      </c>
      <c r="AA203" s="165">
        <f>SUM(AA204:AA206)</f>
        <v>0</v>
      </c>
      <c r="AB203" s="194" t="s">
        <v>1311</v>
      </c>
      <c r="AC203" s="165">
        <f>SUM(AC204:AC206)</f>
        <v>0</v>
      </c>
      <c r="AD203" s="194" t="s">
        <v>1311</v>
      </c>
      <c r="AE203" s="165">
        <f>SUM(AE204:AE206)</f>
        <v>0</v>
      </c>
      <c r="AF203" s="194" t="s">
        <v>1313</v>
      </c>
      <c r="AG203" s="573">
        <f>VLOOKUP(J203,Ergebnisse_Errichtung,7,0)</f>
        <v>0</v>
      </c>
      <c r="AH203" s="194" t="s">
        <v>1311</v>
      </c>
      <c r="AI203" s="165">
        <f>VLOOKUP(J203,Ergebnisse_Errichtung,9,0)</f>
        <v>0</v>
      </c>
      <c r="AJ203" s="194" t="s">
        <v>1311</v>
      </c>
      <c r="AK203" s="165">
        <f>VLOOKUP(J203,Ergebnisse_Errichtung,11,0)</f>
        <v>0</v>
      </c>
      <c r="AL203" s="194" t="s">
        <v>1311</v>
      </c>
      <c r="AM203" s="165">
        <f>VLOOKUP(J203,Ergebnisse_Errichtung,13,0)</f>
        <v>0</v>
      </c>
      <c r="AN203" s="584" t="s">
        <v>1313</v>
      </c>
    </row>
    <row r="204" spans="1:40" s="37" customFormat="1" ht="15" hidden="1" customHeight="1" outlineLevel="1">
      <c r="A204" s="55"/>
      <c r="B204" s="194"/>
      <c r="C204" s="194"/>
      <c r="D204" s="80" t="s">
        <v>1809</v>
      </c>
      <c r="E204" s="194"/>
      <c r="F204" s="194"/>
      <c r="G204" s="108"/>
      <c r="H204" s="194"/>
      <c r="I204" s="152">
        <f>IF(ISNUMBER(VLOOKUP(J204,Nutzungsdauern,5,0)),VLOOKUP(J204,Nutzungsdauern,5,0),1000)</f>
        <v>1000</v>
      </c>
      <c r="J204" s="359" t="s">
        <v>1802</v>
      </c>
      <c r="K204" s="108"/>
      <c r="L204" s="108"/>
      <c r="M204" s="108"/>
      <c r="N204" s="74"/>
      <c r="W204" s="67"/>
      <c r="X204" s="194"/>
      <c r="Y204" s="579">
        <f>ROUNDDOWN($Y$2/$I204,0)*$AG204</f>
        <v>0</v>
      </c>
      <c r="Z204" s="76" t="s">
        <v>1311</v>
      </c>
      <c r="AA204" s="175">
        <f>ROUNDDOWN($AA$2/$I204,0)*$AI204</f>
        <v>0</v>
      </c>
      <c r="AB204" s="76" t="s">
        <v>1311</v>
      </c>
      <c r="AC204" s="175">
        <f>ROUNDDOWN($AC$2/$I204,0)*$AK204</f>
        <v>0</v>
      </c>
      <c r="AD204" s="76" t="s">
        <v>1311</v>
      </c>
      <c r="AE204" s="175">
        <f>ROUNDDOWN($AE$2/$I204,0)*$AM204</f>
        <v>0</v>
      </c>
      <c r="AF204" s="76" t="s">
        <v>1313</v>
      </c>
      <c r="AG204" s="579">
        <f>VLOOKUP(J204,Ergebnisse_Errichtung,7,0)</f>
        <v>0</v>
      </c>
      <c r="AH204" s="76" t="s">
        <v>1311</v>
      </c>
      <c r="AI204" s="175">
        <f>VLOOKUP(J204,Ergebnisse_Errichtung,9,0)</f>
        <v>0</v>
      </c>
      <c r="AJ204" s="76" t="s">
        <v>1311</v>
      </c>
      <c r="AK204" s="175">
        <f>VLOOKUP(J204,Ergebnisse_Errichtung,11,0)</f>
        <v>0</v>
      </c>
      <c r="AL204" s="76" t="s">
        <v>1311</v>
      </c>
      <c r="AM204" s="175">
        <f>VLOOKUP(J204,Ergebnisse_Errichtung,13,0)</f>
        <v>0</v>
      </c>
      <c r="AN204" s="586" t="s">
        <v>1313</v>
      </c>
    </row>
    <row r="205" spans="1:40" s="37" customFormat="1" ht="15" hidden="1" customHeight="1" outlineLevel="1">
      <c r="A205" s="55"/>
      <c r="B205" s="194"/>
      <c r="C205" s="194"/>
      <c r="D205" s="80" t="s">
        <v>1810</v>
      </c>
      <c r="E205" s="194"/>
      <c r="F205" s="194"/>
      <c r="G205" s="108"/>
      <c r="H205" s="194"/>
      <c r="I205" s="152">
        <f>IF(ISNUMBER(VLOOKUP(J205,Nutzungsdauern,5,0)),VLOOKUP(J205,Nutzungsdauern,5,0),1000)</f>
        <v>1000</v>
      </c>
      <c r="J205" s="359" t="s">
        <v>1803</v>
      </c>
      <c r="K205" s="108"/>
      <c r="L205" s="108"/>
      <c r="M205" s="108"/>
      <c r="N205" s="74"/>
      <c r="W205" s="67"/>
      <c r="X205" s="194"/>
      <c r="Y205" s="579">
        <f>ROUNDDOWN($Y$2/$I205,0)*$AG205</f>
        <v>0</v>
      </c>
      <c r="Z205" s="76" t="s">
        <v>1311</v>
      </c>
      <c r="AA205" s="175">
        <f>ROUNDDOWN($AA$2/$I205,0)*$AI205</f>
        <v>0</v>
      </c>
      <c r="AB205" s="76" t="s">
        <v>1311</v>
      </c>
      <c r="AC205" s="175">
        <f>ROUNDDOWN($AC$2/$I205,0)*$AK205</f>
        <v>0</v>
      </c>
      <c r="AD205" s="76" t="s">
        <v>1311</v>
      </c>
      <c r="AE205" s="175">
        <f>ROUNDDOWN($AE$2/$I205,0)*$AM205</f>
        <v>0</v>
      </c>
      <c r="AF205" s="76" t="s">
        <v>1313</v>
      </c>
      <c r="AG205" s="579">
        <f>VLOOKUP(J205,Ergebnisse_Errichtung,7,0)</f>
        <v>0</v>
      </c>
      <c r="AH205" s="76" t="s">
        <v>1311</v>
      </c>
      <c r="AI205" s="175">
        <f>VLOOKUP(J205,Ergebnisse_Errichtung,9,0)</f>
        <v>0</v>
      </c>
      <c r="AJ205" s="76" t="s">
        <v>1311</v>
      </c>
      <c r="AK205" s="175">
        <f>VLOOKUP(J205,Ergebnisse_Errichtung,11,0)</f>
        <v>0</v>
      </c>
      <c r="AL205" s="76" t="s">
        <v>1311</v>
      </c>
      <c r="AM205" s="175">
        <f>VLOOKUP(J205,Ergebnisse_Errichtung,13,0)</f>
        <v>0</v>
      </c>
      <c r="AN205" s="586" t="s">
        <v>1313</v>
      </c>
    </row>
    <row r="206" spans="1:40" s="37" customFormat="1" ht="15" hidden="1" customHeight="1" outlineLevel="1">
      <c r="A206" s="55"/>
      <c r="B206" s="194"/>
      <c r="C206" s="194"/>
      <c r="D206" s="80" t="s">
        <v>1811</v>
      </c>
      <c r="E206" s="194"/>
      <c r="F206" s="194"/>
      <c r="G206" s="108"/>
      <c r="H206" s="194"/>
      <c r="I206" s="152">
        <f>IF(ISNUMBER(VLOOKUP(J206,Nutzungsdauern,5,0)),VLOOKUP(J206,Nutzungsdauern,5,0),1000)</f>
        <v>1000</v>
      </c>
      <c r="J206" s="359" t="s">
        <v>1804</v>
      </c>
      <c r="K206" s="108"/>
      <c r="L206" s="108"/>
      <c r="M206" s="108"/>
      <c r="N206" s="74"/>
      <c r="W206" s="67"/>
      <c r="X206" s="194"/>
      <c r="Y206" s="579">
        <f>ROUNDDOWN($Y$2/$I206,0)*$AG206</f>
        <v>0</v>
      </c>
      <c r="Z206" s="76" t="s">
        <v>1311</v>
      </c>
      <c r="AA206" s="175">
        <f>ROUNDDOWN($AA$2/$I206,0)*$AI206</f>
        <v>0</v>
      </c>
      <c r="AB206" s="76" t="s">
        <v>1311</v>
      </c>
      <c r="AC206" s="175">
        <f>ROUNDDOWN($AC$2/$I206,0)*$AK206</f>
        <v>0</v>
      </c>
      <c r="AD206" s="76" t="s">
        <v>1311</v>
      </c>
      <c r="AE206" s="175">
        <f>ROUNDDOWN($AE$2/$I206,0)*$AM206</f>
        <v>0</v>
      </c>
      <c r="AF206" s="76" t="s">
        <v>1313</v>
      </c>
      <c r="AG206" s="579">
        <f>VLOOKUP(J206,Ergebnisse_Errichtung,7,0)</f>
        <v>0</v>
      </c>
      <c r="AH206" s="76" t="s">
        <v>1311</v>
      </c>
      <c r="AI206" s="175">
        <f>VLOOKUP(J206,Ergebnisse_Errichtung,9,0)</f>
        <v>0</v>
      </c>
      <c r="AJ206" s="76" t="s">
        <v>1311</v>
      </c>
      <c r="AK206" s="175">
        <f>VLOOKUP(J206,Ergebnisse_Errichtung,11,0)</f>
        <v>0</v>
      </c>
      <c r="AL206" s="76" t="s">
        <v>1311</v>
      </c>
      <c r="AM206" s="175">
        <f>VLOOKUP(J206,Ergebnisse_Errichtung,13,0)</f>
        <v>0</v>
      </c>
      <c r="AN206" s="586" t="s">
        <v>1313</v>
      </c>
    </row>
    <row r="207" spans="1:40" s="37" customFormat="1" ht="15" customHeight="1" collapsed="1">
      <c r="A207" s="293">
        <v>17400</v>
      </c>
      <c r="B207" s="172" t="s">
        <v>743</v>
      </c>
      <c r="C207" s="172" t="s">
        <v>924</v>
      </c>
      <c r="D207" s="172" t="s">
        <v>162</v>
      </c>
      <c r="E207" s="172"/>
      <c r="F207" s="172"/>
      <c r="G207" s="172"/>
      <c r="H207" s="172"/>
      <c r="I207" s="172"/>
      <c r="J207" s="172"/>
      <c r="K207" s="293"/>
      <c r="L207" s="293"/>
      <c r="M207" s="158" t="e">
        <f t="shared" si="48"/>
        <v>#VALUE!</v>
      </c>
      <c r="N207" s="295" t="s">
        <v>103</v>
      </c>
      <c r="W207" s="171"/>
      <c r="X207" s="172"/>
      <c r="Y207" s="513">
        <f>Y209</f>
        <v>0</v>
      </c>
      <c r="Z207" s="172"/>
      <c r="AA207" s="158">
        <f>AA209</f>
        <v>0</v>
      </c>
      <c r="AB207" s="172"/>
      <c r="AC207" s="158">
        <f>AC209</f>
        <v>0</v>
      </c>
      <c r="AD207" s="172"/>
      <c r="AE207" s="158">
        <f>AE209</f>
        <v>0</v>
      </c>
      <c r="AF207" s="172"/>
      <c r="AG207" s="513">
        <f>AG209</f>
        <v>0</v>
      </c>
      <c r="AH207" s="172"/>
      <c r="AI207" s="158">
        <f>AI209</f>
        <v>0</v>
      </c>
      <c r="AJ207" s="172"/>
      <c r="AK207" s="158">
        <f>AK209</f>
        <v>0</v>
      </c>
      <c r="AL207" s="172"/>
      <c r="AM207" s="158">
        <f>AM209</f>
        <v>0</v>
      </c>
      <c r="AN207" s="583"/>
    </row>
    <row r="208" spans="1:40" s="37" customFormat="1" ht="15" customHeight="1">
      <c r="A208" s="55">
        <v>17500</v>
      </c>
      <c r="B208" s="194" t="s">
        <v>728</v>
      </c>
      <c r="C208" s="194" t="s">
        <v>925</v>
      </c>
      <c r="D208" s="194" t="s">
        <v>661</v>
      </c>
      <c r="E208" s="194"/>
      <c r="F208" s="194"/>
      <c r="G208" s="165">
        <f>VLOOKUP(C208,Folgekosten,5,0)</f>
        <v>0</v>
      </c>
      <c r="H208" s="194" t="s">
        <v>850</v>
      </c>
      <c r="I208" s="152">
        <f>IF(ISNUMBER(VLOOKUP(J208,Nutzungsdauern,5,0)),VLOOKUP(J208,Nutzungsdauern,5,0),1000)</f>
        <v>10</v>
      </c>
      <c r="J208" s="194" t="s">
        <v>925</v>
      </c>
      <c r="K208" s="108"/>
      <c r="L208" s="108"/>
      <c r="M208" s="165">
        <f t="shared" si="48"/>
        <v>0</v>
      </c>
      <c r="N208" s="74" t="s">
        <v>103</v>
      </c>
      <c r="W208" s="67"/>
      <c r="X208" s="194"/>
      <c r="Y208" s="522"/>
      <c r="Z208" s="194"/>
      <c r="AA208" s="194"/>
      <c r="AB208" s="194"/>
      <c r="AC208" s="194"/>
      <c r="AD208" s="194"/>
      <c r="AE208" s="194"/>
      <c r="AF208" s="194"/>
      <c r="AG208" s="532"/>
      <c r="AH208" s="194"/>
      <c r="AI208" s="194"/>
      <c r="AJ208" s="194"/>
      <c r="AK208" s="194"/>
      <c r="AL208" s="194"/>
      <c r="AM208" s="194"/>
      <c r="AN208" s="584"/>
    </row>
    <row r="209" spans="1:40" s="37" customFormat="1" ht="15" customHeight="1">
      <c r="A209" s="55">
        <v>17600</v>
      </c>
      <c r="B209" s="194" t="s">
        <v>728</v>
      </c>
      <c r="C209" s="194" t="s">
        <v>927</v>
      </c>
      <c r="D209" s="194" t="s">
        <v>928</v>
      </c>
      <c r="E209" s="194"/>
      <c r="F209" s="194"/>
      <c r="G209" s="165" t="e">
        <f>VLOOKUP(C209,Folgekosten,5,0)</f>
        <v>#VALUE!</v>
      </c>
      <c r="H209" s="194" t="s">
        <v>850</v>
      </c>
      <c r="I209" s="152">
        <f>IF(ISNUMBER(VLOOKUP(J209,Nutzungsdauern,5,0)),VLOOKUP(J209,Nutzungsdauern,5,0),1000)</f>
        <v>22</v>
      </c>
      <c r="J209" s="194" t="s">
        <v>163</v>
      </c>
      <c r="K209" s="108"/>
      <c r="L209" s="108"/>
      <c r="M209" s="165" t="e">
        <f t="shared" si="48"/>
        <v>#VALUE!</v>
      </c>
      <c r="N209" s="74" t="s">
        <v>103</v>
      </c>
      <c r="W209" s="67"/>
      <c r="X209" s="194"/>
      <c r="Y209" s="573">
        <f>SUM(Y210:Y211)</f>
        <v>0</v>
      </c>
      <c r="Z209" s="194" t="s">
        <v>1311</v>
      </c>
      <c r="AA209" s="165">
        <f>SUM(AA210:AA211)</f>
        <v>0</v>
      </c>
      <c r="AB209" s="194" t="s">
        <v>1311</v>
      </c>
      <c r="AC209" s="165">
        <f>SUM(AC210:AC211)</f>
        <v>0</v>
      </c>
      <c r="AD209" s="194" t="s">
        <v>1311</v>
      </c>
      <c r="AE209" s="165">
        <f>SUM(AE210:AE211)</f>
        <v>0</v>
      </c>
      <c r="AF209" s="194" t="s">
        <v>1313</v>
      </c>
      <c r="AG209" s="573">
        <f>VLOOKUP(J209,Ergebnisse_Errichtung,7,0)</f>
        <v>0</v>
      </c>
      <c r="AH209" s="194" t="s">
        <v>1311</v>
      </c>
      <c r="AI209" s="165">
        <f>VLOOKUP(J209,Ergebnisse_Errichtung,9,0)</f>
        <v>0</v>
      </c>
      <c r="AJ209" s="194" t="s">
        <v>1311</v>
      </c>
      <c r="AK209" s="165">
        <f>VLOOKUP(J209,Ergebnisse_Errichtung,11,0)</f>
        <v>0</v>
      </c>
      <c r="AL209" s="194" t="s">
        <v>1311</v>
      </c>
      <c r="AM209" s="165">
        <f>VLOOKUP(J209,Ergebnisse_Errichtung,13,0)</f>
        <v>0</v>
      </c>
      <c r="AN209" s="584" t="s">
        <v>1313</v>
      </c>
    </row>
    <row r="210" spans="1:40" s="37" customFormat="1" ht="15" hidden="1" customHeight="1" outlineLevel="1">
      <c r="A210" s="55"/>
      <c r="B210" s="194"/>
      <c r="C210" s="194"/>
      <c r="D210" s="80" t="s">
        <v>1805</v>
      </c>
      <c r="E210" s="194"/>
      <c r="F210" s="194"/>
      <c r="G210" s="194"/>
      <c r="H210" s="194"/>
      <c r="I210" s="152">
        <f>IF(ISNUMBER(VLOOKUP(J210,Nutzungsdauern,5,0)),VLOOKUP(J210,Nutzungsdauern,5,0),1000)</f>
        <v>1000</v>
      </c>
      <c r="J210" s="359" t="s">
        <v>1807</v>
      </c>
      <c r="K210" s="108"/>
      <c r="L210" s="194"/>
      <c r="M210" s="194"/>
      <c r="N210" s="194"/>
      <c r="W210" s="67"/>
      <c r="X210" s="194"/>
      <c r="Y210" s="579">
        <f>ROUNDDOWN($Y$2/$I210,0)*$AG210</f>
        <v>0</v>
      </c>
      <c r="Z210" s="76" t="s">
        <v>1311</v>
      </c>
      <c r="AA210" s="175">
        <f>ROUNDDOWN($AA$2/$I210,0)*$AI210</f>
        <v>0</v>
      </c>
      <c r="AB210" s="76" t="s">
        <v>1311</v>
      </c>
      <c r="AC210" s="175">
        <f>ROUNDDOWN($AC$2/$I210,0)*$AK210</f>
        <v>0</v>
      </c>
      <c r="AD210" s="76" t="s">
        <v>1311</v>
      </c>
      <c r="AE210" s="175">
        <f>ROUNDDOWN($AE$2/$I210,0)*$AM210</f>
        <v>0</v>
      </c>
      <c r="AF210" s="76" t="s">
        <v>1313</v>
      </c>
      <c r="AG210" s="579">
        <f>VLOOKUP(J210,Ergebnisse_Errichtung,7,0)</f>
        <v>0</v>
      </c>
      <c r="AH210" s="76" t="s">
        <v>1311</v>
      </c>
      <c r="AI210" s="175">
        <f>VLOOKUP(J210,Ergebnisse_Errichtung,9,0)</f>
        <v>0</v>
      </c>
      <c r="AJ210" s="76" t="s">
        <v>1311</v>
      </c>
      <c r="AK210" s="175">
        <f>VLOOKUP(J210,Ergebnisse_Errichtung,11,0)</f>
        <v>0</v>
      </c>
      <c r="AL210" s="76" t="s">
        <v>1311</v>
      </c>
      <c r="AM210" s="175">
        <f>VLOOKUP(J210,Ergebnisse_Errichtung,13,0)</f>
        <v>0</v>
      </c>
      <c r="AN210" s="586" t="s">
        <v>1313</v>
      </c>
    </row>
    <row r="211" spans="1:40" s="37" customFormat="1" ht="15" hidden="1" customHeight="1" outlineLevel="1">
      <c r="A211" s="55"/>
      <c r="B211" s="194"/>
      <c r="C211" s="194"/>
      <c r="D211" s="80" t="s">
        <v>1806</v>
      </c>
      <c r="E211" s="194"/>
      <c r="F211" s="194"/>
      <c r="G211" s="194"/>
      <c r="H211" s="194"/>
      <c r="I211" s="152">
        <f>IF(ISNUMBER(VLOOKUP(J211,Nutzungsdauern,5,0)),VLOOKUP(J211,Nutzungsdauern,5,0),1000)</f>
        <v>1000</v>
      </c>
      <c r="J211" s="359" t="s">
        <v>1808</v>
      </c>
      <c r="K211" s="108"/>
      <c r="L211" s="194"/>
      <c r="M211" s="194"/>
      <c r="N211" s="194"/>
      <c r="W211" s="67"/>
      <c r="X211" s="194"/>
      <c r="Y211" s="579">
        <f>ROUNDDOWN($Y$2/$I211,0)*$AG211</f>
        <v>0</v>
      </c>
      <c r="Z211" s="76" t="s">
        <v>1311</v>
      </c>
      <c r="AA211" s="175">
        <f>ROUNDDOWN($AA$2/$I211,0)*$AI211</f>
        <v>0</v>
      </c>
      <c r="AB211" s="76" t="s">
        <v>1311</v>
      </c>
      <c r="AC211" s="175">
        <f>ROUNDDOWN($AC$2/$I211,0)*$AK211</f>
        <v>0</v>
      </c>
      <c r="AD211" s="76" t="s">
        <v>1311</v>
      </c>
      <c r="AE211" s="175">
        <f>ROUNDDOWN($AE$2/$I211,0)*$AM211</f>
        <v>0</v>
      </c>
      <c r="AF211" s="76" t="s">
        <v>1313</v>
      </c>
      <c r="AG211" s="579">
        <f>VLOOKUP(J211,Ergebnisse_Errichtung,7,0)</f>
        <v>0</v>
      </c>
      <c r="AH211" s="76" t="s">
        <v>1311</v>
      </c>
      <c r="AI211" s="175">
        <f>VLOOKUP(J211,Ergebnisse_Errichtung,9,0)</f>
        <v>0</v>
      </c>
      <c r="AJ211" s="76" t="s">
        <v>1311</v>
      </c>
      <c r="AK211" s="175">
        <f>VLOOKUP(J211,Ergebnisse_Errichtung,11,0)</f>
        <v>0</v>
      </c>
      <c r="AL211" s="76" t="s">
        <v>1311</v>
      </c>
      <c r="AM211" s="175">
        <f>VLOOKUP(J211,Ergebnisse_Errichtung,13,0)</f>
        <v>0</v>
      </c>
      <c r="AN211" s="586" t="s">
        <v>1313</v>
      </c>
    </row>
    <row r="212" spans="1:40" s="37" customFormat="1" ht="15" customHeight="1" collapsed="1">
      <c r="A212" s="293">
        <v>17700</v>
      </c>
      <c r="B212" s="172" t="s">
        <v>743</v>
      </c>
      <c r="C212" s="172" t="s">
        <v>929</v>
      </c>
      <c r="D212" s="172" t="s">
        <v>159</v>
      </c>
      <c r="E212" s="172"/>
      <c r="F212" s="172"/>
      <c r="G212" s="172"/>
      <c r="H212" s="172"/>
      <c r="I212" s="172"/>
      <c r="J212" s="172"/>
      <c r="K212" s="293"/>
      <c r="L212" s="293"/>
      <c r="M212" s="158" t="e">
        <f t="shared" si="48"/>
        <v>#VALUE!</v>
      </c>
      <c r="N212" s="295" t="s">
        <v>103</v>
      </c>
      <c r="W212" s="171"/>
      <c r="X212" s="172"/>
      <c r="Y212" s="513">
        <f>Y214</f>
        <v>0</v>
      </c>
      <c r="Z212" s="172"/>
      <c r="AA212" s="158">
        <f>AA214</f>
        <v>0</v>
      </c>
      <c r="AB212" s="172"/>
      <c r="AC212" s="158">
        <f>AC214</f>
        <v>0</v>
      </c>
      <c r="AD212" s="172"/>
      <c r="AE212" s="158">
        <f>AE214</f>
        <v>0</v>
      </c>
      <c r="AF212" s="172"/>
      <c r="AG212" s="513">
        <f>AG214</f>
        <v>0</v>
      </c>
      <c r="AH212" s="172"/>
      <c r="AI212" s="158">
        <f>AI214</f>
        <v>0</v>
      </c>
      <c r="AJ212" s="172"/>
      <c r="AK212" s="158">
        <f>AK214</f>
        <v>0</v>
      </c>
      <c r="AL212" s="172"/>
      <c r="AM212" s="158">
        <f>AM214</f>
        <v>0</v>
      </c>
      <c r="AN212" s="583"/>
    </row>
    <row r="213" spans="1:40" s="37" customFormat="1" ht="15" customHeight="1">
      <c r="A213" s="55">
        <v>17800</v>
      </c>
      <c r="B213" s="194" t="s">
        <v>728</v>
      </c>
      <c r="C213" s="194" t="s">
        <v>930</v>
      </c>
      <c r="D213" s="194" t="s">
        <v>661</v>
      </c>
      <c r="E213" s="194"/>
      <c r="F213" s="194"/>
      <c r="G213" s="165">
        <f t="shared" ref="G213:G222" si="49">VLOOKUP(C213,Folgekosten,5,0)</f>
        <v>0</v>
      </c>
      <c r="H213" s="194" t="s">
        <v>850</v>
      </c>
      <c r="I213" s="152">
        <f t="shared" ref="I213:I222" si="50">IF(ISNUMBER(VLOOKUP(J213,Nutzungsdauern,5,0)),VLOOKUP(J213,Nutzungsdauern,5,0),1000)</f>
        <v>10</v>
      </c>
      <c r="J213" s="194" t="s">
        <v>930</v>
      </c>
      <c r="K213" s="108"/>
      <c r="L213" s="108"/>
      <c r="M213" s="165">
        <f t="shared" si="48"/>
        <v>0</v>
      </c>
      <c r="N213" s="74" t="s">
        <v>103</v>
      </c>
      <c r="W213" s="67"/>
      <c r="X213" s="194"/>
      <c r="Y213" s="522"/>
      <c r="Z213" s="194"/>
      <c r="AA213" s="194"/>
      <c r="AB213" s="194"/>
      <c r="AC213" s="194"/>
      <c r="AD213" s="194"/>
      <c r="AE213" s="194"/>
      <c r="AF213" s="194"/>
      <c r="AG213" s="532"/>
      <c r="AH213" s="194"/>
      <c r="AI213" s="194"/>
      <c r="AJ213" s="194"/>
      <c r="AK213" s="194"/>
      <c r="AL213" s="194"/>
      <c r="AM213" s="194"/>
      <c r="AN213" s="584"/>
    </row>
    <row r="214" spans="1:40" s="37" customFormat="1" ht="15" customHeight="1">
      <c r="A214" s="55">
        <v>17900</v>
      </c>
      <c r="B214" s="194" t="s">
        <v>728</v>
      </c>
      <c r="C214" s="194" t="s">
        <v>932</v>
      </c>
      <c r="D214" s="194" t="s">
        <v>933</v>
      </c>
      <c r="E214" s="194"/>
      <c r="F214" s="194"/>
      <c r="G214" s="165" t="e">
        <f t="shared" si="49"/>
        <v>#VALUE!</v>
      </c>
      <c r="H214" s="194" t="s">
        <v>850</v>
      </c>
      <c r="I214" s="152">
        <f t="shared" si="50"/>
        <v>22</v>
      </c>
      <c r="J214" s="194" t="s">
        <v>160</v>
      </c>
      <c r="K214" s="108"/>
      <c r="L214" s="108"/>
      <c r="M214" s="165" t="e">
        <f t="shared" si="48"/>
        <v>#VALUE!</v>
      </c>
      <c r="N214" s="74" t="s">
        <v>103</v>
      </c>
      <c r="W214" s="67"/>
      <c r="X214" s="194"/>
      <c r="Y214" s="573">
        <f>SUM(Y215:Y217)</f>
        <v>0</v>
      </c>
      <c r="Z214" s="194" t="s">
        <v>1311</v>
      </c>
      <c r="AA214" s="165">
        <f>SUM(AA215:AA217)</f>
        <v>0</v>
      </c>
      <c r="AB214" s="194" t="s">
        <v>1311</v>
      </c>
      <c r="AC214" s="165">
        <f>SUM(AC215:AC217)</f>
        <v>0</v>
      </c>
      <c r="AD214" s="194" t="s">
        <v>1311</v>
      </c>
      <c r="AE214" s="165">
        <f>SUM(AE215:AE217)</f>
        <v>0</v>
      </c>
      <c r="AF214" s="194" t="s">
        <v>1313</v>
      </c>
      <c r="AG214" s="573">
        <f>VLOOKUP("E4.D.03",Ergebnisse_Errichtung,7,0)</f>
        <v>0</v>
      </c>
      <c r="AH214" s="194" t="s">
        <v>1311</v>
      </c>
      <c r="AI214" s="165">
        <f t="shared" ref="AI214:AI221" si="51">VLOOKUP(J214,Ergebnisse_Errichtung,9,0)</f>
        <v>0</v>
      </c>
      <c r="AJ214" s="194" t="s">
        <v>1311</v>
      </c>
      <c r="AK214" s="165">
        <f t="shared" ref="AK214:AK221" si="52">VLOOKUP(J214,Ergebnisse_Errichtung,11,0)</f>
        <v>0</v>
      </c>
      <c r="AL214" s="194" t="s">
        <v>1311</v>
      </c>
      <c r="AM214" s="165">
        <f t="shared" ref="AM214:AM221" si="53">VLOOKUP(J214,Ergebnisse_Errichtung,13,0)</f>
        <v>0</v>
      </c>
      <c r="AN214" s="584" t="s">
        <v>1313</v>
      </c>
    </row>
    <row r="215" spans="1:40" s="37" customFormat="1" ht="15" hidden="1" customHeight="1" outlineLevel="1">
      <c r="A215" s="55"/>
      <c r="B215" s="194"/>
      <c r="C215" s="194"/>
      <c r="D215" s="80" t="s">
        <v>1615</v>
      </c>
      <c r="E215" s="194"/>
      <c r="F215" s="194"/>
      <c r="G215" s="69"/>
      <c r="H215" s="194"/>
      <c r="I215" s="152">
        <f t="shared" si="50"/>
        <v>1000</v>
      </c>
      <c r="J215" s="359" t="s">
        <v>1878</v>
      </c>
      <c r="K215" s="108"/>
      <c r="L215" s="108"/>
      <c r="M215" s="69"/>
      <c r="N215" s="74"/>
      <c r="W215" s="67"/>
      <c r="X215" s="194"/>
      <c r="Y215" s="580">
        <f>ROUNDDOWN($Y$2/$I215,0)*$AG215</f>
        <v>0</v>
      </c>
      <c r="Z215" s="76" t="s">
        <v>1311</v>
      </c>
      <c r="AA215" s="426">
        <f>ROUNDDOWN($AA$2/$I215,0)*$AI215</f>
        <v>0</v>
      </c>
      <c r="AB215" s="76" t="s">
        <v>1311</v>
      </c>
      <c r="AC215" s="426">
        <f>ROUNDDOWN($AC$2/$I215,0)*$AK215</f>
        <v>0</v>
      </c>
      <c r="AD215" s="76" t="s">
        <v>1311</v>
      </c>
      <c r="AE215" s="426">
        <f>ROUNDDOWN($AE$2/$I215,0)*$AM215</f>
        <v>0</v>
      </c>
      <c r="AF215" s="76" t="s">
        <v>1313</v>
      </c>
      <c r="AG215" s="573">
        <f>VLOOKUP(J215,Ergebnisse_Errichtung,7,0)</f>
        <v>0</v>
      </c>
      <c r="AH215" s="76" t="s">
        <v>1311</v>
      </c>
      <c r="AI215" s="165">
        <f t="shared" si="51"/>
        <v>0</v>
      </c>
      <c r="AJ215" s="76" t="s">
        <v>1311</v>
      </c>
      <c r="AK215" s="165">
        <f t="shared" si="52"/>
        <v>0</v>
      </c>
      <c r="AL215" s="76" t="s">
        <v>1311</v>
      </c>
      <c r="AM215" s="165">
        <f t="shared" si="53"/>
        <v>0</v>
      </c>
      <c r="AN215" s="586" t="s">
        <v>1313</v>
      </c>
    </row>
    <row r="216" spans="1:40" s="37" customFormat="1" ht="15" hidden="1" customHeight="1" outlineLevel="1">
      <c r="A216" s="55"/>
      <c r="B216" s="194"/>
      <c r="C216" s="194"/>
      <c r="D216" s="80" t="s">
        <v>1616</v>
      </c>
      <c r="E216" s="194"/>
      <c r="F216" s="194"/>
      <c r="G216" s="69"/>
      <c r="H216" s="194"/>
      <c r="I216" s="152">
        <f t="shared" si="50"/>
        <v>1000</v>
      </c>
      <c r="J216" s="359" t="s">
        <v>1879</v>
      </c>
      <c r="K216" s="108"/>
      <c r="L216" s="108"/>
      <c r="M216" s="69"/>
      <c r="N216" s="74"/>
      <c r="W216" s="67"/>
      <c r="X216" s="194"/>
      <c r="Y216" s="580">
        <f>ROUNDDOWN($Y$2/$I216,0)*$AG216</f>
        <v>0</v>
      </c>
      <c r="Z216" s="76" t="s">
        <v>1311</v>
      </c>
      <c r="AA216" s="426">
        <f>ROUNDDOWN($AA$2/$I216,0)*$AI216</f>
        <v>0</v>
      </c>
      <c r="AB216" s="76" t="s">
        <v>1311</v>
      </c>
      <c r="AC216" s="426">
        <f>ROUNDDOWN($AC$2/$I216,0)*$AK216</f>
        <v>0</v>
      </c>
      <c r="AD216" s="76" t="s">
        <v>1311</v>
      </c>
      <c r="AE216" s="426">
        <f>ROUNDDOWN($AE$2/$I216,0)*$AM216</f>
        <v>0</v>
      </c>
      <c r="AF216" s="76" t="s">
        <v>1313</v>
      </c>
      <c r="AG216" s="573">
        <f>VLOOKUP(J216,Ergebnisse_Errichtung,7,0)</f>
        <v>0</v>
      </c>
      <c r="AH216" s="76" t="s">
        <v>1311</v>
      </c>
      <c r="AI216" s="165">
        <f t="shared" si="51"/>
        <v>0</v>
      </c>
      <c r="AJ216" s="76" t="s">
        <v>1311</v>
      </c>
      <c r="AK216" s="165">
        <f t="shared" si="52"/>
        <v>0</v>
      </c>
      <c r="AL216" s="76" t="s">
        <v>1311</v>
      </c>
      <c r="AM216" s="165">
        <f t="shared" si="53"/>
        <v>0</v>
      </c>
      <c r="AN216" s="586" t="s">
        <v>1313</v>
      </c>
    </row>
    <row r="217" spans="1:40" s="37" customFormat="1" ht="15" hidden="1" customHeight="1" outlineLevel="1">
      <c r="A217" s="55"/>
      <c r="B217" s="194"/>
      <c r="C217" s="194"/>
      <c r="D217" s="80" t="s">
        <v>1617</v>
      </c>
      <c r="E217" s="194"/>
      <c r="F217" s="194"/>
      <c r="G217" s="69"/>
      <c r="H217" s="194"/>
      <c r="I217" s="152">
        <f t="shared" si="50"/>
        <v>1000</v>
      </c>
      <c r="J217" s="359" t="s">
        <v>1880</v>
      </c>
      <c r="K217" s="108"/>
      <c r="L217" s="108"/>
      <c r="M217" s="69"/>
      <c r="N217" s="74"/>
      <c r="W217" s="67"/>
      <c r="X217" s="194"/>
      <c r="Y217" s="580">
        <f>ROUNDDOWN($Y$2/$I217,0)*$AG217</f>
        <v>0</v>
      </c>
      <c r="Z217" s="76" t="s">
        <v>1311</v>
      </c>
      <c r="AA217" s="426">
        <f>ROUNDDOWN($AA$2/$I217,0)*$AI217</f>
        <v>0</v>
      </c>
      <c r="AB217" s="76" t="s">
        <v>1311</v>
      </c>
      <c r="AC217" s="426">
        <f>ROUNDDOWN($AC$2/$I217,0)*$AK217</f>
        <v>0</v>
      </c>
      <c r="AD217" s="76" t="s">
        <v>1311</v>
      </c>
      <c r="AE217" s="426">
        <f>ROUNDDOWN($AE$2/$I217,0)*$AM217</f>
        <v>0</v>
      </c>
      <c r="AF217" s="76" t="s">
        <v>1313</v>
      </c>
      <c r="AG217" s="573">
        <f>VLOOKUP(J217,Ergebnisse_Errichtung,7,0)</f>
        <v>0</v>
      </c>
      <c r="AH217" s="76" t="s">
        <v>1311</v>
      </c>
      <c r="AI217" s="165">
        <f t="shared" si="51"/>
        <v>0</v>
      </c>
      <c r="AJ217" s="76" t="s">
        <v>1311</v>
      </c>
      <c r="AK217" s="165">
        <f t="shared" si="52"/>
        <v>0</v>
      </c>
      <c r="AL217" s="76" t="s">
        <v>1311</v>
      </c>
      <c r="AM217" s="165">
        <f t="shared" si="53"/>
        <v>0</v>
      </c>
      <c r="AN217" s="586" t="s">
        <v>1313</v>
      </c>
    </row>
    <row r="218" spans="1:40" s="37" customFormat="1" ht="15" customHeight="1" collapsed="1">
      <c r="A218" s="55">
        <v>18000</v>
      </c>
      <c r="B218" s="194" t="s">
        <v>728</v>
      </c>
      <c r="C218" s="194" t="s">
        <v>934</v>
      </c>
      <c r="D218" s="194" t="s">
        <v>156</v>
      </c>
      <c r="E218" s="194"/>
      <c r="F218" s="194"/>
      <c r="G218" s="165" t="e">
        <f t="shared" si="49"/>
        <v>#VALUE!</v>
      </c>
      <c r="H218" s="194" t="s">
        <v>850</v>
      </c>
      <c r="I218" s="152">
        <f t="shared" si="50"/>
        <v>24</v>
      </c>
      <c r="J218" s="194" t="s">
        <v>157</v>
      </c>
      <c r="K218" s="108"/>
      <c r="L218" s="108"/>
      <c r="M218" s="165" t="e">
        <f t="shared" si="48"/>
        <v>#VALUE!</v>
      </c>
      <c r="N218" s="74" t="s">
        <v>103</v>
      </c>
      <c r="W218" s="67"/>
      <c r="X218" s="194"/>
      <c r="Y218" s="573">
        <f>SUM(Y219:Y220)</f>
        <v>0</v>
      </c>
      <c r="Z218" s="194" t="s">
        <v>1311</v>
      </c>
      <c r="AA218" s="165">
        <f>SUM(AA219:AA220)</f>
        <v>0</v>
      </c>
      <c r="AB218" s="194" t="s">
        <v>1311</v>
      </c>
      <c r="AC218" s="165">
        <f>SUM(AC219:AC220)</f>
        <v>0</v>
      </c>
      <c r="AD218" s="194" t="s">
        <v>1311</v>
      </c>
      <c r="AE218" s="165">
        <f>SUM(AE219:AE220)</f>
        <v>0</v>
      </c>
      <c r="AF218" s="194" t="s">
        <v>1313</v>
      </c>
      <c r="AG218" s="573">
        <f>VLOOKUP("E4.D.04",Ergebnisse_Errichtung,7,0)</f>
        <v>0</v>
      </c>
      <c r="AH218" s="194" t="s">
        <v>1311</v>
      </c>
      <c r="AI218" s="165">
        <f t="shared" si="51"/>
        <v>0</v>
      </c>
      <c r="AJ218" s="194" t="s">
        <v>1311</v>
      </c>
      <c r="AK218" s="165">
        <f t="shared" si="52"/>
        <v>0</v>
      </c>
      <c r="AL218" s="194" t="s">
        <v>1311</v>
      </c>
      <c r="AM218" s="165">
        <f t="shared" si="53"/>
        <v>0</v>
      </c>
      <c r="AN218" s="584" t="s">
        <v>1313</v>
      </c>
    </row>
    <row r="219" spans="1:40" s="37" customFormat="1" ht="15" customHeight="1">
      <c r="A219" s="55"/>
      <c r="B219" s="194"/>
      <c r="C219" s="194"/>
      <c r="D219" s="80" t="s">
        <v>2721</v>
      </c>
      <c r="E219" s="194"/>
      <c r="F219" s="194"/>
      <c r="G219" s="165"/>
      <c r="H219" s="194" t="s">
        <v>850</v>
      </c>
      <c r="I219" s="152">
        <f t="shared" si="50"/>
        <v>1000</v>
      </c>
      <c r="J219" s="111" t="s">
        <v>2719</v>
      </c>
      <c r="K219" s="108"/>
      <c r="L219" s="108"/>
      <c r="M219" s="165"/>
      <c r="N219" s="74" t="s">
        <v>103</v>
      </c>
      <c r="W219" s="67"/>
      <c r="X219" s="194"/>
      <c r="Y219" s="573">
        <f>ROUNDDOWN($Y$2/$I219,0)*$AG219</f>
        <v>0</v>
      </c>
      <c r="Z219" s="194" t="s">
        <v>1311</v>
      </c>
      <c r="AA219" s="165">
        <f>ROUNDDOWN($AA$2/$I219,0)*$AI219</f>
        <v>0</v>
      </c>
      <c r="AB219" s="194" t="s">
        <v>1311</v>
      </c>
      <c r="AC219" s="165">
        <f>ROUNDDOWN($AC$2/$I219,0)*$AK219</f>
        <v>0</v>
      </c>
      <c r="AD219" s="194" t="s">
        <v>1311</v>
      </c>
      <c r="AE219" s="165">
        <f>ROUNDDOWN($AE$2/$I219,0)*$AM219</f>
        <v>0</v>
      </c>
      <c r="AF219" s="194" t="s">
        <v>1313</v>
      </c>
      <c r="AG219" s="573">
        <f>VLOOKUP(J219,Ergebnisse_Errichtung,7,0)</f>
        <v>0</v>
      </c>
      <c r="AH219" s="194" t="s">
        <v>1311</v>
      </c>
      <c r="AI219" s="165">
        <f t="shared" si="51"/>
        <v>0</v>
      </c>
      <c r="AJ219" s="194" t="s">
        <v>1311</v>
      </c>
      <c r="AK219" s="165">
        <f t="shared" si="52"/>
        <v>0</v>
      </c>
      <c r="AL219" s="194" t="s">
        <v>1311</v>
      </c>
      <c r="AM219" s="165">
        <f t="shared" si="53"/>
        <v>0</v>
      </c>
      <c r="AN219" s="584" t="s">
        <v>1313</v>
      </c>
    </row>
    <row r="220" spans="1:40" s="37" customFormat="1" ht="15" customHeight="1">
      <c r="A220" s="55"/>
      <c r="B220" s="194"/>
      <c r="C220" s="194"/>
      <c r="D220" s="80" t="s">
        <v>2722</v>
      </c>
      <c r="E220" s="194"/>
      <c r="F220" s="194"/>
      <c r="G220" s="165"/>
      <c r="H220" s="194" t="s">
        <v>850</v>
      </c>
      <c r="I220" s="152">
        <f t="shared" si="50"/>
        <v>1000</v>
      </c>
      <c r="J220" s="111" t="s">
        <v>2720</v>
      </c>
      <c r="K220" s="108"/>
      <c r="L220" s="108"/>
      <c r="M220" s="165"/>
      <c r="N220" s="74" t="s">
        <v>103</v>
      </c>
      <c r="W220" s="67"/>
      <c r="X220" s="194"/>
      <c r="Y220" s="573">
        <f>ROUNDDOWN($Y$2/$I220,0)*$AG220</f>
        <v>0</v>
      </c>
      <c r="Z220" s="194" t="s">
        <v>1311</v>
      </c>
      <c r="AA220" s="165">
        <f>ROUNDDOWN($AA$2/$I220,0)*$AI220</f>
        <v>0</v>
      </c>
      <c r="AB220" s="194" t="s">
        <v>1311</v>
      </c>
      <c r="AC220" s="165">
        <f>ROUNDDOWN($AC$2/$I220,0)*$AK220</f>
        <v>0</v>
      </c>
      <c r="AD220" s="194" t="s">
        <v>1311</v>
      </c>
      <c r="AE220" s="165">
        <f>ROUNDDOWN($AE$2/$I220,0)*$AM220</f>
        <v>0</v>
      </c>
      <c r="AF220" s="194" t="s">
        <v>1313</v>
      </c>
      <c r="AG220" s="573">
        <f>VLOOKUP(J220,Ergebnisse_Errichtung,7,0)</f>
        <v>0</v>
      </c>
      <c r="AH220" s="194" t="s">
        <v>1311</v>
      </c>
      <c r="AI220" s="165">
        <f t="shared" si="51"/>
        <v>0</v>
      </c>
      <c r="AJ220" s="194" t="s">
        <v>1311</v>
      </c>
      <c r="AK220" s="165">
        <f t="shared" si="52"/>
        <v>0</v>
      </c>
      <c r="AL220" s="194" t="s">
        <v>1311</v>
      </c>
      <c r="AM220" s="165">
        <f t="shared" si="53"/>
        <v>0</v>
      </c>
      <c r="AN220" s="584" t="s">
        <v>1313</v>
      </c>
    </row>
    <row r="221" spans="1:40" s="37" customFormat="1" ht="15" customHeight="1">
      <c r="A221" s="55">
        <v>18100</v>
      </c>
      <c r="B221" s="194" t="s">
        <v>728</v>
      </c>
      <c r="C221" s="194" t="s">
        <v>935</v>
      </c>
      <c r="D221" s="194" t="s">
        <v>154</v>
      </c>
      <c r="E221" s="194"/>
      <c r="F221" s="194"/>
      <c r="G221" s="165" t="e">
        <f t="shared" si="49"/>
        <v>#VALUE!</v>
      </c>
      <c r="H221" s="194" t="s">
        <v>850</v>
      </c>
      <c r="I221" s="152">
        <f t="shared" si="50"/>
        <v>1000</v>
      </c>
      <c r="J221" s="194" t="s">
        <v>155</v>
      </c>
      <c r="K221" s="108"/>
      <c r="L221" s="108"/>
      <c r="M221" s="165" t="e">
        <f t="shared" si="48"/>
        <v>#VALUE!</v>
      </c>
      <c r="N221" s="74" t="s">
        <v>103</v>
      </c>
      <c r="W221" s="67"/>
      <c r="X221" s="194"/>
      <c r="Y221" s="573">
        <f>ROUNDDOWN($Y$2/$I221,0)*$AG221</f>
        <v>0</v>
      </c>
      <c r="Z221" s="194" t="s">
        <v>1311</v>
      </c>
      <c r="AA221" s="165">
        <f>ROUNDDOWN($AA$2/$I221,0)*$AI221</f>
        <v>0</v>
      </c>
      <c r="AB221" s="194" t="s">
        <v>1311</v>
      </c>
      <c r="AC221" s="165">
        <f>ROUNDDOWN($AC$2/$I221,0)*$AK221</f>
        <v>0</v>
      </c>
      <c r="AD221" s="194" t="s">
        <v>1311</v>
      </c>
      <c r="AE221" s="165">
        <f>ROUNDDOWN($AE$2/$I221,0)*$AM221</f>
        <v>0</v>
      </c>
      <c r="AF221" s="194" t="s">
        <v>1313</v>
      </c>
      <c r="AG221" s="573">
        <f>VLOOKUP("E4.D.05",Ergebnisse_Errichtung,7,0)</f>
        <v>0</v>
      </c>
      <c r="AH221" s="194" t="s">
        <v>1311</v>
      </c>
      <c r="AI221" s="165">
        <f t="shared" si="51"/>
        <v>0</v>
      </c>
      <c r="AJ221" s="194" t="s">
        <v>1311</v>
      </c>
      <c r="AK221" s="165">
        <f t="shared" si="52"/>
        <v>0</v>
      </c>
      <c r="AL221" s="194" t="s">
        <v>1311</v>
      </c>
      <c r="AM221" s="165">
        <f t="shared" si="53"/>
        <v>0</v>
      </c>
      <c r="AN221" s="584" t="s">
        <v>1313</v>
      </c>
    </row>
    <row r="222" spans="1:40" s="37" customFormat="1" ht="15" customHeight="1">
      <c r="A222" s="55">
        <v>18200</v>
      </c>
      <c r="B222" s="194" t="s">
        <v>728</v>
      </c>
      <c r="C222" s="194" t="s">
        <v>936</v>
      </c>
      <c r="D222" s="194" t="s">
        <v>152</v>
      </c>
      <c r="E222" s="194"/>
      <c r="F222" s="194"/>
      <c r="G222" s="165" t="e">
        <f t="shared" si="49"/>
        <v>#VALUE!</v>
      </c>
      <c r="H222" s="194" t="s">
        <v>850</v>
      </c>
      <c r="I222" s="152">
        <f t="shared" si="50"/>
        <v>24</v>
      </c>
      <c r="J222" s="194" t="s">
        <v>153</v>
      </c>
      <c r="K222" s="108"/>
      <c r="L222" s="108"/>
      <c r="M222" s="165" t="e">
        <f t="shared" si="48"/>
        <v>#VALUE!</v>
      </c>
      <c r="N222" s="74" t="s">
        <v>103</v>
      </c>
      <c r="W222" s="67"/>
      <c r="X222" s="194"/>
      <c r="Y222" s="522"/>
      <c r="Z222" s="194"/>
      <c r="AA222" s="67"/>
      <c r="AB222" s="194"/>
      <c r="AC222" s="67"/>
      <c r="AD222" s="194"/>
      <c r="AE222" s="194"/>
      <c r="AF222" s="194"/>
      <c r="AG222" s="532"/>
      <c r="AH222" s="194"/>
      <c r="AI222" s="194"/>
      <c r="AJ222" s="194"/>
      <c r="AK222" s="194"/>
      <c r="AL222" s="194"/>
      <c r="AM222" s="194"/>
      <c r="AN222" s="584"/>
    </row>
    <row r="223" spans="1:40" s="37" customFormat="1" ht="15" customHeight="1">
      <c r="A223" s="293">
        <v>18400</v>
      </c>
      <c r="B223" s="172" t="s">
        <v>743</v>
      </c>
      <c r="C223" s="172" t="s">
        <v>937</v>
      </c>
      <c r="D223" s="172" t="s">
        <v>150</v>
      </c>
      <c r="E223" s="172"/>
      <c r="F223" s="172"/>
      <c r="G223" s="172"/>
      <c r="H223" s="172"/>
      <c r="I223" s="172"/>
      <c r="J223" s="172"/>
      <c r="K223" s="293"/>
      <c r="L223" s="293"/>
      <c r="M223" s="158" t="e">
        <f t="shared" si="48"/>
        <v>#VALUE!</v>
      </c>
      <c r="N223" s="295" t="s">
        <v>103</v>
      </c>
      <c r="W223" s="171"/>
      <c r="X223" s="172"/>
      <c r="Y223" s="572"/>
      <c r="Z223" s="172"/>
      <c r="AA223" s="171"/>
      <c r="AB223" s="172"/>
      <c r="AC223" s="171"/>
      <c r="AD223" s="172"/>
      <c r="AE223" s="171"/>
      <c r="AF223" s="171"/>
      <c r="AG223" s="577"/>
      <c r="AH223" s="172"/>
      <c r="AI223" s="172"/>
      <c r="AJ223" s="172"/>
      <c r="AK223" s="172"/>
      <c r="AL223" s="172"/>
      <c r="AM223" s="172"/>
      <c r="AN223" s="583"/>
    </row>
    <row r="224" spans="1:40" s="37" customFormat="1" ht="15" customHeight="1">
      <c r="A224" s="55">
        <v>18500</v>
      </c>
      <c r="B224" s="194" t="s">
        <v>728</v>
      </c>
      <c r="C224" s="194" t="s">
        <v>938</v>
      </c>
      <c r="D224" s="194" t="s">
        <v>939</v>
      </c>
      <c r="E224" s="194"/>
      <c r="F224" s="194"/>
      <c r="G224" s="165" t="e">
        <f>VLOOKUP(C224,Folgekosten,5,0)</f>
        <v>#VALUE!</v>
      </c>
      <c r="H224" s="194" t="s">
        <v>850</v>
      </c>
      <c r="I224" s="152">
        <f>IF(ISNUMBER(VLOOKUP(J224,Nutzungsdauern,5,0)),VLOOKUP(J224,Nutzungsdauern,5,0),1000)</f>
        <v>25</v>
      </c>
      <c r="J224" s="194" t="s">
        <v>149</v>
      </c>
      <c r="K224" s="108"/>
      <c r="L224" s="108"/>
      <c r="M224" s="165" t="e">
        <f t="shared" si="48"/>
        <v>#VALUE!</v>
      </c>
      <c r="N224" s="74" t="s">
        <v>103</v>
      </c>
      <c r="W224" s="67"/>
      <c r="X224" s="194"/>
      <c r="Y224" s="522"/>
      <c r="Z224" s="194"/>
      <c r="AA224" s="67"/>
      <c r="AB224" s="194"/>
      <c r="AC224" s="67"/>
      <c r="AD224" s="194"/>
      <c r="AE224" s="67"/>
      <c r="AF224" s="194"/>
      <c r="AG224" s="532"/>
      <c r="AH224" s="194"/>
      <c r="AI224" s="194"/>
      <c r="AJ224" s="194"/>
      <c r="AK224" s="194"/>
      <c r="AL224" s="194"/>
      <c r="AM224" s="194"/>
      <c r="AN224" s="584"/>
    </row>
    <row r="225" spans="1:40" s="37" customFormat="1" ht="15" customHeight="1">
      <c r="A225" s="55">
        <v>18600</v>
      </c>
      <c r="B225" s="194" t="s">
        <v>728</v>
      </c>
      <c r="C225" s="194" t="s">
        <v>940</v>
      </c>
      <c r="D225" s="194" t="s">
        <v>941</v>
      </c>
      <c r="E225" s="194"/>
      <c r="F225" s="194"/>
      <c r="G225" s="165" t="e">
        <f>VLOOKUP(C225,Folgekosten,5,0)</f>
        <v>#VALUE!</v>
      </c>
      <c r="H225" s="194" t="s">
        <v>850</v>
      </c>
      <c r="I225" s="152">
        <f>IF(ISNUMBER(VLOOKUP(J225,Nutzungsdauern,5,0)),VLOOKUP(J225,Nutzungsdauern,5,0),1000)</f>
        <v>15</v>
      </c>
      <c r="J225" s="194" t="s">
        <v>148</v>
      </c>
      <c r="K225" s="108"/>
      <c r="L225" s="108"/>
      <c r="M225" s="165" t="e">
        <f t="shared" si="48"/>
        <v>#VALUE!</v>
      </c>
      <c r="N225" s="74" t="s">
        <v>103</v>
      </c>
      <c r="W225" s="67"/>
      <c r="X225" s="194"/>
      <c r="Y225" s="522"/>
      <c r="Z225" s="194"/>
      <c r="AA225" s="67"/>
      <c r="AB225" s="194"/>
      <c r="AC225" s="67"/>
      <c r="AD225" s="194"/>
      <c r="AE225" s="67"/>
      <c r="AF225" s="194"/>
      <c r="AG225" s="532"/>
      <c r="AH225" s="194"/>
      <c r="AI225" s="194"/>
      <c r="AJ225" s="194"/>
      <c r="AK225" s="194"/>
      <c r="AL225" s="194"/>
      <c r="AM225" s="194"/>
      <c r="AN225" s="584"/>
    </row>
    <row r="226" spans="1:40" s="37" customFormat="1" ht="15" customHeight="1">
      <c r="A226" s="55">
        <v>18700</v>
      </c>
      <c r="B226" s="194" t="s">
        <v>728</v>
      </c>
      <c r="C226" s="194" t="s">
        <v>942</v>
      </c>
      <c r="D226" s="194" t="s">
        <v>145</v>
      </c>
      <c r="E226" s="194"/>
      <c r="F226" s="194"/>
      <c r="G226" s="165" t="e">
        <f>VLOOKUP(C226,Folgekosten,5,0)</f>
        <v>#VALUE!</v>
      </c>
      <c r="H226" s="194" t="s">
        <v>850</v>
      </c>
      <c r="I226" s="152">
        <f>IF(ISNUMBER(VLOOKUP(J226,Nutzungsdauern,5,0)),VLOOKUP(J226,Nutzungsdauern,5,0),1000)</f>
        <v>25</v>
      </c>
      <c r="J226" s="194" t="s">
        <v>146</v>
      </c>
      <c r="K226" s="108"/>
      <c r="L226" s="108"/>
      <c r="M226" s="165" t="e">
        <f t="shared" si="48"/>
        <v>#VALUE!</v>
      </c>
      <c r="N226" s="74" t="s">
        <v>103</v>
      </c>
      <c r="W226" s="67"/>
      <c r="X226" s="194"/>
      <c r="Y226" s="522"/>
      <c r="Z226" s="194"/>
      <c r="AA226" s="67"/>
      <c r="AB226" s="194"/>
      <c r="AC226" s="67"/>
      <c r="AD226" s="194"/>
      <c r="AE226" s="67"/>
      <c r="AF226" s="194"/>
      <c r="AG226" s="532"/>
      <c r="AH226" s="194"/>
      <c r="AI226" s="194"/>
      <c r="AJ226" s="194"/>
      <c r="AK226" s="194"/>
      <c r="AL226" s="194"/>
      <c r="AM226" s="194"/>
      <c r="AN226" s="584"/>
    </row>
    <row r="227" spans="1:40" s="37" customFormat="1" ht="15" customHeight="1">
      <c r="A227" s="55">
        <v>18800</v>
      </c>
      <c r="B227" s="194" t="s">
        <v>728</v>
      </c>
      <c r="C227" s="194" t="s">
        <v>943</v>
      </c>
      <c r="D227" s="194" t="s">
        <v>944</v>
      </c>
      <c r="E227" s="194"/>
      <c r="F227" s="194"/>
      <c r="G227" s="165" t="e">
        <f>VLOOKUP(C227,Folgekosten,5,0)</f>
        <v>#VALUE!</v>
      </c>
      <c r="H227" s="194" t="s">
        <v>850</v>
      </c>
      <c r="I227" s="152">
        <f>IF(ISNUMBER(VLOOKUP(J227,Nutzungsdauern,5,0)),VLOOKUP(J227,Nutzungsdauern,5,0),1000)</f>
        <v>25</v>
      </c>
      <c r="J227" s="194" t="s">
        <v>144</v>
      </c>
      <c r="K227" s="108"/>
      <c r="L227" s="108"/>
      <c r="M227" s="165" t="e">
        <f t="shared" si="48"/>
        <v>#VALUE!</v>
      </c>
      <c r="N227" s="74" t="s">
        <v>103</v>
      </c>
      <c r="W227" s="67"/>
      <c r="X227" s="194"/>
      <c r="Y227" s="522"/>
      <c r="Z227" s="194"/>
      <c r="AA227" s="67"/>
      <c r="AB227" s="194"/>
      <c r="AC227" s="67"/>
      <c r="AD227" s="194"/>
      <c r="AE227" s="67"/>
      <c r="AF227" s="194"/>
      <c r="AG227" s="532"/>
      <c r="AH227" s="194"/>
      <c r="AI227" s="194"/>
      <c r="AJ227" s="194"/>
      <c r="AK227" s="194"/>
      <c r="AL227" s="194"/>
      <c r="AM227" s="194"/>
      <c r="AN227" s="584"/>
    </row>
    <row r="228" spans="1:40" s="37" customFormat="1" ht="15" customHeight="1">
      <c r="A228" s="293">
        <v>19000</v>
      </c>
      <c r="B228" s="172" t="s">
        <v>743</v>
      </c>
      <c r="C228" s="172" t="s">
        <v>945</v>
      </c>
      <c r="D228" s="172" t="s">
        <v>141</v>
      </c>
      <c r="E228" s="172"/>
      <c r="F228" s="172"/>
      <c r="G228" s="172"/>
      <c r="H228" s="172"/>
      <c r="I228" s="172"/>
      <c r="J228" s="172"/>
      <c r="K228" s="293"/>
      <c r="L228" s="293"/>
      <c r="M228" s="158" t="e">
        <f t="shared" si="48"/>
        <v>#VALUE!</v>
      </c>
      <c r="N228" s="295" t="s">
        <v>103</v>
      </c>
      <c r="W228" s="171"/>
      <c r="X228" s="172"/>
      <c r="Y228" s="572"/>
      <c r="Z228" s="172"/>
      <c r="AA228" s="171"/>
      <c r="AB228" s="172"/>
      <c r="AC228" s="171"/>
      <c r="AD228" s="172"/>
      <c r="AE228" s="171"/>
      <c r="AF228" s="172"/>
      <c r="AG228" s="577"/>
      <c r="AH228" s="172"/>
      <c r="AI228" s="172"/>
      <c r="AJ228" s="172"/>
      <c r="AK228" s="172"/>
      <c r="AL228" s="172"/>
      <c r="AM228" s="172"/>
      <c r="AN228" s="583"/>
    </row>
    <row r="229" spans="1:40" s="37" customFormat="1" ht="15" customHeight="1">
      <c r="A229" s="55">
        <v>19100</v>
      </c>
      <c r="B229" s="194" t="s">
        <v>728</v>
      </c>
      <c r="C229" s="194" t="s">
        <v>946</v>
      </c>
      <c r="D229" s="194" t="s">
        <v>947</v>
      </c>
      <c r="E229" s="194"/>
      <c r="F229" s="194"/>
      <c r="G229" s="165" t="e">
        <f t="shared" ref="G229:G242" si="54">VLOOKUP(C229,Folgekosten,5,0)</f>
        <v>#VALUE!</v>
      </c>
      <c r="H229" s="194" t="s">
        <v>850</v>
      </c>
      <c r="I229" s="152">
        <f t="shared" ref="I229:I234" si="55">IF(ISNUMBER(VLOOKUP(J229,Nutzungsdauern,5,0)),VLOOKUP(J229,Nutzungsdauern,5,0),1000)</f>
        <v>50</v>
      </c>
      <c r="J229" s="194" t="s">
        <v>140</v>
      </c>
      <c r="K229" s="108"/>
      <c r="L229" s="108"/>
      <c r="M229" s="165" t="e">
        <f t="shared" si="48"/>
        <v>#VALUE!</v>
      </c>
      <c r="N229" s="74" t="s">
        <v>103</v>
      </c>
      <c r="W229" s="67"/>
      <c r="X229" s="194"/>
      <c r="Y229" s="522"/>
      <c r="Z229" s="194"/>
      <c r="AA229" s="67"/>
      <c r="AB229" s="194"/>
      <c r="AC229" s="67"/>
      <c r="AD229" s="194"/>
      <c r="AE229" s="67"/>
      <c r="AF229" s="194"/>
      <c r="AG229" s="532"/>
      <c r="AH229" s="194"/>
      <c r="AI229" s="194"/>
      <c r="AJ229" s="194"/>
      <c r="AK229" s="194"/>
      <c r="AL229" s="194"/>
      <c r="AM229" s="194"/>
      <c r="AN229" s="584"/>
    </row>
    <row r="230" spans="1:40" s="37" customFormat="1" ht="15" customHeight="1">
      <c r="A230" s="55">
        <v>19200</v>
      </c>
      <c r="B230" s="194" t="s">
        <v>728</v>
      </c>
      <c r="C230" s="194" t="s">
        <v>948</v>
      </c>
      <c r="D230" s="194" t="s">
        <v>138</v>
      </c>
      <c r="E230" s="194"/>
      <c r="F230" s="194"/>
      <c r="G230" s="165" t="e">
        <f t="shared" si="54"/>
        <v>#VALUE!</v>
      </c>
      <c r="H230" s="194" t="s">
        <v>850</v>
      </c>
      <c r="I230" s="152">
        <f t="shared" si="55"/>
        <v>50</v>
      </c>
      <c r="J230" s="194" t="s">
        <v>139</v>
      </c>
      <c r="K230" s="108"/>
      <c r="L230" s="108"/>
      <c r="M230" s="165" t="e">
        <f t="shared" si="48"/>
        <v>#VALUE!</v>
      </c>
      <c r="N230" s="74" t="s">
        <v>103</v>
      </c>
      <c r="W230" s="67"/>
      <c r="X230" s="194"/>
      <c r="Y230" s="522"/>
      <c r="Z230" s="194"/>
      <c r="AA230" s="67"/>
      <c r="AB230" s="194"/>
      <c r="AC230" s="67"/>
      <c r="AD230" s="194"/>
      <c r="AE230" s="67"/>
      <c r="AF230" s="194"/>
      <c r="AG230" s="532"/>
      <c r="AH230" s="194"/>
      <c r="AI230" s="194"/>
      <c r="AJ230" s="194"/>
      <c r="AK230" s="194"/>
      <c r="AL230" s="194"/>
      <c r="AM230" s="194"/>
      <c r="AN230" s="584"/>
    </row>
    <row r="231" spans="1:40" s="37" customFormat="1" ht="15" customHeight="1">
      <c r="A231" s="55">
        <v>19300</v>
      </c>
      <c r="B231" s="194" t="s">
        <v>728</v>
      </c>
      <c r="C231" s="194" t="s">
        <v>949</v>
      </c>
      <c r="D231" s="194" t="s">
        <v>136</v>
      </c>
      <c r="E231" s="194"/>
      <c r="F231" s="194"/>
      <c r="G231" s="165" t="e">
        <f t="shared" si="54"/>
        <v>#VALUE!</v>
      </c>
      <c r="H231" s="194" t="s">
        <v>850</v>
      </c>
      <c r="I231" s="152">
        <f t="shared" si="55"/>
        <v>37</v>
      </c>
      <c r="J231" s="194" t="s">
        <v>137</v>
      </c>
      <c r="K231" s="108"/>
      <c r="L231" s="108"/>
      <c r="M231" s="165" t="e">
        <f t="shared" si="48"/>
        <v>#VALUE!</v>
      </c>
      <c r="N231" s="74" t="s">
        <v>103</v>
      </c>
      <c r="W231" s="67"/>
      <c r="X231" s="194"/>
      <c r="Y231" s="522"/>
      <c r="Z231" s="194"/>
      <c r="AA231" s="67"/>
      <c r="AB231" s="194"/>
      <c r="AC231" s="67"/>
      <c r="AD231" s="194"/>
      <c r="AE231" s="67"/>
      <c r="AF231" s="194"/>
      <c r="AG231" s="532"/>
      <c r="AH231" s="194"/>
      <c r="AI231" s="194"/>
      <c r="AJ231" s="194"/>
      <c r="AK231" s="194"/>
      <c r="AL231" s="194"/>
      <c r="AM231" s="194"/>
      <c r="AN231" s="584"/>
    </row>
    <row r="232" spans="1:40" s="37" customFormat="1" ht="15" customHeight="1">
      <c r="A232" s="55">
        <v>19400</v>
      </c>
      <c r="B232" s="194" t="s">
        <v>728</v>
      </c>
      <c r="C232" s="194" t="s">
        <v>950</v>
      </c>
      <c r="D232" s="194" t="s">
        <v>480</v>
      </c>
      <c r="E232" s="194"/>
      <c r="F232" s="194"/>
      <c r="G232" s="165" t="e">
        <f t="shared" si="54"/>
        <v>#VALUE!</v>
      </c>
      <c r="H232" s="194" t="s">
        <v>850</v>
      </c>
      <c r="I232" s="152">
        <f t="shared" si="55"/>
        <v>30</v>
      </c>
      <c r="J232" s="194" t="s">
        <v>135</v>
      </c>
      <c r="K232" s="108"/>
      <c r="L232" s="108"/>
      <c r="M232" s="165" t="e">
        <f t="shared" si="48"/>
        <v>#VALUE!</v>
      </c>
      <c r="N232" s="74" t="s">
        <v>103</v>
      </c>
      <c r="W232" s="67"/>
      <c r="X232" s="194"/>
      <c r="Y232" s="522"/>
      <c r="Z232" s="194"/>
      <c r="AA232" s="67"/>
      <c r="AB232" s="194"/>
      <c r="AC232" s="67"/>
      <c r="AD232" s="194"/>
      <c r="AE232" s="67"/>
      <c r="AF232" s="194"/>
      <c r="AG232" s="532"/>
      <c r="AH232" s="194"/>
      <c r="AI232" s="194"/>
      <c r="AJ232" s="194"/>
      <c r="AK232" s="194"/>
      <c r="AL232" s="194"/>
      <c r="AM232" s="194"/>
      <c r="AN232" s="584"/>
    </row>
    <row r="233" spans="1:40" s="37" customFormat="1" ht="15" customHeight="1">
      <c r="A233" s="55">
        <v>19500</v>
      </c>
      <c r="B233" s="194" t="s">
        <v>728</v>
      </c>
      <c r="C233" s="194" t="s">
        <v>951</v>
      </c>
      <c r="D233" s="194" t="s">
        <v>952</v>
      </c>
      <c r="E233" s="194"/>
      <c r="F233" s="194"/>
      <c r="G233" s="165" t="e">
        <f t="shared" si="54"/>
        <v>#VALUE!</v>
      </c>
      <c r="H233" s="194" t="s">
        <v>850</v>
      </c>
      <c r="I233" s="152">
        <f t="shared" si="55"/>
        <v>50</v>
      </c>
      <c r="J233" s="194" t="s">
        <v>133</v>
      </c>
      <c r="K233" s="108"/>
      <c r="L233" s="108"/>
      <c r="M233" s="165" t="e">
        <f t="shared" si="48"/>
        <v>#VALUE!</v>
      </c>
      <c r="N233" s="74" t="s">
        <v>103</v>
      </c>
      <c r="W233" s="67"/>
      <c r="X233" s="194"/>
      <c r="Y233" s="522"/>
      <c r="Z233" s="194"/>
      <c r="AA233" s="67"/>
      <c r="AB233" s="194"/>
      <c r="AC233" s="67"/>
      <c r="AD233" s="194"/>
      <c r="AE233" s="67"/>
      <c r="AF233" s="194"/>
      <c r="AG233" s="532"/>
      <c r="AH233" s="194"/>
      <c r="AI233" s="194"/>
      <c r="AJ233" s="194"/>
      <c r="AK233" s="194"/>
      <c r="AL233" s="194"/>
      <c r="AM233" s="194"/>
      <c r="AN233" s="584"/>
    </row>
    <row r="234" spans="1:40" s="37" customFormat="1" ht="15" customHeight="1">
      <c r="A234" s="55">
        <v>19700</v>
      </c>
      <c r="B234" s="194" t="s">
        <v>728</v>
      </c>
      <c r="C234" s="194" t="s">
        <v>953</v>
      </c>
      <c r="D234" s="194" t="s">
        <v>954</v>
      </c>
      <c r="E234" s="194"/>
      <c r="F234" s="194"/>
      <c r="G234" s="165">
        <f t="shared" si="54"/>
        <v>0</v>
      </c>
      <c r="H234" s="194" t="s">
        <v>103</v>
      </c>
      <c r="I234" s="152">
        <f t="shared" si="55"/>
        <v>1000</v>
      </c>
      <c r="J234" s="359" t="s">
        <v>955</v>
      </c>
      <c r="K234" s="108"/>
      <c r="L234" s="108"/>
      <c r="M234" s="165">
        <f t="shared" si="48"/>
        <v>0</v>
      </c>
      <c r="N234" s="74" t="s">
        <v>103</v>
      </c>
      <c r="W234" s="67"/>
      <c r="X234" s="194"/>
      <c r="Y234" s="522"/>
      <c r="Z234" s="194"/>
      <c r="AA234" s="67"/>
      <c r="AB234" s="194"/>
      <c r="AC234" s="67"/>
      <c r="AD234" s="194"/>
      <c r="AE234" s="67"/>
      <c r="AF234" s="194"/>
      <c r="AG234" s="532"/>
      <c r="AH234" s="194"/>
      <c r="AI234" s="194"/>
      <c r="AJ234" s="194"/>
      <c r="AK234" s="194"/>
      <c r="AL234" s="194"/>
      <c r="AM234" s="194"/>
      <c r="AN234" s="584"/>
    </row>
    <row r="235" spans="1:40" s="37" customFormat="1" ht="15" customHeight="1">
      <c r="A235" s="293">
        <v>19900</v>
      </c>
      <c r="B235" s="172" t="s">
        <v>724</v>
      </c>
      <c r="C235" s="172" t="s">
        <v>956</v>
      </c>
      <c r="D235" s="172" t="s">
        <v>198</v>
      </c>
      <c r="E235" s="172"/>
      <c r="F235" s="172"/>
      <c r="G235" s="171">
        <f t="shared" si="54"/>
        <v>0</v>
      </c>
      <c r="H235" s="172" t="s">
        <v>103</v>
      </c>
      <c r="I235" s="172"/>
      <c r="J235" s="172"/>
      <c r="K235" s="293"/>
      <c r="L235" s="293"/>
      <c r="M235" s="158">
        <f t="shared" si="48"/>
        <v>0</v>
      </c>
      <c r="N235" s="295" t="s">
        <v>103</v>
      </c>
      <c r="W235" s="171"/>
      <c r="X235" s="172"/>
      <c r="Y235" s="572"/>
      <c r="Z235" s="172"/>
      <c r="AA235" s="171"/>
      <c r="AB235" s="172"/>
      <c r="AC235" s="171"/>
      <c r="AD235" s="172"/>
      <c r="AE235" s="171"/>
      <c r="AF235" s="172"/>
      <c r="AG235" s="577"/>
      <c r="AH235" s="172"/>
      <c r="AI235" s="172"/>
      <c r="AJ235" s="172"/>
      <c r="AK235" s="172"/>
      <c r="AL235" s="172"/>
      <c r="AM235" s="172"/>
      <c r="AN235" s="583"/>
    </row>
    <row r="236" spans="1:40" s="37" customFormat="1" ht="15" customHeight="1">
      <c r="A236" s="55">
        <v>20000</v>
      </c>
      <c r="B236" s="194" t="s">
        <v>728</v>
      </c>
      <c r="C236" s="194" t="s">
        <v>957</v>
      </c>
      <c r="D236" s="194" t="s">
        <v>198</v>
      </c>
      <c r="E236" s="194"/>
      <c r="F236" s="194"/>
      <c r="G236" s="165">
        <f t="shared" si="54"/>
        <v>0</v>
      </c>
      <c r="H236" s="194" t="s">
        <v>103</v>
      </c>
      <c r="I236" s="152">
        <f>IF(ISNUMBER(VLOOKUP(J236,Nutzungsdauern,5,0)),VLOOKUP(J236,Nutzungsdauern,5,0),1000)</f>
        <v>1000</v>
      </c>
      <c r="J236" s="359" t="s">
        <v>955</v>
      </c>
      <c r="K236" s="108"/>
      <c r="L236" s="108"/>
      <c r="M236" s="165">
        <f t="shared" si="48"/>
        <v>0</v>
      </c>
      <c r="N236" s="74" t="s">
        <v>103</v>
      </c>
      <c r="W236" s="67"/>
      <c r="X236" s="194"/>
      <c r="Y236" s="522"/>
      <c r="Z236" s="194"/>
      <c r="AA236" s="67"/>
      <c r="AB236" s="194"/>
      <c r="AC236" s="67"/>
      <c r="AD236" s="194"/>
      <c r="AE236" s="67"/>
      <c r="AF236" s="194"/>
      <c r="AG236" s="532"/>
      <c r="AH236" s="194"/>
      <c r="AI236" s="194"/>
      <c r="AJ236" s="194"/>
      <c r="AK236" s="194"/>
      <c r="AL236" s="194"/>
      <c r="AM236" s="194"/>
      <c r="AN236" s="584"/>
    </row>
    <row r="237" spans="1:40" s="37" customFormat="1" ht="15" customHeight="1">
      <c r="A237" s="293">
        <v>20200</v>
      </c>
      <c r="B237" s="172" t="s">
        <v>724</v>
      </c>
      <c r="C237" s="172" t="s">
        <v>958</v>
      </c>
      <c r="D237" s="172" t="s">
        <v>959</v>
      </c>
      <c r="E237" s="172"/>
      <c r="F237" s="172"/>
      <c r="G237" s="171" t="e">
        <f t="shared" si="54"/>
        <v>#VALUE!</v>
      </c>
      <c r="H237" s="172" t="s">
        <v>103</v>
      </c>
      <c r="I237" s="172"/>
      <c r="J237" s="172"/>
      <c r="K237" s="293"/>
      <c r="L237" s="293"/>
      <c r="M237" s="158" t="e">
        <f t="shared" si="48"/>
        <v>#VALUE!</v>
      </c>
      <c r="N237" s="295" t="s">
        <v>103</v>
      </c>
      <c r="W237" s="171"/>
      <c r="X237" s="172"/>
      <c r="Y237" s="574">
        <f>SUM(Y239)</f>
        <v>0</v>
      </c>
      <c r="Z237" s="172" t="s">
        <v>1311</v>
      </c>
      <c r="AA237" s="355">
        <f>SUM(AA239)</f>
        <v>0</v>
      </c>
      <c r="AB237" s="172" t="s">
        <v>1311</v>
      </c>
      <c r="AC237" s="355">
        <f>SUM(AC239)</f>
        <v>0</v>
      </c>
      <c r="AD237" s="172" t="s">
        <v>1311</v>
      </c>
      <c r="AE237" s="355">
        <f>SUM(AE239)</f>
        <v>0</v>
      </c>
      <c r="AF237" s="172" t="s">
        <v>1313</v>
      </c>
      <c r="AG237" s="577"/>
      <c r="AH237" s="172"/>
      <c r="AI237" s="172"/>
      <c r="AJ237" s="172"/>
      <c r="AK237" s="172"/>
      <c r="AL237" s="172"/>
      <c r="AM237" s="172"/>
      <c r="AN237" s="583"/>
    </row>
    <row r="238" spans="1:40" s="37" customFormat="1" ht="15" customHeight="1">
      <c r="A238" s="55">
        <v>20300</v>
      </c>
      <c r="B238" s="194" t="s">
        <v>728</v>
      </c>
      <c r="C238" s="194" t="s">
        <v>960</v>
      </c>
      <c r="D238" s="194" t="s">
        <v>961</v>
      </c>
      <c r="E238" s="194"/>
      <c r="F238" s="194"/>
      <c r="G238" s="165" t="e">
        <f t="shared" si="54"/>
        <v>#VALUE!</v>
      </c>
      <c r="H238" s="194" t="s">
        <v>103</v>
      </c>
      <c r="I238" s="152">
        <f>IF(ISNUMBER(VLOOKUP(J238,Nutzungsdauern,5,0)),VLOOKUP(J238,Nutzungsdauern,5,0),1000)</f>
        <v>1000</v>
      </c>
      <c r="J238" s="359" t="s">
        <v>955</v>
      </c>
      <c r="K238" s="108"/>
      <c r="L238" s="108"/>
      <c r="M238" s="165" t="e">
        <f t="shared" si="48"/>
        <v>#VALUE!</v>
      </c>
      <c r="N238" s="74" t="s">
        <v>103</v>
      </c>
      <c r="W238" s="67"/>
      <c r="X238" s="194"/>
      <c r="Y238" s="522"/>
      <c r="Z238" s="194"/>
      <c r="AA238" s="67"/>
      <c r="AB238" s="194"/>
      <c r="AC238" s="67"/>
      <c r="AD238" s="194"/>
      <c r="AE238" s="67"/>
      <c r="AF238" s="194"/>
      <c r="AG238" s="532"/>
      <c r="AH238" s="194"/>
      <c r="AI238" s="194"/>
      <c r="AJ238" s="194"/>
      <c r="AK238" s="194"/>
      <c r="AL238" s="194"/>
      <c r="AM238" s="194"/>
      <c r="AN238" s="584"/>
    </row>
    <row r="239" spans="1:40" s="37" customFormat="1" ht="15" customHeight="1">
      <c r="A239" s="55">
        <v>20400</v>
      </c>
      <c r="B239" s="194" t="s">
        <v>728</v>
      </c>
      <c r="C239" s="194" t="s">
        <v>963</v>
      </c>
      <c r="D239" s="194" t="s">
        <v>664</v>
      </c>
      <c r="E239" s="194"/>
      <c r="F239" s="194"/>
      <c r="G239" s="165">
        <f t="shared" si="54"/>
        <v>0</v>
      </c>
      <c r="H239" s="194" t="s">
        <v>103</v>
      </c>
      <c r="I239" s="152">
        <f>IF(ISNUMBER(VLOOKUP(J239,Nutzungsdauern,5,0)),VLOOKUP(J239,Nutzungsdauern,5,0),1000)</f>
        <v>1000</v>
      </c>
      <c r="J239" s="359" t="s">
        <v>955</v>
      </c>
      <c r="K239" s="108"/>
      <c r="L239" s="108"/>
      <c r="M239" s="165">
        <f t="shared" si="48"/>
        <v>0</v>
      </c>
      <c r="N239" s="74" t="s">
        <v>103</v>
      </c>
      <c r="W239" s="67"/>
      <c r="X239" s="194"/>
      <c r="Y239" s="573">
        <f>Massenbilanz!S98</f>
        <v>0</v>
      </c>
      <c r="Z239" s="194" t="s">
        <v>1311</v>
      </c>
      <c r="AA239" s="165">
        <f>Massenbilanz!S97</f>
        <v>0</v>
      </c>
      <c r="AB239" s="194" t="s">
        <v>1311</v>
      </c>
      <c r="AC239" s="165">
        <f>Massenbilanz!S96</f>
        <v>0</v>
      </c>
      <c r="AD239" s="194" t="s">
        <v>1311</v>
      </c>
      <c r="AE239" s="165">
        <f>Massenbilanz!S99</f>
        <v>0</v>
      </c>
      <c r="AF239" s="194" t="s">
        <v>1313</v>
      </c>
      <c r="AG239" s="532"/>
      <c r="AH239" s="194"/>
      <c r="AI239" s="194"/>
      <c r="AJ239" s="194"/>
      <c r="AK239" s="194"/>
      <c r="AL239" s="194"/>
      <c r="AM239" s="194"/>
      <c r="AN239" s="584"/>
    </row>
    <row r="240" spans="1:40" s="37" customFormat="1" ht="15" customHeight="1">
      <c r="A240" s="55">
        <v>20500</v>
      </c>
      <c r="B240" s="194" t="s">
        <v>728</v>
      </c>
      <c r="C240" s="194" t="s">
        <v>964</v>
      </c>
      <c r="D240" s="194" t="s">
        <v>715</v>
      </c>
      <c r="E240" s="194"/>
      <c r="F240" s="194"/>
      <c r="G240" s="165">
        <f t="shared" si="54"/>
        <v>0</v>
      </c>
      <c r="H240" s="194" t="s">
        <v>103</v>
      </c>
      <c r="I240" s="152">
        <f>IF(ISNUMBER(VLOOKUP(J240,Nutzungsdauern,5,0)),VLOOKUP(J240,Nutzungsdauern,5,0),1000)</f>
        <v>1000</v>
      </c>
      <c r="J240" s="359" t="s">
        <v>955</v>
      </c>
      <c r="K240" s="108"/>
      <c r="L240" s="108"/>
      <c r="M240" s="165">
        <f t="shared" si="48"/>
        <v>0</v>
      </c>
      <c r="N240" s="74" t="s">
        <v>103</v>
      </c>
      <c r="W240" s="67"/>
      <c r="X240" s="194"/>
      <c r="Y240" s="522"/>
      <c r="Z240" s="194"/>
      <c r="AA240" s="67"/>
      <c r="AB240" s="194"/>
      <c r="AC240" s="67"/>
      <c r="AD240" s="194"/>
      <c r="AE240" s="67"/>
      <c r="AF240" s="194"/>
      <c r="AG240" s="532"/>
      <c r="AH240" s="194"/>
      <c r="AI240" s="194"/>
      <c r="AJ240" s="194"/>
      <c r="AK240" s="194"/>
      <c r="AL240" s="194"/>
      <c r="AM240" s="194"/>
      <c r="AN240" s="584"/>
    </row>
    <row r="241" spans="1:40" s="37" customFormat="1" ht="15" customHeight="1">
      <c r="A241" s="360">
        <v>20600</v>
      </c>
      <c r="B241" s="361" t="s">
        <v>721</v>
      </c>
      <c r="C241" s="361"/>
      <c r="D241" s="361" t="s">
        <v>2700</v>
      </c>
      <c r="E241" s="361"/>
      <c r="F241" s="361"/>
      <c r="G241" s="362"/>
      <c r="H241" s="361"/>
      <c r="I241" s="361"/>
      <c r="J241" s="361"/>
      <c r="K241" s="360"/>
      <c r="L241" s="360"/>
      <c r="M241" s="362"/>
      <c r="N241" s="363"/>
      <c r="W241" s="362"/>
      <c r="X241" s="361"/>
      <c r="Y241" s="570" t="s">
        <v>2701</v>
      </c>
      <c r="Z241" s="361"/>
      <c r="AA241" s="362"/>
      <c r="AB241" s="361"/>
      <c r="AC241" s="362"/>
      <c r="AD241" s="361"/>
      <c r="AE241" s="362"/>
      <c r="AF241" s="361"/>
      <c r="AG241" s="581"/>
      <c r="AH241" s="361"/>
      <c r="AI241" s="362"/>
      <c r="AJ241" s="361"/>
      <c r="AK241" s="362"/>
      <c r="AL241" s="361"/>
      <c r="AM241" s="362"/>
      <c r="AN241" s="587"/>
    </row>
    <row r="242" spans="1:40" s="37" customFormat="1" ht="15" customHeight="1">
      <c r="A242" s="293">
        <v>20700</v>
      </c>
      <c r="B242" s="172" t="s">
        <v>966</v>
      </c>
      <c r="C242" s="172" t="s">
        <v>967</v>
      </c>
      <c r="D242" s="172" t="s">
        <v>968</v>
      </c>
      <c r="E242" s="172"/>
      <c r="F242" s="172" t="s">
        <v>1152</v>
      </c>
      <c r="G242" s="159" t="e">
        <f t="shared" si="54"/>
        <v>#N/A</v>
      </c>
      <c r="H242" s="172" t="s">
        <v>727</v>
      </c>
      <c r="I242" s="172"/>
      <c r="J242" s="172"/>
      <c r="K242" s="293"/>
      <c r="L242" s="293"/>
      <c r="M242" s="158" t="e">
        <f t="shared" si="48"/>
        <v>#N/A</v>
      </c>
      <c r="N242" s="295" t="s">
        <v>103</v>
      </c>
      <c r="W242" s="171"/>
      <c r="X242" s="172"/>
      <c r="Y242" s="513" t="e">
        <f>SUM(Y4,Y9,Y45,Y64,Y80)</f>
        <v>#N/A</v>
      </c>
      <c r="Z242" s="172" t="s">
        <v>1311</v>
      </c>
      <c r="AA242" s="158">
        <f>SUM(AA4,AA9,AA45,AA64,AA80)</f>
        <v>0</v>
      </c>
      <c r="AB242" s="172" t="s">
        <v>1311</v>
      </c>
      <c r="AC242" s="158" t="e">
        <f>SUM(AC4,AC9,AC45,AC64,AC80)</f>
        <v>#N/A</v>
      </c>
      <c r="AD242" s="172" t="s">
        <v>1311</v>
      </c>
      <c r="AE242" s="158" t="e">
        <f>SUM(AE4,AE9,AE45,AE64,AE80)</f>
        <v>#N/A</v>
      </c>
      <c r="AF242" s="172" t="s">
        <v>1313</v>
      </c>
      <c r="AG242" s="577"/>
      <c r="AH242" s="172"/>
      <c r="AI242" s="172"/>
      <c r="AJ242" s="172"/>
      <c r="AK242" s="172"/>
      <c r="AL242" s="172"/>
      <c r="AM242" s="172"/>
      <c r="AN242" s="583"/>
    </row>
    <row r="243" spans="1:40" s="37" customFormat="1" ht="15" customHeight="1">
      <c r="A243" s="293">
        <v>20800</v>
      </c>
      <c r="B243" s="172" t="s">
        <v>966</v>
      </c>
      <c r="C243" s="172" t="s">
        <v>969</v>
      </c>
      <c r="D243" s="172" t="s">
        <v>970</v>
      </c>
      <c r="E243" s="172"/>
      <c r="F243" s="172" t="s">
        <v>971</v>
      </c>
      <c r="G243" s="172"/>
      <c r="H243" s="172"/>
      <c r="I243" s="172"/>
      <c r="J243" s="172"/>
      <c r="K243" s="293"/>
      <c r="L243" s="293"/>
      <c r="M243" s="158" t="e">
        <f t="shared" si="48"/>
        <v>#N/A</v>
      </c>
      <c r="N243" s="295" t="s">
        <v>103</v>
      </c>
      <c r="W243" s="171"/>
      <c r="X243" s="172"/>
      <c r="Y243" s="513" t="e">
        <f>'Ergebnisse Errichtung'!I202+SUM(Y4,Y9,Y45,Y64,Y80)</f>
        <v>#N/A</v>
      </c>
      <c r="Z243" s="172" t="s">
        <v>1311</v>
      </c>
      <c r="AA243" s="158">
        <f>'Ergebnisse Errichtung'!K202+SUM(AA4,AA9,AA45,AA64,AA80)</f>
        <v>0</v>
      </c>
      <c r="AB243" s="172" t="s">
        <v>1311</v>
      </c>
      <c r="AC243" s="158" t="e">
        <f>'Ergebnisse Errichtung'!M202+SUM(AC4,AC9,AC45,AC64,AC80)</f>
        <v>#N/A</v>
      </c>
      <c r="AD243" s="172" t="s">
        <v>1311</v>
      </c>
      <c r="AE243" s="158" t="e">
        <f>'Ergebnisse Errichtung'!O202+SUM(AE4,AE9,AE45,AE64,AE80)</f>
        <v>#N/A</v>
      </c>
      <c r="AF243" s="172" t="s">
        <v>1313</v>
      </c>
      <c r="AG243" s="577"/>
      <c r="AH243" s="172"/>
      <c r="AI243" s="172"/>
      <c r="AJ243" s="172"/>
      <c r="AK243" s="172"/>
      <c r="AL243" s="172"/>
      <c r="AM243" s="172"/>
      <c r="AN243" s="583"/>
    </row>
    <row r="244" spans="1:40" s="37" customFormat="1" ht="15" customHeight="1">
      <c r="A244" s="293">
        <v>20900</v>
      </c>
      <c r="B244" s="172" t="s">
        <v>966</v>
      </c>
      <c r="C244" s="172" t="s">
        <v>972</v>
      </c>
      <c r="D244" s="172" t="s">
        <v>973</v>
      </c>
      <c r="E244" s="172"/>
      <c r="F244" s="172" t="s">
        <v>1153</v>
      </c>
      <c r="G244" s="172"/>
      <c r="H244" s="172"/>
      <c r="I244" s="172"/>
      <c r="J244" s="172"/>
      <c r="K244" s="293"/>
      <c r="L244" s="293"/>
      <c r="M244" s="158" t="e">
        <f t="shared" si="48"/>
        <v>#N/A</v>
      </c>
      <c r="N244" s="295" t="s">
        <v>103</v>
      </c>
      <c r="W244" s="171"/>
      <c r="X244" s="172"/>
      <c r="Y244" s="513" t="e">
        <f>SUM(Y4,Y9,Y45,Y64,Y80,Y83,Y90,Y235)</f>
        <v>#N/A</v>
      </c>
      <c r="Z244" s="172" t="s">
        <v>1311</v>
      </c>
      <c r="AA244" s="158">
        <f>SUM(AA4,AA9,AA45,AA64,AA80,AA83,AA90,AA235)</f>
        <v>0</v>
      </c>
      <c r="AB244" s="172" t="s">
        <v>1311</v>
      </c>
      <c r="AC244" s="158" t="e">
        <f>SUM(AC4,AC9,AC45,AC64,AC80,AC83,AC90,AC235)</f>
        <v>#N/A</v>
      </c>
      <c r="AD244" s="172" t="s">
        <v>1311</v>
      </c>
      <c r="AE244" s="158" t="e">
        <f>SUM(AE4,AE9,AE45,AE64,AE80,AE83,AE90,AE235)</f>
        <v>#N/A</v>
      </c>
      <c r="AF244" s="172" t="s">
        <v>1313</v>
      </c>
      <c r="AG244" s="577"/>
      <c r="AH244" s="172"/>
      <c r="AI244" s="172"/>
      <c r="AJ244" s="172"/>
      <c r="AK244" s="172"/>
      <c r="AL244" s="172"/>
      <c r="AM244" s="172"/>
      <c r="AN244" s="583"/>
    </row>
    <row r="245" spans="1:40" s="37" customFormat="1" ht="15" customHeight="1">
      <c r="A245" s="293">
        <v>21000</v>
      </c>
      <c r="B245" s="172" t="s">
        <v>966</v>
      </c>
      <c r="C245" s="172" t="s">
        <v>974</v>
      </c>
      <c r="D245" s="172" t="s">
        <v>975</v>
      </c>
      <c r="E245" s="172"/>
      <c r="F245" s="172" t="s">
        <v>1154</v>
      </c>
      <c r="G245" s="172"/>
      <c r="H245" s="172"/>
      <c r="I245" s="172"/>
      <c r="J245" s="172"/>
      <c r="K245" s="293"/>
      <c r="L245" s="293"/>
      <c r="M245" s="158" t="e">
        <f t="shared" si="48"/>
        <v>#N/A</v>
      </c>
      <c r="N245" s="295" t="s">
        <v>103</v>
      </c>
      <c r="W245" s="171"/>
      <c r="X245" s="172"/>
      <c r="Y245" s="513" t="e">
        <f>SUM(Y4,Y9,Y45,Y64,Y80,Y83,Y90,Y235,Y237)</f>
        <v>#N/A</v>
      </c>
      <c r="Z245" s="172" t="s">
        <v>1311</v>
      </c>
      <c r="AA245" s="158">
        <f>SUM(AA4,AA9,AA45,AA64,AA80,AA83,AA90,AA235,AA237)</f>
        <v>0</v>
      </c>
      <c r="AB245" s="172" t="s">
        <v>1311</v>
      </c>
      <c r="AC245" s="158" t="e">
        <f>SUM(AC4,AC9,AC45,AC64,AC80,AC83,AC90,AC235,AC237)</f>
        <v>#N/A</v>
      </c>
      <c r="AD245" s="172" t="s">
        <v>1311</v>
      </c>
      <c r="AE245" s="158" t="e">
        <f>SUM(AE4,AE9,AE45,AE64,AE80,AE83,AE90,AE235,AE237)</f>
        <v>#N/A</v>
      </c>
      <c r="AF245" s="172" t="s">
        <v>1313</v>
      </c>
      <c r="AG245" s="577"/>
      <c r="AH245" s="172"/>
      <c r="AI245" s="172"/>
      <c r="AJ245" s="172"/>
      <c r="AK245" s="172"/>
      <c r="AL245" s="172"/>
      <c r="AM245" s="172"/>
      <c r="AN245" s="583"/>
    </row>
    <row r="246" spans="1:40" s="37" customFormat="1" ht="15" customHeight="1">
      <c r="A246" s="293">
        <v>21100</v>
      </c>
      <c r="B246" s="172" t="s">
        <v>966</v>
      </c>
      <c r="C246" s="172" t="s">
        <v>976</v>
      </c>
      <c r="D246" s="172" t="s">
        <v>977</v>
      </c>
      <c r="E246" s="172"/>
      <c r="F246" s="172" t="s">
        <v>978</v>
      </c>
      <c r="G246" s="172"/>
      <c r="H246" s="172"/>
      <c r="I246" s="172"/>
      <c r="J246" s="172"/>
      <c r="K246" s="293"/>
      <c r="L246" s="293"/>
      <c r="M246" s="158" t="e">
        <f t="shared" si="48"/>
        <v>#N/A</v>
      </c>
      <c r="N246" s="295" t="s">
        <v>103</v>
      </c>
      <c r="W246" s="171"/>
      <c r="X246" s="172"/>
      <c r="Y246" s="513" t="e">
        <f>'Ergebnisse Errichtung'!I202+SUM(Y4,Y9,Y45,Y64,Y80,Y83,Y90,Y235,Y237)</f>
        <v>#N/A</v>
      </c>
      <c r="Z246" s="172" t="s">
        <v>1311</v>
      </c>
      <c r="AA246" s="158">
        <f>'Ergebnisse Errichtung'!K202+SUM(AA4,AA9,AA45,AA64,AA80,AA83,AA90,AA235,AA237)</f>
        <v>0</v>
      </c>
      <c r="AB246" s="172" t="s">
        <v>1311</v>
      </c>
      <c r="AC246" s="158" t="e">
        <f>'Ergebnisse Errichtung'!M202+SUM(AC4,AC9,AC45,AC64,AC80,AC83,AC90,AC235,AC237)</f>
        <v>#N/A</v>
      </c>
      <c r="AD246" s="172" t="s">
        <v>1311</v>
      </c>
      <c r="AE246" s="158" t="e">
        <f>'Ergebnisse Errichtung'!O202+SUM(AE4,AE9,AE45,AE64,AE80,AE83,AE90,AE235,AE237)</f>
        <v>#N/A</v>
      </c>
      <c r="AF246" s="172" t="s">
        <v>1313</v>
      </c>
      <c r="AG246" s="577"/>
      <c r="AH246" s="172"/>
      <c r="AI246" s="172"/>
      <c r="AJ246" s="172"/>
      <c r="AK246" s="172"/>
      <c r="AL246" s="172"/>
      <c r="AM246" s="172"/>
      <c r="AN246" s="583"/>
    </row>
  </sheetData>
  <sheetProtection password="FDAF" sheet="1" objects="1" scenarios="1"/>
  <mergeCells count="1">
    <mergeCell ref="A1:E1"/>
  </mergeCells>
  <pageMargins left="0.70866141732283472" right="0.70866141732283472" top="0.78740157480314965" bottom="0.78740157480314965" header="0.31496062992125984" footer="0.31496062992125984"/>
  <pageSetup paperSize="8" scale="90" fitToWidth="0" fitToHeight="0" orientation="portrait" r:id="rId1"/>
  <headerFooter>
    <oddFooter>&amp;L&amp;F&amp;C&amp;A&amp;R&amp;P von &amp;N</oddFooter>
  </headerFooter>
  <rowBreaks count="2" manualBreakCount="2">
    <brk id="79" max="39" man="1"/>
    <brk id="179" max="39" man="1"/>
  </rowBreaks>
  <colBreaks count="2" manualBreakCount="2">
    <brk id="24" max="245" man="1"/>
    <brk id="32" max="243" man="1"/>
  </colBreaks>
  <ignoredErrors>
    <ignoredError sqref="I62" numberStoredAsText="1"/>
    <ignoredError sqref="Y218 AA218 AC218 AE218" 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27</vt:i4>
      </vt:variant>
      <vt:variant>
        <vt:lpstr>Benannte Bereiche</vt:lpstr>
      </vt:variant>
      <vt:variant>
        <vt:i4>128</vt:i4>
      </vt:variant>
    </vt:vector>
  </HeadingPairs>
  <TitlesOfParts>
    <vt:vector size="155" baseType="lpstr">
      <vt:lpstr>Info</vt:lpstr>
      <vt:lpstr>Anleitung</vt:lpstr>
      <vt:lpstr>Allgemeine Angaben</vt:lpstr>
      <vt:lpstr>Objektkenndaten</vt:lpstr>
      <vt:lpstr>Errichtung</vt:lpstr>
      <vt:lpstr>Energie</vt:lpstr>
      <vt:lpstr>Nutzung &amp; Betrieb</vt:lpstr>
      <vt:lpstr>Ergebnisse Errichtung</vt:lpstr>
      <vt:lpstr>Ergebnisse Nutzung &amp; Betrieb</vt:lpstr>
      <vt:lpstr>Ergebnisse Übersicht</vt:lpstr>
      <vt:lpstr>Kennwerte</vt:lpstr>
      <vt:lpstr>Folgekosten</vt:lpstr>
      <vt:lpstr>Schätzfaktoren</vt:lpstr>
      <vt:lpstr>Finanzielle Parameter</vt:lpstr>
      <vt:lpstr>Dienstleistungen</vt:lpstr>
      <vt:lpstr>Gebäudedienste</vt:lpstr>
      <vt:lpstr>Verwaltung &amp; Technik</vt:lpstr>
      <vt:lpstr>Ver- &amp; Entsorgung</vt:lpstr>
      <vt:lpstr>Reinigung</vt:lpstr>
      <vt:lpstr>Instandsetzung</vt:lpstr>
      <vt:lpstr>Abbruch &amp; Entsorgung</vt:lpstr>
      <vt:lpstr>Ökodaten Energie</vt:lpstr>
      <vt:lpstr>Ökodaten Transport</vt:lpstr>
      <vt:lpstr>Ökodaten Konstruktionen</vt:lpstr>
      <vt:lpstr>Hilfsblatt Energie</vt:lpstr>
      <vt:lpstr>Massenbilanz</vt:lpstr>
      <vt:lpstr>Ökodaten Entsorgung</vt:lpstr>
      <vt:lpstr>Abbruch_Entsorgung</vt:lpstr>
      <vt:lpstr>Allgemeine_Angaben</vt:lpstr>
      <vt:lpstr>BruttoNetto</vt:lpstr>
      <vt:lpstr>Dienstleistungen</vt:lpstr>
      <vt:lpstr>Diesel</vt:lpstr>
      <vt:lpstr>'Abbruch &amp; Entsorgung'!Druckbereich</vt:lpstr>
      <vt:lpstr>'Allgemeine Angaben'!Druckbereich</vt:lpstr>
      <vt:lpstr>Dienstleistungen!Druckbereich</vt:lpstr>
      <vt:lpstr>Energie!Druckbereich</vt:lpstr>
      <vt:lpstr>'Ergebnisse Nutzung &amp; Betrieb'!Druckbereich</vt:lpstr>
      <vt:lpstr>'Ergebnisse Übersicht'!Druckbereich</vt:lpstr>
      <vt:lpstr>Errichtung!Druckbereich</vt:lpstr>
      <vt:lpstr>'Finanzielle Parameter'!Druckbereich</vt:lpstr>
      <vt:lpstr>Folgekosten!Druckbereich</vt:lpstr>
      <vt:lpstr>Gebäudedienste!Druckbereich</vt:lpstr>
      <vt:lpstr>Info!Druckbereich</vt:lpstr>
      <vt:lpstr>Instandsetzung!Druckbereich</vt:lpstr>
      <vt:lpstr>Objektkenndaten!Druckbereich</vt:lpstr>
      <vt:lpstr>'Ökodaten Energie'!Druckbereich</vt:lpstr>
      <vt:lpstr>'Ökodaten Konstruktionen'!Druckbereich</vt:lpstr>
      <vt:lpstr>Reinigung!Druckbereich</vt:lpstr>
      <vt:lpstr>Schätzfaktoren!Druckbereich</vt:lpstr>
      <vt:lpstr>'Ver- &amp; Entsorgung'!Druckbereich</vt:lpstr>
      <vt:lpstr>'Verwaltung &amp; Technik'!Druckbereich</vt:lpstr>
      <vt:lpstr>'Abbruch &amp; Entsorgung'!Drucktitel</vt:lpstr>
      <vt:lpstr>'Allgemeine Angaben'!Drucktitel</vt:lpstr>
      <vt:lpstr>Dienstleistungen!Drucktitel</vt:lpstr>
      <vt:lpstr>Energie!Drucktitel</vt:lpstr>
      <vt:lpstr>'Ergebnisse Errichtung'!Drucktitel</vt:lpstr>
      <vt:lpstr>'Ergebnisse Nutzung &amp; Betrieb'!Drucktitel</vt:lpstr>
      <vt:lpstr>'Ergebnisse Übersicht'!Drucktitel</vt:lpstr>
      <vt:lpstr>Errichtung!Drucktitel</vt:lpstr>
      <vt:lpstr>'Finanzielle Parameter'!Drucktitel</vt:lpstr>
      <vt:lpstr>Folgekosten!Drucktitel</vt:lpstr>
      <vt:lpstr>Gebäudedienste!Drucktitel</vt:lpstr>
      <vt:lpstr>Instandsetzung!Drucktitel</vt:lpstr>
      <vt:lpstr>'Nutzung &amp; Betrieb'!Drucktitel</vt:lpstr>
      <vt:lpstr>Objektkenndaten!Drucktitel</vt:lpstr>
      <vt:lpstr>'Ökodaten Energie'!Drucktitel</vt:lpstr>
      <vt:lpstr>'Ökodaten Konstruktionen'!Drucktitel</vt:lpstr>
      <vt:lpstr>'Ökodaten Transport'!Drucktitel</vt:lpstr>
      <vt:lpstr>Reinigung!Drucktitel</vt:lpstr>
      <vt:lpstr>Schätzfaktoren!Drucktitel</vt:lpstr>
      <vt:lpstr>'Ver- &amp; Entsorgung'!Drucktitel</vt:lpstr>
      <vt:lpstr>'Verwaltung &amp; Technik'!Drucktitel</vt:lpstr>
      <vt:lpstr>E2C03a</vt:lpstr>
      <vt:lpstr>E2C03b</vt:lpstr>
      <vt:lpstr>E2C03c</vt:lpstr>
      <vt:lpstr>E2C05</vt:lpstr>
      <vt:lpstr>E2D01ADaemm</vt:lpstr>
      <vt:lpstr>E2D01Decke</vt:lpstr>
      <vt:lpstr>E2D01Estrich</vt:lpstr>
      <vt:lpstr>E2D01KDaemm</vt:lpstr>
      <vt:lpstr>E2D02</vt:lpstr>
      <vt:lpstr>E2D03a</vt:lpstr>
      <vt:lpstr>E2D03a1</vt:lpstr>
      <vt:lpstr>E2D03a2</vt:lpstr>
      <vt:lpstr>E2D03a3</vt:lpstr>
      <vt:lpstr>E2E01a</vt:lpstr>
      <vt:lpstr>E2E01d</vt:lpstr>
      <vt:lpstr>E2E01ds</vt:lpstr>
      <vt:lpstr>E2E01f</vt:lpstr>
      <vt:lpstr>E2E02</vt:lpstr>
      <vt:lpstr>E2E03</vt:lpstr>
      <vt:lpstr>E3C01a</vt:lpstr>
      <vt:lpstr>E3C01b</vt:lpstr>
      <vt:lpstr>E3F02a</vt:lpstr>
      <vt:lpstr>E3F02b</vt:lpstr>
      <vt:lpstr>E4B01</vt:lpstr>
      <vt:lpstr>E4B02a</vt:lpstr>
      <vt:lpstr>E4B02b</vt:lpstr>
      <vt:lpstr>E4C01a</vt:lpstr>
      <vt:lpstr>E4C01b1</vt:lpstr>
      <vt:lpstr>E4C01b2</vt:lpstr>
      <vt:lpstr>E4C02b</vt:lpstr>
      <vt:lpstr>E4C04a</vt:lpstr>
      <vt:lpstr>E4C04b</vt:lpstr>
      <vt:lpstr>E4D01</vt:lpstr>
      <vt:lpstr>E4D02</vt:lpstr>
      <vt:lpstr>E4D03</vt:lpstr>
      <vt:lpstr>E4D04a</vt:lpstr>
      <vt:lpstr>E4D04b</vt:lpstr>
      <vt:lpstr>E4D05</vt:lpstr>
      <vt:lpstr>Eigenstromversorgung</vt:lpstr>
      <vt:lpstr>Energie</vt:lpstr>
      <vt:lpstr>Energieniveau</vt:lpstr>
      <vt:lpstr>Energieproduktion</vt:lpstr>
      <vt:lpstr>EnergieproduktionkWh</vt:lpstr>
      <vt:lpstr>Energietraeger</vt:lpstr>
      <vt:lpstr>Ergebnisse_Errichtung</vt:lpstr>
      <vt:lpstr>Ergebnisse_Nutzung</vt:lpstr>
      <vt:lpstr>Errichtungskosten</vt:lpstr>
      <vt:lpstr>Finanzielle_Parameter</vt:lpstr>
      <vt:lpstr>Folgekosten</vt:lpstr>
      <vt:lpstr>Gebäudedienste</vt:lpstr>
      <vt:lpstr>Heizung</vt:lpstr>
      <vt:lpstr>Hilfsstrom</vt:lpstr>
      <vt:lpstr>Instandsetzung</vt:lpstr>
      <vt:lpstr>JaNein</vt:lpstr>
      <vt:lpstr>Kennwerte</vt:lpstr>
      <vt:lpstr>Kuehlung</vt:lpstr>
      <vt:lpstr>Lueftung</vt:lpstr>
      <vt:lpstr>Massenbilanz</vt:lpstr>
      <vt:lpstr>Mix_ÖPNVPKW</vt:lpstr>
      <vt:lpstr>Nutzung_Betrieb</vt:lpstr>
      <vt:lpstr>Nutzungsdauern</vt:lpstr>
      <vt:lpstr>Objektkenndaten</vt:lpstr>
      <vt:lpstr>Ökodaten_Energie</vt:lpstr>
      <vt:lpstr>Ökodaten_Entsorgung</vt:lpstr>
      <vt:lpstr>Ökodaten_Transport</vt:lpstr>
      <vt:lpstr>ÖkodatenKonstruktionen</vt:lpstr>
      <vt:lpstr>ÖPNV</vt:lpstr>
      <vt:lpstr>PKW</vt:lpstr>
      <vt:lpstr>Preissteigerung</vt:lpstr>
      <vt:lpstr>Projektart</vt:lpstr>
      <vt:lpstr>PTRANSP</vt:lpstr>
      <vt:lpstr>PTRANSP_Liste</vt:lpstr>
      <vt:lpstr>Reinigung</vt:lpstr>
      <vt:lpstr>Schätzfaktoren</vt:lpstr>
      <vt:lpstr>Solar_Fassade</vt:lpstr>
      <vt:lpstr>Strom</vt:lpstr>
      <vt:lpstr>Stundensatz_Liste</vt:lpstr>
      <vt:lpstr>Umsatzsteuersaetze</vt:lpstr>
      <vt:lpstr>Ver_Entsorgung</vt:lpstr>
      <vt:lpstr>Verwaltung_Technik</vt:lpstr>
      <vt:lpstr>Waermeerzeugung</vt:lpstr>
      <vt:lpstr>Warmwasser</vt:lpstr>
      <vt:lpstr>Zirkulation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Christina Ipser</dc:creator>
  <cp:lastModifiedBy>Christina Ipser</cp:lastModifiedBy>
  <cp:lastPrinted>2015-07-08T12:54:30Z</cp:lastPrinted>
  <dcterms:created xsi:type="dcterms:W3CDTF">2012-09-18T17:08:23Z</dcterms:created>
  <dcterms:modified xsi:type="dcterms:W3CDTF">2015-08-21T08:33:24Z</dcterms:modified>
</cp:coreProperties>
</file>